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lik/Documents/Research/Project Performance/StimVision OCD/2021 YBOCS Modeling Paper/"/>
    </mc:Choice>
  </mc:AlternateContent>
  <xr:revisionPtr revIDLastSave="0" documentId="13_ncr:1_{7D1F7B65-1F85-AF43-9349-7EEBCE94E492}" xr6:coauthVersionLast="47" xr6:coauthVersionMax="47" xr10:uidLastSave="{00000000-0000-0000-0000-000000000000}"/>
  <bookViews>
    <workbookView xWindow="1800" yWindow="3580" windowWidth="27640" windowHeight="16940" activeTab="4" xr2:uid="{19C045A9-C591-8A4A-AE7C-2DC9F314B092}"/>
  </bookViews>
  <sheets>
    <sheet name="Fibers by VTA" sheetId="5" r:id="rId1"/>
    <sheet name="Total Fiber Count" sheetId="4" r:id="rId2"/>
    <sheet name="ICV" sheetId="6" r:id="rId3"/>
    <sheet name="Clinical Baseline" sheetId="7" r:id="rId4"/>
    <sheet name="DBS Setting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8" l="1"/>
  <c r="P14" i="8"/>
  <c r="P15" i="8"/>
  <c r="P17" i="8"/>
  <c r="P19" i="8"/>
  <c r="P31" i="8"/>
  <c r="P34" i="8"/>
  <c r="P35" i="8"/>
  <c r="P67" i="8"/>
  <c r="P68" i="8"/>
  <c r="P80" i="8"/>
  <c r="P81" i="8"/>
  <c r="P82" i="8"/>
  <c r="P85" i="8"/>
  <c r="P92" i="8"/>
  <c r="P93" i="8"/>
  <c r="P95" i="8"/>
  <c r="P101" i="8"/>
  <c r="P102" i="8"/>
  <c r="P103" i="8"/>
  <c r="P139" i="8"/>
  <c r="P158" i="8"/>
  <c r="P165" i="8"/>
  <c r="P166" i="8"/>
  <c r="P164" i="8"/>
  <c r="P163" i="8"/>
  <c r="P162" i="8"/>
  <c r="P161" i="8"/>
  <c r="P160" i="8"/>
  <c r="P159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L142" i="8"/>
  <c r="E142" i="8"/>
  <c r="L141" i="8"/>
  <c r="P141" i="8" s="1"/>
  <c r="P140" i="8"/>
  <c r="E135" i="8"/>
  <c r="L135" i="8"/>
  <c r="E136" i="8"/>
  <c r="L136" i="8"/>
  <c r="E137" i="8"/>
  <c r="L137" i="8"/>
  <c r="E138" i="8"/>
  <c r="L138" i="8"/>
  <c r="P138" i="8"/>
  <c r="L134" i="8"/>
  <c r="E134" i="8"/>
  <c r="L133" i="8"/>
  <c r="E133" i="8"/>
  <c r="L132" i="8"/>
  <c r="E132" i="8"/>
  <c r="P131" i="8"/>
  <c r="P130" i="8"/>
  <c r="P129" i="8"/>
  <c r="P128" i="8"/>
  <c r="P127" i="8"/>
  <c r="P126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0" i="8"/>
  <c r="P99" i="8"/>
  <c r="P98" i="8"/>
  <c r="P97" i="8"/>
  <c r="P96" i="8"/>
  <c r="P94" i="8"/>
  <c r="P91" i="8"/>
  <c r="P88" i="8"/>
  <c r="P87" i="8"/>
  <c r="P86" i="8"/>
  <c r="P84" i="8"/>
  <c r="P83" i="8"/>
  <c r="P79" i="8"/>
  <c r="P77" i="8"/>
  <c r="P76" i="8"/>
  <c r="P75" i="8"/>
  <c r="P74" i="8"/>
  <c r="P73" i="8"/>
  <c r="P72" i="8"/>
  <c r="P71" i="8"/>
  <c r="P70" i="8"/>
  <c r="P69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3" i="8"/>
  <c r="P32" i="8"/>
  <c r="P30" i="8"/>
  <c r="P29" i="8"/>
  <c r="P28" i="8"/>
  <c r="P27" i="8"/>
  <c r="P26" i="8"/>
  <c r="P25" i="8"/>
  <c r="P24" i="8"/>
  <c r="P23" i="8"/>
  <c r="P22" i="8"/>
  <c r="P21" i="8"/>
  <c r="P18" i="8"/>
  <c r="P16" i="8"/>
  <c r="P13" i="8"/>
  <c r="P10" i="8"/>
  <c r="P9" i="8"/>
  <c r="P8" i="8"/>
  <c r="P7" i="8"/>
  <c r="P5" i="8"/>
  <c r="P4" i="8"/>
  <c r="P3" i="8"/>
  <c r="P2" i="8"/>
  <c r="P124" i="8" l="1"/>
  <c r="P125" i="8"/>
  <c r="P137" i="8"/>
  <c r="P132" i="8"/>
  <c r="P136" i="8"/>
  <c r="P142" i="8"/>
  <c r="P133" i="8"/>
  <c r="P135" i="8"/>
  <c r="P134" i="8"/>
  <c r="AK140" i="5" l="1"/>
  <c r="AL140" i="5"/>
  <c r="AK141" i="5"/>
  <c r="AL141" i="5"/>
  <c r="AK142" i="5"/>
  <c r="AL142" i="5"/>
  <c r="AK143" i="5"/>
  <c r="AL143" i="5"/>
  <c r="AK144" i="5"/>
  <c r="AL144" i="5"/>
  <c r="AK145" i="5"/>
  <c r="AL145" i="5"/>
  <c r="AK146" i="5"/>
  <c r="AL146" i="5"/>
  <c r="AK147" i="5"/>
  <c r="AL147" i="5"/>
  <c r="AK148" i="5"/>
  <c r="AL148" i="5"/>
  <c r="AK149" i="5"/>
  <c r="AL149" i="5"/>
  <c r="AK150" i="5"/>
  <c r="AL150" i="5"/>
  <c r="AK151" i="5"/>
  <c r="AL151" i="5"/>
  <c r="AK152" i="5"/>
  <c r="AL152" i="5"/>
  <c r="AK153" i="5"/>
  <c r="AL153" i="5"/>
  <c r="AK154" i="5"/>
  <c r="AL154" i="5"/>
  <c r="AK155" i="5"/>
  <c r="AL155" i="5"/>
  <c r="AK156" i="5"/>
  <c r="AL156" i="5"/>
  <c r="AK157" i="5"/>
  <c r="AL157" i="5"/>
  <c r="AK158" i="5"/>
  <c r="AL158" i="5"/>
  <c r="AK159" i="5"/>
  <c r="AL159" i="5"/>
  <c r="AK160" i="5"/>
  <c r="AL160" i="5"/>
  <c r="AK161" i="5"/>
  <c r="AL161" i="5"/>
  <c r="AK162" i="5"/>
  <c r="AL162" i="5"/>
  <c r="AK163" i="5"/>
  <c r="AL163" i="5"/>
  <c r="AK164" i="5"/>
  <c r="AL164" i="5"/>
  <c r="AK165" i="5"/>
  <c r="AL165" i="5"/>
  <c r="AK166" i="5"/>
  <c r="AL166" i="5"/>
  <c r="AL139" i="5"/>
  <c r="AK139" i="5"/>
  <c r="AK124" i="5"/>
  <c r="AL124" i="5"/>
  <c r="AK125" i="5"/>
  <c r="AL125" i="5"/>
  <c r="AK126" i="5"/>
  <c r="AL126" i="5"/>
  <c r="AK127" i="5"/>
  <c r="AL127" i="5"/>
  <c r="AL128" i="5"/>
  <c r="AL129" i="5"/>
  <c r="AK130" i="5"/>
  <c r="AL130" i="5"/>
  <c r="AK131" i="5"/>
  <c r="AL131" i="5"/>
  <c r="AK132" i="5"/>
  <c r="AL132" i="5"/>
  <c r="AK133" i="5"/>
  <c r="AL133" i="5"/>
  <c r="AK134" i="5"/>
  <c r="AL134" i="5"/>
  <c r="AK135" i="5"/>
  <c r="AL135" i="5"/>
  <c r="AK136" i="5"/>
  <c r="AL136" i="5"/>
  <c r="AK137" i="5"/>
  <c r="AL137" i="5"/>
  <c r="AK138" i="5"/>
  <c r="AL138" i="5"/>
  <c r="AK123" i="5"/>
  <c r="AL123" i="5"/>
  <c r="AK97" i="5"/>
  <c r="AL97" i="5"/>
  <c r="AK98" i="5"/>
  <c r="AL98" i="5"/>
  <c r="AK99" i="5"/>
  <c r="AL99" i="5"/>
  <c r="AK100" i="5"/>
  <c r="AL100" i="5"/>
  <c r="AK101" i="5"/>
  <c r="AL101" i="5"/>
  <c r="AK102" i="5"/>
  <c r="AL102" i="5"/>
  <c r="AK103" i="5"/>
  <c r="AL103" i="5"/>
  <c r="AK104" i="5"/>
  <c r="AL104" i="5"/>
  <c r="AK105" i="5"/>
  <c r="AL105" i="5"/>
  <c r="AK106" i="5"/>
  <c r="AL106" i="5"/>
  <c r="AK107" i="5"/>
  <c r="AL107" i="5"/>
  <c r="AK108" i="5"/>
  <c r="AL108" i="5"/>
  <c r="AK109" i="5"/>
  <c r="AL109" i="5"/>
  <c r="AK110" i="5"/>
  <c r="AL110" i="5"/>
  <c r="AK111" i="5"/>
  <c r="AL111" i="5"/>
  <c r="AK112" i="5"/>
  <c r="AL112" i="5"/>
  <c r="AK113" i="5"/>
  <c r="AL113" i="5"/>
  <c r="AK114" i="5"/>
  <c r="AL114" i="5"/>
  <c r="AK115" i="5"/>
  <c r="AL115" i="5"/>
  <c r="AK116" i="5"/>
  <c r="AL116" i="5"/>
  <c r="AK117" i="5"/>
  <c r="AL117" i="5"/>
  <c r="AK118" i="5"/>
  <c r="AL118" i="5"/>
  <c r="AK119" i="5"/>
  <c r="AL119" i="5"/>
  <c r="AK120" i="5"/>
  <c r="AL120" i="5"/>
  <c r="AK121" i="5"/>
  <c r="AL121" i="5"/>
  <c r="AK122" i="5"/>
  <c r="AL122" i="5"/>
  <c r="AK96" i="5"/>
  <c r="AL96" i="5"/>
  <c r="AK93" i="5"/>
  <c r="AL93" i="5"/>
  <c r="AK94" i="5"/>
  <c r="AL94" i="5"/>
  <c r="AK95" i="5"/>
  <c r="AL95" i="5"/>
  <c r="AK79" i="5"/>
  <c r="AL79" i="5"/>
  <c r="AK80" i="5"/>
  <c r="AL80" i="5"/>
  <c r="AK81" i="5"/>
  <c r="AL81" i="5"/>
  <c r="AK82" i="5"/>
  <c r="AL82" i="5"/>
  <c r="AK83" i="5"/>
  <c r="AL83" i="5"/>
  <c r="AK84" i="5"/>
  <c r="AL84" i="5"/>
  <c r="AK85" i="5"/>
  <c r="AL85" i="5"/>
  <c r="AK86" i="5"/>
  <c r="AL86" i="5"/>
  <c r="AK87" i="5"/>
  <c r="AL87" i="5"/>
  <c r="AK88" i="5"/>
  <c r="AL88" i="5"/>
  <c r="AK89" i="5"/>
  <c r="AK90" i="5"/>
  <c r="AK91" i="5"/>
  <c r="AL91" i="5"/>
  <c r="AK92" i="5"/>
  <c r="AL92" i="5"/>
  <c r="AL68" i="5"/>
  <c r="AL69" i="5"/>
  <c r="AL70" i="5"/>
  <c r="AL71" i="5"/>
  <c r="AL72" i="5"/>
  <c r="AL73" i="5"/>
  <c r="AL74" i="5"/>
  <c r="AL75" i="5"/>
  <c r="AL76" i="5"/>
  <c r="AL77" i="5"/>
  <c r="AL67" i="5"/>
  <c r="AK78" i="5"/>
  <c r="AK68" i="5"/>
  <c r="AK69" i="5"/>
  <c r="AK70" i="5"/>
  <c r="AK71" i="5"/>
  <c r="AK72" i="5"/>
  <c r="AK73" i="5"/>
  <c r="AK74" i="5"/>
  <c r="AK75" i="5"/>
  <c r="AK76" i="5"/>
  <c r="AK67" i="5"/>
  <c r="AK37" i="5"/>
  <c r="AL37" i="5"/>
  <c r="AK38" i="5"/>
  <c r="AL38" i="5"/>
  <c r="AK39" i="5"/>
  <c r="AL39" i="5"/>
  <c r="AK40" i="5"/>
  <c r="AL40" i="5"/>
  <c r="AK41" i="5"/>
  <c r="AL41" i="5"/>
  <c r="AK42" i="5"/>
  <c r="AL42" i="5"/>
  <c r="AK43" i="5"/>
  <c r="AL43" i="5"/>
  <c r="AK44" i="5"/>
  <c r="AL44" i="5"/>
  <c r="AK45" i="5"/>
  <c r="AL45" i="5"/>
  <c r="AK46" i="5"/>
  <c r="AL46" i="5"/>
  <c r="AK47" i="5"/>
  <c r="AL47" i="5"/>
  <c r="AK48" i="5"/>
  <c r="AL48" i="5"/>
  <c r="AK49" i="5"/>
  <c r="AL49" i="5"/>
  <c r="AK50" i="5"/>
  <c r="AL50" i="5"/>
  <c r="AK51" i="5"/>
  <c r="AL51" i="5"/>
  <c r="AK52" i="5"/>
  <c r="AL52" i="5"/>
  <c r="AK53" i="5"/>
  <c r="AL53" i="5"/>
  <c r="AK54" i="5"/>
  <c r="AL54" i="5"/>
  <c r="AK55" i="5"/>
  <c r="AL55" i="5"/>
  <c r="AK56" i="5"/>
  <c r="AL56" i="5"/>
  <c r="AK57" i="5"/>
  <c r="AL57" i="5"/>
  <c r="AK58" i="5"/>
  <c r="AL58" i="5"/>
  <c r="AK59" i="5"/>
  <c r="AL59" i="5"/>
  <c r="AK60" i="5"/>
  <c r="AL60" i="5"/>
  <c r="AK61" i="5"/>
  <c r="AL61" i="5"/>
  <c r="AK62" i="5"/>
  <c r="AL62" i="5"/>
  <c r="AK63" i="5"/>
  <c r="AL63" i="5"/>
  <c r="AK64" i="5"/>
  <c r="AL64" i="5"/>
  <c r="AK65" i="5"/>
  <c r="AL65" i="5"/>
  <c r="AK66" i="5"/>
  <c r="AL66" i="5"/>
  <c r="AL36" i="5"/>
  <c r="AK36" i="5"/>
  <c r="AK22" i="5"/>
  <c r="AL22" i="5"/>
  <c r="AK23" i="5"/>
  <c r="AL23" i="5"/>
  <c r="AK24" i="5"/>
  <c r="AL24" i="5"/>
  <c r="AK25" i="5"/>
  <c r="AL25" i="5"/>
  <c r="AK26" i="5"/>
  <c r="AL26" i="5"/>
  <c r="AK27" i="5"/>
  <c r="AL27" i="5"/>
  <c r="AK28" i="5"/>
  <c r="AL28" i="5"/>
  <c r="AK29" i="5"/>
  <c r="AL29" i="5"/>
  <c r="AK30" i="5"/>
  <c r="AL30" i="5"/>
  <c r="AK31" i="5"/>
  <c r="AL31" i="5"/>
  <c r="AK32" i="5"/>
  <c r="AL32" i="5"/>
  <c r="AK33" i="5"/>
  <c r="AL33" i="5"/>
  <c r="AK34" i="5"/>
  <c r="AL34" i="5"/>
  <c r="AK35" i="5"/>
  <c r="AL35" i="5"/>
  <c r="AK21" i="5"/>
  <c r="AL21" i="5"/>
  <c r="AK20" i="5"/>
  <c r="AK3" i="5"/>
  <c r="AL3" i="5"/>
  <c r="AK4" i="5"/>
  <c r="AL4" i="5"/>
  <c r="AK5" i="5"/>
  <c r="AL5" i="5"/>
  <c r="AK6" i="5"/>
  <c r="AK7" i="5"/>
  <c r="AL7" i="5"/>
  <c r="AK8" i="5"/>
  <c r="AL8" i="5"/>
  <c r="AK9" i="5"/>
  <c r="AL9" i="5"/>
  <c r="AK10" i="5"/>
  <c r="AL10" i="5"/>
  <c r="AK11" i="5"/>
  <c r="AL11" i="5"/>
  <c r="AK12" i="5"/>
  <c r="AL12" i="5"/>
  <c r="AK13" i="5"/>
  <c r="AK14" i="5"/>
  <c r="AL14" i="5"/>
  <c r="AK15" i="5"/>
  <c r="AL15" i="5"/>
  <c r="AK16" i="5"/>
  <c r="AL16" i="5"/>
  <c r="AL17" i="5"/>
  <c r="AK18" i="5"/>
  <c r="AL18" i="5"/>
  <c r="AK19" i="5"/>
  <c r="AL19" i="5"/>
  <c r="AL2" i="5"/>
  <c r="AK2" i="5"/>
  <c r="I56" i="5"/>
  <c r="G135" i="5"/>
  <c r="I135" i="5" s="1"/>
  <c r="H135" i="5"/>
  <c r="J135" i="5" s="1"/>
  <c r="L135" i="5"/>
  <c r="N135" i="5"/>
  <c r="P135" i="5"/>
  <c r="R135" i="5"/>
  <c r="T135" i="5"/>
  <c r="V135" i="5"/>
  <c r="X135" i="5"/>
  <c r="Z135" i="5"/>
  <c r="AB135" i="5"/>
  <c r="AD135" i="5"/>
  <c r="AF135" i="5"/>
  <c r="AH135" i="5"/>
  <c r="G136" i="5"/>
  <c r="I136" i="5" s="1"/>
  <c r="H136" i="5"/>
  <c r="J136" i="5" s="1"/>
  <c r="L136" i="5"/>
  <c r="N136" i="5"/>
  <c r="P136" i="5"/>
  <c r="R136" i="5"/>
  <c r="T136" i="5"/>
  <c r="V136" i="5"/>
  <c r="X136" i="5"/>
  <c r="Z136" i="5"/>
  <c r="AB136" i="5"/>
  <c r="AD136" i="5"/>
  <c r="AF136" i="5"/>
  <c r="AH136" i="5"/>
  <c r="G137" i="5"/>
  <c r="I137" i="5" s="1"/>
  <c r="H137" i="5"/>
  <c r="J137" i="5" s="1"/>
  <c r="L137" i="5"/>
  <c r="N137" i="5"/>
  <c r="P137" i="5"/>
  <c r="R137" i="5"/>
  <c r="T137" i="5"/>
  <c r="V137" i="5"/>
  <c r="X137" i="5"/>
  <c r="Z137" i="5"/>
  <c r="AB137" i="5"/>
  <c r="AD137" i="5"/>
  <c r="AF137" i="5"/>
  <c r="AH137" i="5"/>
  <c r="G138" i="5"/>
  <c r="I138" i="5" s="1"/>
  <c r="H138" i="5"/>
  <c r="J138" i="5" s="1"/>
  <c r="L138" i="5"/>
  <c r="N138" i="5"/>
  <c r="P138" i="5"/>
  <c r="R138" i="5"/>
  <c r="T138" i="5"/>
  <c r="V138" i="5"/>
  <c r="X138" i="5"/>
  <c r="Z138" i="5"/>
  <c r="AB138" i="5"/>
  <c r="AD138" i="5"/>
  <c r="AF138" i="5"/>
  <c r="AH138" i="5"/>
  <c r="G134" i="5"/>
  <c r="I134" i="5" s="1"/>
  <c r="G133" i="5"/>
  <c r="I133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6" i="5"/>
  <c r="I126" i="5" s="1"/>
  <c r="G125" i="5"/>
  <c r="I125" i="5" s="1"/>
  <c r="G124" i="5"/>
  <c r="I124" i="5" s="1"/>
  <c r="G123" i="5"/>
  <c r="I123" i="5" s="1"/>
  <c r="G2" i="5" l="1"/>
  <c r="I2" i="5" s="1"/>
  <c r="H75" i="5"/>
  <c r="G79" i="5" l="1"/>
  <c r="I79" i="5" s="1"/>
  <c r="H79" i="5"/>
  <c r="J79" i="5" s="1"/>
  <c r="G80" i="5"/>
  <c r="I80" i="5" s="1"/>
  <c r="H80" i="5"/>
  <c r="J80" i="5" s="1"/>
  <c r="G81" i="5"/>
  <c r="I81" i="5" s="1"/>
  <c r="H81" i="5"/>
  <c r="J81" i="5" s="1"/>
  <c r="G82" i="5"/>
  <c r="I82" i="5" s="1"/>
  <c r="H82" i="5"/>
  <c r="J82" i="5" s="1"/>
  <c r="G83" i="5"/>
  <c r="I83" i="5" s="1"/>
  <c r="H83" i="5"/>
  <c r="J83" i="5" s="1"/>
  <c r="G84" i="5"/>
  <c r="I84" i="5" s="1"/>
  <c r="H84" i="5"/>
  <c r="J84" i="5" s="1"/>
  <c r="G85" i="5"/>
  <c r="I85" i="5" s="1"/>
  <c r="H85" i="5"/>
  <c r="J85" i="5" s="1"/>
  <c r="G86" i="5"/>
  <c r="I86" i="5" s="1"/>
  <c r="H86" i="5"/>
  <c r="J86" i="5" s="1"/>
  <c r="G87" i="5"/>
  <c r="I87" i="5" s="1"/>
  <c r="H87" i="5"/>
  <c r="J87" i="5" s="1"/>
  <c r="G88" i="5"/>
  <c r="I88" i="5" s="1"/>
  <c r="H88" i="5"/>
  <c r="J88" i="5" s="1"/>
  <c r="G89" i="5"/>
  <c r="I89" i="5" s="1"/>
  <c r="H89" i="5"/>
  <c r="J89" i="5" s="1"/>
  <c r="G90" i="5"/>
  <c r="I90" i="5" s="1"/>
  <c r="H90" i="5"/>
  <c r="J90" i="5" s="1"/>
  <c r="G91" i="5"/>
  <c r="I91" i="5" s="1"/>
  <c r="H91" i="5"/>
  <c r="J91" i="5" s="1"/>
  <c r="G92" i="5"/>
  <c r="I92" i="5" s="1"/>
  <c r="H92" i="5"/>
  <c r="J92" i="5" s="1"/>
  <c r="G93" i="5"/>
  <c r="I93" i="5" s="1"/>
  <c r="H93" i="5"/>
  <c r="J93" i="5" s="1"/>
  <c r="G94" i="5"/>
  <c r="I94" i="5" s="1"/>
  <c r="H94" i="5"/>
  <c r="J94" i="5" s="1"/>
  <c r="H78" i="5"/>
  <c r="J78" i="5" s="1"/>
  <c r="G78" i="5"/>
  <c r="I78" i="5" s="1"/>
  <c r="G69" i="5"/>
  <c r="I69" i="5" s="1"/>
  <c r="H69" i="5"/>
  <c r="J69" i="5" s="1"/>
  <c r="G70" i="5"/>
  <c r="I70" i="5" s="1"/>
  <c r="H70" i="5"/>
  <c r="J70" i="5" s="1"/>
  <c r="G71" i="5"/>
  <c r="I71" i="5" s="1"/>
  <c r="H71" i="5"/>
  <c r="J71" i="5" s="1"/>
  <c r="G72" i="5"/>
  <c r="I72" i="5" s="1"/>
  <c r="H72" i="5"/>
  <c r="J72" i="5" s="1"/>
  <c r="G73" i="5"/>
  <c r="I73" i="5" s="1"/>
  <c r="H73" i="5"/>
  <c r="J73" i="5" s="1"/>
  <c r="G74" i="5"/>
  <c r="I74" i="5" s="1"/>
  <c r="H74" i="5"/>
  <c r="J74" i="5" s="1"/>
  <c r="G75" i="5"/>
  <c r="I75" i="5" s="1"/>
  <c r="J75" i="5"/>
  <c r="G76" i="5"/>
  <c r="I76" i="5" s="1"/>
  <c r="H76" i="5"/>
  <c r="J76" i="5" s="1"/>
  <c r="H68" i="5"/>
  <c r="J68" i="5" s="1"/>
  <c r="G68" i="5"/>
  <c r="I68" i="5" s="1"/>
  <c r="G37" i="5"/>
  <c r="I37" i="5" s="1"/>
  <c r="H37" i="5"/>
  <c r="J37" i="5" s="1"/>
  <c r="G38" i="5"/>
  <c r="I38" i="5" s="1"/>
  <c r="H38" i="5"/>
  <c r="J38" i="5" s="1"/>
  <c r="G39" i="5"/>
  <c r="I39" i="5" s="1"/>
  <c r="H39" i="5"/>
  <c r="J39" i="5" s="1"/>
  <c r="G40" i="5"/>
  <c r="I40" i="5" s="1"/>
  <c r="H40" i="5"/>
  <c r="J40" i="5" s="1"/>
  <c r="G41" i="5"/>
  <c r="I41" i="5" s="1"/>
  <c r="H41" i="5"/>
  <c r="J41" i="5" s="1"/>
  <c r="G42" i="5"/>
  <c r="I42" i="5" s="1"/>
  <c r="H42" i="5"/>
  <c r="J42" i="5" s="1"/>
  <c r="G43" i="5"/>
  <c r="I43" i="5" s="1"/>
  <c r="H43" i="5"/>
  <c r="J43" i="5" s="1"/>
  <c r="G44" i="5"/>
  <c r="I44" i="5" s="1"/>
  <c r="H44" i="5"/>
  <c r="J44" i="5" s="1"/>
  <c r="G45" i="5"/>
  <c r="I45" i="5" s="1"/>
  <c r="H45" i="5"/>
  <c r="J45" i="5" s="1"/>
  <c r="G46" i="5"/>
  <c r="I46" i="5" s="1"/>
  <c r="H46" i="5"/>
  <c r="J46" i="5" s="1"/>
  <c r="G47" i="5"/>
  <c r="I47" i="5" s="1"/>
  <c r="H47" i="5"/>
  <c r="J47" i="5" s="1"/>
  <c r="G48" i="5"/>
  <c r="I48" i="5" s="1"/>
  <c r="H48" i="5"/>
  <c r="J48" i="5" s="1"/>
  <c r="G49" i="5"/>
  <c r="I49" i="5" s="1"/>
  <c r="H49" i="5"/>
  <c r="J49" i="5" s="1"/>
  <c r="G50" i="5"/>
  <c r="I50" i="5" s="1"/>
  <c r="H50" i="5"/>
  <c r="J50" i="5" s="1"/>
  <c r="G51" i="5"/>
  <c r="I51" i="5" s="1"/>
  <c r="H51" i="5"/>
  <c r="J51" i="5" s="1"/>
  <c r="G52" i="5"/>
  <c r="I52" i="5" s="1"/>
  <c r="H52" i="5"/>
  <c r="J52" i="5" s="1"/>
  <c r="G53" i="5"/>
  <c r="I53" i="5" s="1"/>
  <c r="H53" i="5"/>
  <c r="J53" i="5" s="1"/>
  <c r="G55" i="5"/>
  <c r="I55" i="5" s="1"/>
  <c r="H55" i="5"/>
  <c r="J55" i="5" s="1"/>
  <c r="G58" i="5"/>
  <c r="I58" i="5" s="1"/>
  <c r="H58" i="5"/>
  <c r="J58" i="5" s="1"/>
  <c r="G59" i="5"/>
  <c r="I59" i="5" s="1"/>
  <c r="H59" i="5"/>
  <c r="J59" i="5" s="1"/>
  <c r="G64" i="5"/>
  <c r="I64" i="5" s="1"/>
  <c r="H64" i="5"/>
  <c r="J64" i="5" s="1"/>
  <c r="G65" i="5"/>
  <c r="I65" i="5" s="1"/>
  <c r="H65" i="5"/>
  <c r="J65" i="5" s="1"/>
  <c r="G66" i="5"/>
  <c r="I66" i="5" s="1"/>
  <c r="H66" i="5"/>
  <c r="J66" i="5" s="1"/>
  <c r="H36" i="5"/>
  <c r="J36" i="5" s="1"/>
  <c r="G36" i="5"/>
  <c r="I36" i="5" s="1"/>
  <c r="G21" i="5"/>
  <c r="I21" i="5" s="1"/>
  <c r="H21" i="5"/>
  <c r="J21" i="5" s="1"/>
  <c r="G22" i="5"/>
  <c r="I22" i="5" s="1"/>
  <c r="H22" i="5"/>
  <c r="J22" i="5" s="1"/>
  <c r="G23" i="5"/>
  <c r="I23" i="5" s="1"/>
  <c r="H23" i="5"/>
  <c r="J23" i="5" s="1"/>
  <c r="G24" i="5"/>
  <c r="I24" i="5" s="1"/>
  <c r="H24" i="5"/>
  <c r="J24" i="5" s="1"/>
  <c r="G25" i="5"/>
  <c r="I25" i="5" s="1"/>
  <c r="H25" i="5"/>
  <c r="J25" i="5" s="1"/>
  <c r="G26" i="5"/>
  <c r="I26" i="5" s="1"/>
  <c r="H26" i="5"/>
  <c r="J26" i="5" s="1"/>
  <c r="G27" i="5"/>
  <c r="I27" i="5" s="1"/>
  <c r="H27" i="5"/>
  <c r="J27" i="5" s="1"/>
  <c r="G28" i="5"/>
  <c r="I28" i="5" s="1"/>
  <c r="H28" i="5"/>
  <c r="J28" i="5" s="1"/>
  <c r="G29" i="5"/>
  <c r="I29" i="5" s="1"/>
  <c r="H29" i="5"/>
  <c r="J29" i="5" s="1"/>
  <c r="G30" i="5"/>
  <c r="I30" i="5" s="1"/>
  <c r="H30" i="5"/>
  <c r="J30" i="5" s="1"/>
  <c r="G31" i="5"/>
  <c r="I31" i="5" s="1"/>
  <c r="H31" i="5"/>
  <c r="J31" i="5" s="1"/>
  <c r="G32" i="5"/>
  <c r="I32" i="5" s="1"/>
  <c r="H32" i="5"/>
  <c r="J32" i="5" s="1"/>
  <c r="G33" i="5"/>
  <c r="I33" i="5" s="1"/>
  <c r="H33" i="5"/>
  <c r="J33" i="5" s="1"/>
  <c r="G34" i="5"/>
  <c r="I34" i="5" s="1"/>
  <c r="H34" i="5"/>
  <c r="J34" i="5" s="1"/>
  <c r="H20" i="5"/>
  <c r="J20" i="5" s="1"/>
  <c r="G20" i="5"/>
  <c r="I20" i="5" s="1"/>
  <c r="G3" i="5"/>
  <c r="I3" i="5" s="1"/>
  <c r="H3" i="5"/>
  <c r="J3" i="5" s="1"/>
  <c r="G4" i="5"/>
  <c r="I4" i="5" s="1"/>
  <c r="H4" i="5"/>
  <c r="J4" i="5" s="1"/>
  <c r="G5" i="5"/>
  <c r="I5" i="5" s="1"/>
  <c r="H5" i="5"/>
  <c r="J5" i="5" s="1"/>
  <c r="G6" i="5"/>
  <c r="I6" i="5" s="1"/>
  <c r="H6" i="5"/>
  <c r="J6" i="5" s="1"/>
  <c r="G7" i="5"/>
  <c r="I7" i="5" s="1"/>
  <c r="H7" i="5"/>
  <c r="J7" i="5" s="1"/>
  <c r="G8" i="5"/>
  <c r="I8" i="5" s="1"/>
  <c r="H8" i="5"/>
  <c r="J8" i="5" s="1"/>
  <c r="G9" i="5"/>
  <c r="I9" i="5" s="1"/>
  <c r="H9" i="5"/>
  <c r="J9" i="5" s="1"/>
  <c r="G10" i="5"/>
  <c r="I10" i="5" s="1"/>
  <c r="H10" i="5"/>
  <c r="J10" i="5" s="1"/>
  <c r="G11" i="5"/>
  <c r="I11" i="5" s="1"/>
  <c r="H11" i="5"/>
  <c r="J11" i="5" s="1"/>
  <c r="G12" i="5"/>
  <c r="I12" i="5" s="1"/>
  <c r="H12" i="5"/>
  <c r="J12" i="5" s="1"/>
  <c r="G13" i="5"/>
  <c r="I13" i="5" s="1"/>
  <c r="H13" i="5"/>
  <c r="J13" i="5" s="1"/>
  <c r="G14" i="5"/>
  <c r="I14" i="5" s="1"/>
  <c r="H14" i="5"/>
  <c r="J14" i="5" s="1"/>
  <c r="G15" i="5"/>
  <c r="I15" i="5" s="1"/>
  <c r="H15" i="5"/>
  <c r="J15" i="5" s="1"/>
  <c r="G16" i="5"/>
  <c r="I16" i="5" s="1"/>
  <c r="H16" i="5"/>
  <c r="J16" i="5" s="1"/>
  <c r="G17" i="5"/>
  <c r="I17" i="5" s="1"/>
  <c r="H17" i="5"/>
  <c r="J17" i="5" s="1"/>
  <c r="G18" i="5"/>
  <c r="I18" i="5" s="1"/>
  <c r="H18" i="5"/>
  <c r="J18" i="5" s="1"/>
  <c r="H2" i="5"/>
  <c r="J2" i="5" s="1"/>
  <c r="G140" i="5"/>
  <c r="I140" i="5" s="1"/>
  <c r="H140" i="5"/>
  <c r="J140" i="5" s="1"/>
  <c r="G142" i="5"/>
  <c r="I142" i="5" s="1"/>
  <c r="H142" i="5"/>
  <c r="J142" i="5" s="1"/>
  <c r="G143" i="5"/>
  <c r="I143" i="5" s="1"/>
  <c r="H143" i="5"/>
  <c r="J143" i="5" s="1"/>
  <c r="G144" i="5"/>
  <c r="I144" i="5" s="1"/>
  <c r="H144" i="5"/>
  <c r="J144" i="5" s="1"/>
  <c r="G145" i="5"/>
  <c r="I145" i="5" s="1"/>
  <c r="H145" i="5"/>
  <c r="J145" i="5" s="1"/>
  <c r="G146" i="5"/>
  <c r="I146" i="5" s="1"/>
  <c r="H146" i="5"/>
  <c r="J146" i="5" s="1"/>
  <c r="G147" i="5"/>
  <c r="I147" i="5" s="1"/>
  <c r="H147" i="5"/>
  <c r="J147" i="5" s="1"/>
  <c r="G148" i="5"/>
  <c r="I148" i="5" s="1"/>
  <c r="H148" i="5"/>
  <c r="J148" i="5" s="1"/>
  <c r="G149" i="5"/>
  <c r="I149" i="5" s="1"/>
  <c r="H149" i="5"/>
  <c r="J149" i="5" s="1"/>
  <c r="G150" i="5"/>
  <c r="I150" i="5" s="1"/>
  <c r="H150" i="5"/>
  <c r="J150" i="5" s="1"/>
  <c r="G151" i="5"/>
  <c r="I151" i="5" s="1"/>
  <c r="H151" i="5"/>
  <c r="J151" i="5" s="1"/>
  <c r="G152" i="5"/>
  <c r="I152" i="5" s="1"/>
  <c r="H152" i="5"/>
  <c r="J152" i="5" s="1"/>
  <c r="G153" i="5"/>
  <c r="I153" i="5" s="1"/>
  <c r="H153" i="5"/>
  <c r="J153" i="5" s="1"/>
  <c r="G154" i="5"/>
  <c r="I154" i="5" s="1"/>
  <c r="H154" i="5"/>
  <c r="J154" i="5" s="1"/>
  <c r="G155" i="5"/>
  <c r="I155" i="5" s="1"/>
  <c r="H155" i="5"/>
  <c r="J155" i="5" s="1"/>
  <c r="G156" i="5"/>
  <c r="I156" i="5" s="1"/>
  <c r="H156" i="5"/>
  <c r="J156" i="5" s="1"/>
  <c r="G157" i="5"/>
  <c r="I157" i="5" s="1"/>
  <c r="H157" i="5"/>
  <c r="J157" i="5" s="1"/>
  <c r="G158" i="5"/>
  <c r="I158" i="5" s="1"/>
  <c r="H158" i="5"/>
  <c r="J158" i="5" s="1"/>
  <c r="G159" i="5"/>
  <c r="I159" i="5" s="1"/>
  <c r="H159" i="5"/>
  <c r="J159" i="5" s="1"/>
  <c r="G160" i="5"/>
  <c r="I160" i="5" s="1"/>
  <c r="H160" i="5"/>
  <c r="J160" i="5" s="1"/>
  <c r="G161" i="5"/>
  <c r="I161" i="5" s="1"/>
  <c r="H161" i="5"/>
  <c r="J161" i="5" s="1"/>
  <c r="G162" i="5"/>
  <c r="I162" i="5" s="1"/>
  <c r="H162" i="5"/>
  <c r="J162" i="5" s="1"/>
  <c r="G163" i="5"/>
  <c r="I163" i="5" s="1"/>
  <c r="H163" i="5"/>
  <c r="J163" i="5" s="1"/>
  <c r="G164" i="5"/>
  <c r="I164" i="5" s="1"/>
  <c r="H164" i="5"/>
  <c r="J164" i="5" s="1"/>
  <c r="G165" i="5"/>
  <c r="I165" i="5" s="1"/>
  <c r="H165" i="5"/>
  <c r="J165" i="5" s="1"/>
  <c r="G166" i="5"/>
  <c r="I166" i="5" s="1"/>
  <c r="H166" i="5"/>
  <c r="J166" i="5" s="1"/>
  <c r="H139" i="5"/>
  <c r="J139" i="5" s="1"/>
  <c r="G139" i="5"/>
  <c r="I139" i="5" s="1"/>
  <c r="H128" i="5"/>
  <c r="J128" i="5" s="1"/>
  <c r="H129" i="5"/>
  <c r="J129" i="5" s="1"/>
  <c r="H130" i="5"/>
  <c r="J130" i="5" s="1"/>
  <c r="H131" i="5"/>
  <c r="J131" i="5" s="1"/>
  <c r="H132" i="5"/>
  <c r="J132" i="5" s="1"/>
  <c r="H133" i="5"/>
  <c r="J133" i="5" s="1"/>
  <c r="H134" i="5"/>
  <c r="J134" i="5" s="1"/>
  <c r="G97" i="5"/>
  <c r="I97" i="5" s="1"/>
  <c r="H97" i="5"/>
  <c r="J97" i="5" s="1"/>
  <c r="G98" i="5"/>
  <c r="I98" i="5" s="1"/>
  <c r="H98" i="5"/>
  <c r="J98" i="5" s="1"/>
  <c r="G99" i="5"/>
  <c r="I99" i="5" s="1"/>
  <c r="H99" i="5"/>
  <c r="J99" i="5" s="1"/>
  <c r="G100" i="5"/>
  <c r="I100" i="5" s="1"/>
  <c r="H100" i="5"/>
  <c r="J100" i="5" s="1"/>
  <c r="G101" i="5"/>
  <c r="I101" i="5" s="1"/>
  <c r="H101" i="5"/>
  <c r="J101" i="5" s="1"/>
  <c r="G102" i="5"/>
  <c r="I102" i="5" s="1"/>
  <c r="H102" i="5"/>
  <c r="J102" i="5" s="1"/>
  <c r="G103" i="5"/>
  <c r="I103" i="5" s="1"/>
  <c r="H103" i="5"/>
  <c r="J103" i="5" s="1"/>
  <c r="G104" i="5"/>
  <c r="I104" i="5" s="1"/>
  <c r="H104" i="5"/>
  <c r="J104" i="5" s="1"/>
  <c r="G105" i="5"/>
  <c r="I105" i="5" s="1"/>
  <c r="H105" i="5"/>
  <c r="J105" i="5" s="1"/>
  <c r="G106" i="5"/>
  <c r="I106" i="5" s="1"/>
  <c r="H106" i="5"/>
  <c r="J106" i="5" s="1"/>
  <c r="G107" i="5"/>
  <c r="I107" i="5" s="1"/>
  <c r="H107" i="5"/>
  <c r="J107" i="5" s="1"/>
  <c r="G109" i="5"/>
  <c r="I109" i="5" s="1"/>
  <c r="H109" i="5"/>
  <c r="J109" i="5" s="1"/>
  <c r="G110" i="5"/>
  <c r="I110" i="5" s="1"/>
  <c r="H110" i="5"/>
  <c r="J110" i="5" s="1"/>
  <c r="G111" i="5"/>
  <c r="I111" i="5" s="1"/>
  <c r="H111" i="5"/>
  <c r="J111" i="5" s="1"/>
  <c r="G112" i="5"/>
  <c r="I112" i="5" s="1"/>
  <c r="H112" i="5"/>
  <c r="J112" i="5" s="1"/>
  <c r="G113" i="5"/>
  <c r="I113" i="5" s="1"/>
  <c r="H113" i="5"/>
  <c r="J113" i="5" s="1"/>
  <c r="G114" i="5"/>
  <c r="I114" i="5" s="1"/>
  <c r="H114" i="5"/>
  <c r="J114" i="5" s="1"/>
  <c r="G115" i="5"/>
  <c r="I115" i="5" s="1"/>
  <c r="H115" i="5"/>
  <c r="J115" i="5" s="1"/>
  <c r="G116" i="5"/>
  <c r="I116" i="5" s="1"/>
  <c r="H116" i="5"/>
  <c r="J116" i="5" s="1"/>
  <c r="G117" i="5"/>
  <c r="I117" i="5" s="1"/>
  <c r="H117" i="5"/>
  <c r="J117" i="5" s="1"/>
  <c r="G118" i="5"/>
  <c r="I118" i="5" s="1"/>
  <c r="H118" i="5"/>
  <c r="J118" i="5" s="1"/>
  <c r="G119" i="5"/>
  <c r="I119" i="5" s="1"/>
  <c r="H119" i="5"/>
  <c r="J119" i="5" s="1"/>
  <c r="G120" i="5"/>
  <c r="I120" i="5" s="1"/>
  <c r="H120" i="5"/>
  <c r="J120" i="5" s="1"/>
  <c r="G121" i="5"/>
  <c r="I121" i="5" s="1"/>
  <c r="H121" i="5"/>
  <c r="J121" i="5" s="1"/>
  <c r="H96" i="5"/>
  <c r="J96" i="5" s="1"/>
  <c r="G96" i="5"/>
  <c r="I96" i="5" s="1"/>
  <c r="AH30" i="5" l="1"/>
  <c r="AF30" i="5"/>
  <c r="AD30" i="5"/>
  <c r="AB30" i="5"/>
  <c r="Z30" i="5"/>
  <c r="X30" i="5"/>
  <c r="V30" i="5"/>
  <c r="T30" i="5"/>
  <c r="R30" i="5"/>
  <c r="P30" i="5"/>
  <c r="N30" i="5"/>
  <c r="L30" i="5"/>
  <c r="AH26" i="5"/>
  <c r="AF26" i="5"/>
  <c r="AD26" i="5"/>
  <c r="AB26" i="5"/>
  <c r="Z26" i="5"/>
  <c r="X26" i="5"/>
  <c r="V26" i="5"/>
  <c r="T26" i="5"/>
  <c r="R26" i="5"/>
  <c r="P26" i="5"/>
  <c r="N26" i="5"/>
  <c r="L26" i="5"/>
  <c r="AH27" i="5"/>
  <c r="AF27" i="5"/>
  <c r="AD27" i="5"/>
  <c r="AB27" i="5"/>
  <c r="Z27" i="5"/>
  <c r="X27" i="5"/>
  <c r="V27" i="5"/>
  <c r="T27" i="5"/>
  <c r="R27" i="5"/>
  <c r="P27" i="5"/>
  <c r="N27" i="5"/>
  <c r="L27" i="5"/>
  <c r="AH22" i="5"/>
  <c r="AF22" i="5"/>
  <c r="AD22" i="5"/>
  <c r="AB22" i="5"/>
  <c r="Z22" i="5"/>
  <c r="X22" i="5"/>
  <c r="V22" i="5"/>
  <c r="T22" i="5"/>
  <c r="R22" i="5"/>
  <c r="P22" i="5"/>
  <c r="N22" i="5"/>
  <c r="L22" i="5"/>
  <c r="AH24" i="5"/>
  <c r="AF24" i="5"/>
  <c r="AD24" i="5"/>
  <c r="AB24" i="5"/>
  <c r="Z24" i="5"/>
  <c r="X24" i="5"/>
  <c r="V24" i="5"/>
  <c r="T24" i="5"/>
  <c r="R24" i="5"/>
  <c r="P24" i="5"/>
  <c r="N24" i="5"/>
  <c r="L24" i="5"/>
  <c r="AH23" i="5"/>
  <c r="AF23" i="5"/>
  <c r="AD23" i="5"/>
  <c r="AB23" i="5"/>
  <c r="Z23" i="5"/>
  <c r="X23" i="5"/>
  <c r="V23" i="5"/>
  <c r="T23" i="5"/>
  <c r="R23" i="5"/>
  <c r="P23" i="5"/>
  <c r="N23" i="5"/>
  <c r="L23" i="5"/>
  <c r="AH34" i="5"/>
  <c r="AF34" i="5"/>
  <c r="AD34" i="5"/>
  <c r="AB34" i="5"/>
  <c r="Z34" i="5"/>
  <c r="X34" i="5"/>
  <c r="V34" i="5"/>
  <c r="T34" i="5"/>
  <c r="R34" i="5"/>
  <c r="P34" i="5"/>
  <c r="N34" i="5"/>
  <c r="L34" i="5"/>
  <c r="AH32" i="5"/>
  <c r="AF32" i="5"/>
  <c r="AD32" i="5"/>
  <c r="AB32" i="5"/>
  <c r="Z32" i="5"/>
  <c r="X32" i="5"/>
  <c r="V32" i="5"/>
  <c r="T32" i="5"/>
  <c r="R32" i="5"/>
  <c r="P32" i="5"/>
  <c r="N32" i="5"/>
  <c r="L32" i="5"/>
  <c r="AH29" i="5"/>
  <c r="AF29" i="5"/>
  <c r="AD29" i="5"/>
  <c r="AB29" i="5"/>
  <c r="Z29" i="5"/>
  <c r="X29" i="5"/>
  <c r="V29" i="5"/>
  <c r="T29" i="5"/>
  <c r="R29" i="5"/>
  <c r="P29" i="5"/>
  <c r="N29" i="5"/>
  <c r="L29" i="5"/>
  <c r="AH25" i="5"/>
  <c r="AF25" i="5"/>
  <c r="AD25" i="5"/>
  <c r="AB25" i="5"/>
  <c r="Z25" i="5"/>
  <c r="X25" i="5"/>
  <c r="V25" i="5"/>
  <c r="T25" i="5"/>
  <c r="R25" i="5"/>
  <c r="P25" i="5"/>
  <c r="N25" i="5"/>
  <c r="L25" i="5"/>
  <c r="AH35" i="5"/>
  <c r="AF35" i="5"/>
  <c r="AD35" i="5"/>
  <c r="AB35" i="5"/>
  <c r="Z35" i="5"/>
  <c r="X35" i="5"/>
  <c r="V35" i="5"/>
  <c r="T35" i="5"/>
  <c r="R35" i="5"/>
  <c r="P35" i="5"/>
  <c r="N35" i="5"/>
  <c r="L35" i="5"/>
  <c r="AH33" i="5"/>
  <c r="AF33" i="5"/>
  <c r="AD33" i="5"/>
  <c r="AB33" i="5"/>
  <c r="Z33" i="5"/>
  <c r="X33" i="5"/>
  <c r="V33" i="5"/>
  <c r="T33" i="5"/>
  <c r="R33" i="5"/>
  <c r="P33" i="5"/>
  <c r="N33" i="5"/>
  <c r="L33" i="5"/>
  <c r="AH31" i="5"/>
  <c r="AF31" i="5"/>
  <c r="AD31" i="5"/>
  <c r="AB31" i="5"/>
  <c r="Z31" i="5"/>
  <c r="X31" i="5"/>
  <c r="V31" i="5"/>
  <c r="T31" i="5"/>
  <c r="R31" i="5"/>
  <c r="P31" i="5"/>
  <c r="N31" i="5"/>
  <c r="L31" i="5"/>
  <c r="AH28" i="5"/>
  <c r="AF28" i="5"/>
  <c r="AD28" i="5"/>
  <c r="AB28" i="5"/>
  <c r="Z28" i="5"/>
  <c r="X28" i="5"/>
  <c r="V28" i="5"/>
  <c r="T28" i="5"/>
  <c r="R28" i="5"/>
  <c r="P28" i="5"/>
  <c r="N28" i="5"/>
  <c r="L28" i="5"/>
  <c r="AH21" i="5"/>
  <c r="AF21" i="5"/>
  <c r="AD21" i="5"/>
  <c r="AB21" i="5"/>
  <c r="Z21" i="5"/>
  <c r="X21" i="5"/>
  <c r="V21" i="5"/>
  <c r="T21" i="5"/>
  <c r="R21" i="5"/>
  <c r="P21" i="5"/>
  <c r="N21" i="5"/>
  <c r="L21" i="5"/>
  <c r="AF20" i="5"/>
  <c r="AB20" i="5"/>
  <c r="X20" i="5"/>
  <c r="T20" i="5"/>
  <c r="P20" i="5"/>
  <c r="L20" i="5"/>
  <c r="AH16" i="5"/>
  <c r="AD16" i="5"/>
  <c r="Z16" i="5"/>
  <c r="V16" i="5"/>
  <c r="R16" i="5"/>
  <c r="N16" i="5"/>
  <c r="AH7" i="5"/>
  <c r="AF7" i="5"/>
  <c r="AD7" i="5"/>
  <c r="AB7" i="5"/>
  <c r="Z7" i="5"/>
  <c r="X7" i="5"/>
  <c r="V7" i="5"/>
  <c r="T7" i="5"/>
  <c r="R7" i="5"/>
  <c r="P7" i="5"/>
  <c r="N7" i="5"/>
  <c r="L7" i="5"/>
  <c r="AF6" i="5"/>
  <c r="AB6" i="5"/>
  <c r="X6" i="5"/>
  <c r="T6" i="5"/>
  <c r="P6" i="5"/>
  <c r="L6" i="5"/>
  <c r="AF12" i="5"/>
  <c r="AB12" i="5"/>
  <c r="X12" i="5"/>
  <c r="T12" i="5"/>
  <c r="P12" i="5"/>
  <c r="L12" i="5"/>
  <c r="AH10" i="5"/>
  <c r="AF10" i="5"/>
  <c r="AD10" i="5"/>
  <c r="AB10" i="5"/>
  <c r="Z10" i="5"/>
  <c r="X10" i="5"/>
  <c r="V10" i="5"/>
  <c r="T10" i="5"/>
  <c r="R10" i="5"/>
  <c r="P10" i="5"/>
  <c r="N10" i="5"/>
  <c r="L10" i="5"/>
  <c r="AH19" i="5"/>
  <c r="AF19" i="5"/>
  <c r="AD19" i="5"/>
  <c r="AB19" i="5"/>
  <c r="Z19" i="5"/>
  <c r="X19" i="5"/>
  <c r="V19" i="5"/>
  <c r="T19" i="5"/>
  <c r="R19" i="5"/>
  <c r="P19" i="5"/>
  <c r="N19" i="5"/>
  <c r="L19" i="5"/>
  <c r="AH13" i="5"/>
  <c r="AF13" i="5"/>
  <c r="AD13" i="5"/>
  <c r="AB13" i="5"/>
  <c r="Z13" i="5"/>
  <c r="X13" i="5"/>
  <c r="V13" i="5"/>
  <c r="T13" i="5"/>
  <c r="R13" i="5"/>
  <c r="P13" i="5"/>
  <c r="N13" i="5"/>
  <c r="L13" i="5"/>
  <c r="AH11" i="5"/>
  <c r="AF11" i="5"/>
  <c r="AD11" i="5"/>
  <c r="AB11" i="5"/>
  <c r="Z11" i="5"/>
  <c r="X11" i="5"/>
  <c r="V11" i="5"/>
  <c r="T11" i="5"/>
  <c r="R11" i="5"/>
  <c r="P11" i="5"/>
  <c r="N11" i="5"/>
  <c r="L11" i="5"/>
  <c r="AH2" i="5"/>
  <c r="AF2" i="5"/>
  <c r="AD2" i="5"/>
  <c r="AB2" i="5"/>
  <c r="Z2" i="5"/>
  <c r="X2" i="5"/>
  <c r="V2" i="5"/>
  <c r="T2" i="5"/>
  <c r="R2" i="5"/>
  <c r="P2" i="5"/>
  <c r="N2" i="5"/>
  <c r="L2" i="5"/>
  <c r="AH4" i="5"/>
  <c r="AF4" i="5"/>
  <c r="AD4" i="5"/>
  <c r="AB4" i="5"/>
  <c r="Z4" i="5"/>
  <c r="X4" i="5"/>
  <c r="V4" i="5"/>
  <c r="T4" i="5"/>
  <c r="R4" i="5"/>
  <c r="P4" i="5"/>
  <c r="N4" i="5"/>
  <c r="L4" i="5"/>
  <c r="AH3" i="5"/>
  <c r="AF3" i="5"/>
  <c r="AD3" i="5"/>
  <c r="AB3" i="5"/>
  <c r="Z3" i="5"/>
  <c r="X3" i="5"/>
  <c r="V3" i="5"/>
  <c r="T3" i="5"/>
  <c r="R3" i="5"/>
  <c r="P3" i="5"/>
  <c r="N3" i="5"/>
  <c r="L3" i="5"/>
  <c r="AH9" i="5"/>
  <c r="AF9" i="5"/>
  <c r="AD9" i="5"/>
  <c r="AB9" i="5"/>
  <c r="Z9" i="5"/>
  <c r="X9" i="5"/>
  <c r="V9" i="5"/>
  <c r="T9" i="5"/>
  <c r="R9" i="5"/>
  <c r="P9" i="5"/>
  <c r="N9" i="5"/>
  <c r="L9" i="5"/>
  <c r="AH15" i="5"/>
  <c r="AF15" i="5"/>
  <c r="AD15" i="5"/>
  <c r="AB15" i="5"/>
  <c r="Z15" i="5"/>
  <c r="X15" i="5"/>
  <c r="V15" i="5"/>
  <c r="T15" i="5"/>
  <c r="R15" i="5"/>
  <c r="P15" i="5"/>
  <c r="N15" i="5"/>
  <c r="L15" i="5"/>
  <c r="AH14" i="5"/>
  <c r="AF14" i="5"/>
  <c r="AD14" i="5"/>
  <c r="AB14" i="5"/>
  <c r="Z14" i="5"/>
  <c r="X14" i="5"/>
  <c r="V14" i="5"/>
  <c r="T14" i="5"/>
  <c r="R14" i="5"/>
  <c r="P14" i="5"/>
  <c r="N14" i="5"/>
  <c r="L14" i="5"/>
  <c r="AH8" i="5"/>
  <c r="AF8" i="5"/>
  <c r="AD8" i="5"/>
  <c r="AB8" i="5"/>
  <c r="Z8" i="5"/>
  <c r="X8" i="5"/>
  <c r="V8" i="5"/>
  <c r="T8" i="5"/>
  <c r="R8" i="5"/>
  <c r="P8" i="5"/>
  <c r="N8" i="5"/>
  <c r="L8" i="5"/>
  <c r="AH5" i="5"/>
  <c r="AF5" i="5"/>
  <c r="AD5" i="5"/>
  <c r="AB5" i="5"/>
  <c r="Z5" i="5"/>
  <c r="X5" i="5"/>
  <c r="V5" i="5"/>
  <c r="T5" i="5"/>
  <c r="R5" i="5"/>
  <c r="P5" i="5"/>
  <c r="N5" i="5"/>
  <c r="L5" i="5"/>
  <c r="AH18" i="5"/>
  <c r="AF18" i="5"/>
  <c r="AD18" i="5"/>
  <c r="AB18" i="5"/>
  <c r="Z18" i="5"/>
  <c r="X18" i="5"/>
  <c r="V18" i="5"/>
  <c r="T18" i="5"/>
  <c r="R18" i="5"/>
  <c r="P18" i="5"/>
  <c r="N18" i="5"/>
  <c r="L18" i="5"/>
  <c r="AH17" i="5"/>
  <c r="AD17" i="5"/>
  <c r="Z17" i="5"/>
  <c r="V17" i="5"/>
  <c r="R17" i="5"/>
  <c r="N17" i="5"/>
  <c r="AH152" i="5"/>
  <c r="AF152" i="5"/>
  <c r="AD152" i="5"/>
  <c r="AB152" i="5"/>
  <c r="Z152" i="5"/>
  <c r="X152" i="5"/>
  <c r="V152" i="5"/>
  <c r="T152" i="5"/>
  <c r="R152" i="5"/>
  <c r="P152" i="5"/>
  <c r="N152" i="5"/>
  <c r="L152" i="5"/>
  <c r="AH151" i="5"/>
  <c r="AF151" i="5"/>
  <c r="AD151" i="5"/>
  <c r="AB151" i="5"/>
  <c r="Z151" i="5"/>
  <c r="X151" i="5"/>
  <c r="V151" i="5"/>
  <c r="T151" i="5"/>
  <c r="R151" i="5"/>
  <c r="P151" i="5"/>
  <c r="N151" i="5"/>
  <c r="L151" i="5"/>
  <c r="AH154" i="5"/>
  <c r="AF154" i="5"/>
  <c r="AD154" i="5"/>
  <c r="AB154" i="5"/>
  <c r="Z154" i="5"/>
  <c r="X154" i="5"/>
  <c r="V154" i="5"/>
  <c r="T154" i="5"/>
  <c r="R154" i="5"/>
  <c r="P154" i="5"/>
  <c r="N154" i="5"/>
  <c r="L154" i="5"/>
  <c r="AH153" i="5"/>
  <c r="AF153" i="5"/>
  <c r="AD153" i="5"/>
  <c r="AB153" i="5"/>
  <c r="Z153" i="5"/>
  <c r="X153" i="5"/>
  <c r="V153" i="5"/>
  <c r="T153" i="5"/>
  <c r="R153" i="5"/>
  <c r="P153" i="5"/>
  <c r="N153" i="5"/>
  <c r="L153" i="5"/>
  <c r="AH156" i="5"/>
  <c r="AF156" i="5"/>
  <c r="AD156" i="5"/>
  <c r="AB156" i="5"/>
  <c r="Z156" i="5"/>
  <c r="X156" i="5"/>
  <c r="V156" i="5"/>
  <c r="T156" i="5"/>
  <c r="R156" i="5"/>
  <c r="P156" i="5"/>
  <c r="N156" i="5"/>
  <c r="L156" i="5"/>
  <c r="AH155" i="5"/>
  <c r="AF155" i="5"/>
  <c r="AD155" i="5"/>
  <c r="AB155" i="5"/>
  <c r="Z155" i="5"/>
  <c r="X155" i="5"/>
  <c r="V155" i="5"/>
  <c r="T155" i="5"/>
  <c r="R155" i="5"/>
  <c r="P155" i="5"/>
  <c r="N155" i="5"/>
  <c r="L155" i="5"/>
  <c r="AH141" i="5"/>
  <c r="AF141" i="5"/>
  <c r="AD141" i="5"/>
  <c r="AB141" i="5"/>
  <c r="Z141" i="5"/>
  <c r="X141" i="5"/>
  <c r="V141" i="5"/>
  <c r="T141" i="5"/>
  <c r="R141" i="5"/>
  <c r="P141" i="5"/>
  <c r="N141" i="5"/>
  <c r="L141" i="5"/>
  <c r="AH166" i="5"/>
  <c r="AF166" i="5"/>
  <c r="AD166" i="5"/>
  <c r="AB166" i="5"/>
  <c r="Z166" i="5"/>
  <c r="X166" i="5"/>
  <c r="V166" i="5"/>
  <c r="T166" i="5"/>
  <c r="R166" i="5"/>
  <c r="P166" i="5"/>
  <c r="N166" i="5"/>
  <c r="L166" i="5"/>
  <c r="AH146" i="5"/>
  <c r="AF146" i="5"/>
  <c r="AD146" i="5"/>
  <c r="AB146" i="5"/>
  <c r="Z146" i="5"/>
  <c r="X146" i="5"/>
  <c r="V146" i="5"/>
  <c r="T146" i="5"/>
  <c r="R146" i="5"/>
  <c r="P146" i="5"/>
  <c r="N146" i="5"/>
  <c r="L146" i="5"/>
  <c r="AH145" i="5"/>
  <c r="AF145" i="5"/>
  <c r="AD145" i="5"/>
  <c r="AB145" i="5"/>
  <c r="Z145" i="5"/>
  <c r="X145" i="5"/>
  <c r="V145" i="5"/>
  <c r="T145" i="5"/>
  <c r="R145" i="5"/>
  <c r="P145" i="5"/>
  <c r="N145" i="5"/>
  <c r="L145" i="5"/>
  <c r="AH163" i="5"/>
  <c r="AF163" i="5"/>
  <c r="AD163" i="5"/>
  <c r="AB163" i="5"/>
  <c r="Z163" i="5"/>
  <c r="X163" i="5"/>
  <c r="V163" i="5"/>
  <c r="T163" i="5"/>
  <c r="R163" i="5"/>
  <c r="P163" i="5"/>
  <c r="N163" i="5"/>
  <c r="L163" i="5"/>
  <c r="AH162" i="5"/>
  <c r="AF162" i="5"/>
  <c r="AD162" i="5"/>
  <c r="AB162" i="5"/>
  <c r="Z162" i="5"/>
  <c r="X162" i="5"/>
  <c r="V162" i="5"/>
  <c r="T162" i="5"/>
  <c r="R162" i="5"/>
  <c r="P162" i="5"/>
  <c r="N162" i="5"/>
  <c r="L162" i="5"/>
  <c r="AH142" i="5"/>
  <c r="AF142" i="5"/>
  <c r="AD142" i="5"/>
  <c r="AB142" i="5"/>
  <c r="Z142" i="5"/>
  <c r="X142" i="5"/>
  <c r="V142" i="5"/>
  <c r="T142" i="5"/>
  <c r="R142" i="5"/>
  <c r="P142" i="5"/>
  <c r="N142" i="5"/>
  <c r="L142" i="5"/>
  <c r="AH140" i="5"/>
  <c r="AF140" i="5"/>
  <c r="AD140" i="5"/>
  <c r="AB140" i="5"/>
  <c r="Z140" i="5"/>
  <c r="X140" i="5"/>
  <c r="V140" i="5"/>
  <c r="T140" i="5"/>
  <c r="R140" i="5"/>
  <c r="P140" i="5"/>
  <c r="N140" i="5"/>
  <c r="L140" i="5"/>
  <c r="AH148" i="5"/>
  <c r="AF148" i="5"/>
  <c r="AD148" i="5"/>
  <c r="AB148" i="5"/>
  <c r="Z148" i="5"/>
  <c r="X148" i="5"/>
  <c r="V148" i="5"/>
  <c r="T148" i="5"/>
  <c r="R148" i="5"/>
  <c r="P148" i="5"/>
  <c r="N148" i="5"/>
  <c r="L148" i="5"/>
  <c r="AH147" i="5"/>
  <c r="AF147" i="5"/>
  <c r="AD147" i="5"/>
  <c r="AB147" i="5"/>
  <c r="Z147" i="5"/>
  <c r="X147" i="5"/>
  <c r="V147" i="5"/>
  <c r="T147" i="5"/>
  <c r="R147" i="5"/>
  <c r="P147" i="5"/>
  <c r="N147" i="5"/>
  <c r="L147" i="5"/>
  <c r="AH149" i="5"/>
  <c r="AF149" i="5"/>
  <c r="AD149" i="5"/>
  <c r="AB149" i="5"/>
  <c r="Z149" i="5"/>
  <c r="X149" i="5"/>
  <c r="V149" i="5"/>
  <c r="T149" i="5"/>
  <c r="R149" i="5"/>
  <c r="P149" i="5"/>
  <c r="N149" i="5"/>
  <c r="L149" i="5"/>
  <c r="AH159" i="5"/>
  <c r="AF159" i="5"/>
  <c r="AD159" i="5"/>
  <c r="AB159" i="5"/>
  <c r="Z159" i="5"/>
  <c r="X159" i="5"/>
  <c r="V159" i="5"/>
  <c r="T159" i="5"/>
  <c r="R159" i="5"/>
  <c r="P159" i="5"/>
  <c r="N159" i="5"/>
  <c r="L159" i="5"/>
  <c r="AH158" i="5"/>
  <c r="AF158" i="5"/>
  <c r="AD158" i="5"/>
  <c r="AB158" i="5"/>
  <c r="Z158" i="5"/>
  <c r="X158" i="5"/>
  <c r="V158" i="5"/>
  <c r="T158" i="5"/>
  <c r="R158" i="5"/>
  <c r="P158" i="5"/>
  <c r="N158" i="5"/>
  <c r="L158" i="5"/>
  <c r="AH139" i="5"/>
  <c r="AF139" i="5"/>
  <c r="AD139" i="5"/>
  <c r="AB139" i="5"/>
  <c r="Z139" i="5"/>
  <c r="X139" i="5"/>
  <c r="V139" i="5"/>
  <c r="T139" i="5"/>
  <c r="R139" i="5"/>
  <c r="P139" i="5"/>
  <c r="N139" i="5"/>
  <c r="L139" i="5"/>
  <c r="AH161" i="5"/>
  <c r="AF161" i="5"/>
  <c r="AD161" i="5"/>
  <c r="AB161" i="5"/>
  <c r="Z161" i="5"/>
  <c r="X161" i="5"/>
  <c r="V161" i="5"/>
  <c r="T161" i="5"/>
  <c r="R161" i="5"/>
  <c r="P161" i="5"/>
  <c r="N161" i="5"/>
  <c r="L161" i="5"/>
  <c r="AH160" i="5"/>
  <c r="AF160" i="5"/>
  <c r="AD160" i="5"/>
  <c r="AB160" i="5"/>
  <c r="Z160" i="5"/>
  <c r="X160" i="5"/>
  <c r="V160" i="5"/>
  <c r="T160" i="5"/>
  <c r="R160" i="5"/>
  <c r="P160" i="5"/>
  <c r="N160" i="5"/>
  <c r="L160" i="5"/>
  <c r="AH157" i="5"/>
  <c r="AF157" i="5"/>
  <c r="AD157" i="5"/>
  <c r="AB157" i="5"/>
  <c r="Z157" i="5"/>
  <c r="X157" i="5"/>
  <c r="V157" i="5"/>
  <c r="T157" i="5"/>
  <c r="R157" i="5"/>
  <c r="P157" i="5"/>
  <c r="N157" i="5"/>
  <c r="L157" i="5"/>
  <c r="AH150" i="5"/>
  <c r="AF150" i="5"/>
  <c r="AD150" i="5"/>
  <c r="AB150" i="5"/>
  <c r="Z150" i="5"/>
  <c r="X150" i="5"/>
  <c r="V150" i="5"/>
  <c r="T150" i="5"/>
  <c r="R150" i="5"/>
  <c r="P150" i="5"/>
  <c r="N150" i="5"/>
  <c r="L150" i="5"/>
  <c r="AH165" i="5"/>
  <c r="AF165" i="5"/>
  <c r="AD165" i="5"/>
  <c r="AB165" i="5"/>
  <c r="Z165" i="5"/>
  <c r="X165" i="5"/>
  <c r="V165" i="5"/>
  <c r="T165" i="5"/>
  <c r="R165" i="5"/>
  <c r="P165" i="5"/>
  <c r="N165" i="5"/>
  <c r="L165" i="5"/>
  <c r="AH164" i="5"/>
  <c r="AF164" i="5"/>
  <c r="AD164" i="5"/>
  <c r="AB164" i="5"/>
  <c r="Z164" i="5"/>
  <c r="X164" i="5"/>
  <c r="V164" i="5"/>
  <c r="T164" i="5"/>
  <c r="R164" i="5"/>
  <c r="P164" i="5"/>
  <c r="N164" i="5"/>
  <c r="L164" i="5"/>
  <c r="AH144" i="5"/>
  <c r="AF144" i="5"/>
  <c r="AD144" i="5"/>
  <c r="AB144" i="5"/>
  <c r="Z144" i="5"/>
  <c r="X144" i="5"/>
  <c r="V144" i="5"/>
  <c r="T144" i="5"/>
  <c r="R144" i="5"/>
  <c r="P144" i="5"/>
  <c r="N144" i="5"/>
  <c r="L144" i="5"/>
  <c r="AH143" i="5"/>
  <c r="AF143" i="5"/>
  <c r="AD143" i="5"/>
  <c r="AB143" i="5"/>
  <c r="Z143" i="5"/>
  <c r="X143" i="5"/>
  <c r="V143" i="5"/>
  <c r="T143" i="5"/>
  <c r="R143" i="5"/>
  <c r="P143" i="5"/>
  <c r="N143" i="5"/>
  <c r="L143" i="5"/>
  <c r="AH132" i="5"/>
  <c r="AF132" i="5"/>
  <c r="AD132" i="5"/>
  <c r="AB132" i="5"/>
  <c r="Z132" i="5"/>
  <c r="X132" i="5"/>
  <c r="V132" i="5"/>
  <c r="T132" i="5"/>
  <c r="R132" i="5"/>
  <c r="P132" i="5"/>
  <c r="N132" i="5"/>
  <c r="L132" i="5"/>
  <c r="AH133" i="5"/>
  <c r="AF133" i="5"/>
  <c r="AD133" i="5"/>
  <c r="AB133" i="5"/>
  <c r="Z133" i="5"/>
  <c r="X133" i="5"/>
  <c r="V133" i="5"/>
  <c r="T133" i="5"/>
  <c r="R133" i="5"/>
  <c r="P133" i="5"/>
  <c r="N133" i="5"/>
  <c r="L133" i="5"/>
  <c r="AH128" i="5"/>
  <c r="AD128" i="5"/>
  <c r="Z128" i="5"/>
  <c r="V128" i="5"/>
  <c r="R128" i="5"/>
  <c r="N128" i="5"/>
  <c r="AH127" i="5"/>
  <c r="AF127" i="5"/>
  <c r="AD127" i="5"/>
  <c r="AB127" i="5"/>
  <c r="Z127" i="5"/>
  <c r="X127" i="5"/>
  <c r="V127" i="5"/>
  <c r="T127" i="5"/>
  <c r="R127" i="5"/>
  <c r="P127" i="5"/>
  <c r="N127" i="5"/>
  <c r="L127" i="5"/>
  <c r="AH126" i="5"/>
  <c r="AF126" i="5"/>
  <c r="AD126" i="5"/>
  <c r="AB126" i="5"/>
  <c r="Z126" i="5"/>
  <c r="X126" i="5"/>
  <c r="V126" i="5"/>
  <c r="T126" i="5"/>
  <c r="R126" i="5"/>
  <c r="P126" i="5"/>
  <c r="N126" i="5"/>
  <c r="L126" i="5"/>
  <c r="AH125" i="5"/>
  <c r="AF125" i="5"/>
  <c r="AD125" i="5"/>
  <c r="AB125" i="5"/>
  <c r="Z125" i="5"/>
  <c r="X125" i="5"/>
  <c r="V125" i="5"/>
  <c r="T125" i="5"/>
  <c r="R125" i="5"/>
  <c r="P125" i="5"/>
  <c r="N125" i="5"/>
  <c r="L125" i="5"/>
  <c r="AH124" i="5"/>
  <c r="AF124" i="5"/>
  <c r="AD124" i="5"/>
  <c r="AB124" i="5"/>
  <c r="Z124" i="5"/>
  <c r="X124" i="5"/>
  <c r="V124" i="5"/>
  <c r="T124" i="5"/>
  <c r="R124" i="5"/>
  <c r="P124" i="5"/>
  <c r="N124" i="5"/>
  <c r="L124" i="5"/>
  <c r="AH123" i="5"/>
  <c r="AF123" i="5"/>
  <c r="AD123" i="5"/>
  <c r="AB123" i="5"/>
  <c r="Z123" i="5"/>
  <c r="X123" i="5"/>
  <c r="V123" i="5"/>
  <c r="T123" i="5"/>
  <c r="R123" i="5"/>
  <c r="P123" i="5"/>
  <c r="N123" i="5"/>
  <c r="L123" i="5"/>
  <c r="AH134" i="5"/>
  <c r="AF134" i="5"/>
  <c r="AD134" i="5"/>
  <c r="AB134" i="5"/>
  <c r="Z134" i="5"/>
  <c r="X134" i="5"/>
  <c r="V134" i="5"/>
  <c r="T134" i="5"/>
  <c r="R134" i="5"/>
  <c r="P134" i="5"/>
  <c r="N134" i="5"/>
  <c r="L134" i="5"/>
  <c r="AH129" i="5"/>
  <c r="AD129" i="5"/>
  <c r="Z129" i="5"/>
  <c r="V129" i="5"/>
  <c r="R129" i="5"/>
  <c r="N129" i="5"/>
  <c r="AH131" i="5"/>
  <c r="AF131" i="5"/>
  <c r="AD131" i="5"/>
  <c r="AB131" i="5"/>
  <c r="Z131" i="5"/>
  <c r="X131" i="5"/>
  <c r="V131" i="5"/>
  <c r="T131" i="5"/>
  <c r="R131" i="5"/>
  <c r="P131" i="5"/>
  <c r="N131" i="5"/>
  <c r="L131" i="5"/>
  <c r="AH130" i="5"/>
  <c r="AF130" i="5"/>
  <c r="AD130" i="5"/>
  <c r="AB130" i="5"/>
  <c r="Z130" i="5"/>
  <c r="X130" i="5"/>
  <c r="V130" i="5"/>
  <c r="T130" i="5"/>
  <c r="R130" i="5"/>
  <c r="P130" i="5"/>
  <c r="N130" i="5"/>
  <c r="L130" i="5"/>
  <c r="AH109" i="5"/>
  <c r="AF109" i="5"/>
  <c r="AD109" i="5"/>
  <c r="AB109" i="5"/>
  <c r="Z109" i="5"/>
  <c r="X109" i="5"/>
  <c r="V109" i="5"/>
  <c r="T109" i="5"/>
  <c r="R109" i="5"/>
  <c r="P109" i="5"/>
  <c r="N109" i="5"/>
  <c r="L109" i="5"/>
  <c r="AH101" i="5"/>
  <c r="AF101" i="5"/>
  <c r="AD101" i="5"/>
  <c r="AB101" i="5"/>
  <c r="Z101" i="5"/>
  <c r="X101" i="5"/>
  <c r="V101" i="5"/>
  <c r="T101" i="5"/>
  <c r="R101" i="5"/>
  <c r="P101" i="5"/>
  <c r="N101" i="5"/>
  <c r="L101" i="5"/>
  <c r="AH104" i="5"/>
  <c r="AF104" i="5"/>
  <c r="AD104" i="5"/>
  <c r="AB104" i="5"/>
  <c r="Z104" i="5"/>
  <c r="X104" i="5"/>
  <c r="V104" i="5"/>
  <c r="T104" i="5"/>
  <c r="R104" i="5"/>
  <c r="P104" i="5"/>
  <c r="N104" i="5"/>
  <c r="L104" i="5"/>
  <c r="AH103" i="5"/>
  <c r="AF103" i="5"/>
  <c r="AD103" i="5"/>
  <c r="AB103" i="5"/>
  <c r="Z103" i="5"/>
  <c r="X103" i="5"/>
  <c r="V103" i="5"/>
  <c r="T103" i="5"/>
  <c r="R103" i="5"/>
  <c r="P103" i="5"/>
  <c r="N103" i="5"/>
  <c r="L103" i="5"/>
  <c r="AH102" i="5"/>
  <c r="AF102" i="5"/>
  <c r="AD102" i="5"/>
  <c r="AB102" i="5"/>
  <c r="Z102" i="5"/>
  <c r="X102" i="5"/>
  <c r="V102" i="5"/>
  <c r="T102" i="5"/>
  <c r="R102" i="5"/>
  <c r="P102" i="5"/>
  <c r="N102" i="5"/>
  <c r="L102" i="5"/>
  <c r="AH121" i="5"/>
  <c r="AF121" i="5"/>
  <c r="AD121" i="5"/>
  <c r="AB121" i="5"/>
  <c r="Z121" i="5"/>
  <c r="X121" i="5"/>
  <c r="V121" i="5"/>
  <c r="T121" i="5"/>
  <c r="R121" i="5"/>
  <c r="P121" i="5"/>
  <c r="N121" i="5"/>
  <c r="L121" i="5"/>
  <c r="AH97" i="5"/>
  <c r="AF97" i="5"/>
  <c r="AD97" i="5"/>
  <c r="AB97" i="5"/>
  <c r="Z97" i="5"/>
  <c r="X97" i="5"/>
  <c r="V97" i="5"/>
  <c r="T97" i="5"/>
  <c r="R97" i="5"/>
  <c r="P97" i="5"/>
  <c r="N97" i="5"/>
  <c r="L97" i="5"/>
  <c r="AH96" i="5"/>
  <c r="AF96" i="5"/>
  <c r="AD96" i="5"/>
  <c r="AB96" i="5"/>
  <c r="Z96" i="5"/>
  <c r="X96" i="5"/>
  <c r="V96" i="5"/>
  <c r="T96" i="5"/>
  <c r="R96" i="5"/>
  <c r="P96" i="5"/>
  <c r="N96" i="5"/>
  <c r="L96" i="5"/>
  <c r="AH116" i="5"/>
  <c r="AF116" i="5"/>
  <c r="AD116" i="5"/>
  <c r="AB116" i="5"/>
  <c r="Z116" i="5"/>
  <c r="X116" i="5"/>
  <c r="V116" i="5"/>
  <c r="T116" i="5"/>
  <c r="R116" i="5"/>
  <c r="P116" i="5"/>
  <c r="N116" i="5"/>
  <c r="L116" i="5"/>
  <c r="AH115" i="5"/>
  <c r="AF115" i="5"/>
  <c r="AD115" i="5"/>
  <c r="AB115" i="5"/>
  <c r="Z115" i="5"/>
  <c r="X115" i="5"/>
  <c r="V115" i="5"/>
  <c r="T115" i="5"/>
  <c r="R115" i="5"/>
  <c r="P115" i="5"/>
  <c r="N115" i="5"/>
  <c r="L115" i="5"/>
  <c r="AH107" i="5"/>
  <c r="AF107" i="5"/>
  <c r="AD107" i="5"/>
  <c r="AB107" i="5"/>
  <c r="Z107" i="5"/>
  <c r="X107" i="5"/>
  <c r="V107" i="5"/>
  <c r="T107" i="5"/>
  <c r="R107" i="5"/>
  <c r="P107" i="5"/>
  <c r="N107" i="5"/>
  <c r="L107" i="5"/>
  <c r="AH119" i="5"/>
  <c r="AF119" i="5"/>
  <c r="AD119" i="5"/>
  <c r="AB119" i="5"/>
  <c r="Z119" i="5"/>
  <c r="X119" i="5"/>
  <c r="V119" i="5"/>
  <c r="T119" i="5"/>
  <c r="R119" i="5"/>
  <c r="P119" i="5"/>
  <c r="N119" i="5"/>
  <c r="L119" i="5"/>
  <c r="AH108" i="5"/>
  <c r="AF108" i="5"/>
  <c r="AD108" i="5"/>
  <c r="AB108" i="5"/>
  <c r="Z108" i="5"/>
  <c r="X108" i="5"/>
  <c r="V108" i="5"/>
  <c r="T108" i="5"/>
  <c r="R108" i="5"/>
  <c r="P108" i="5"/>
  <c r="N108" i="5"/>
  <c r="L108" i="5"/>
  <c r="AH98" i="5"/>
  <c r="AF98" i="5"/>
  <c r="AD98" i="5"/>
  <c r="AB98" i="5"/>
  <c r="Z98" i="5"/>
  <c r="X98" i="5"/>
  <c r="V98" i="5"/>
  <c r="T98" i="5"/>
  <c r="R98" i="5"/>
  <c r="P98" i="5"/>
  <c r="N98" i="5"/>
  <c r="L98" i="5"/>
  <c r="AH122" i="5"/>
  <c r="AF122" i="5"/>
  <c r="AD122" i="5"/>
  <c r="AB122" i="5"/>
  <c r="Z122" i="5"/>
  <c r="X122" i="5"/>
  <c r="V122" i="5"/>
  <c r="T122" i="5"/>
  <c r="R122" i="5"/>
  <c r="P122" i="5"/>
  <c r="N122" i="5"/>
  <c r="L122" i="5"/>
  <c r="AH99" i="5"/>
  <c r="AF99" i="5"/>
  <c r="AD99" i="5"/>
  <c r="AB99" i="5"/>
  <c r="Z99" i="5"/>
  <c r="X99" i="5"/>
  <c r="V99" i="5"/>
  <c r="T99" i="5"/>
  <c r="R99" i="5"/>
  <c r="P99" i="5"/>
  <c r="N99" i="5"/>
  <c r="L99" i="5"/>
  <c r="AH114" i="5"/>
  <c r="AF114" i="5"/>
  <c r="AD114" i="5"/>
  <c r="AB114" i="5"/>
  <c r="Z114" i="5"/>
  <c r="X114" i="5"/>
  <c r="V114" i="5"/>
  <c r="T114" i="5"/>
  <c r="R114" i="5"/>
  <c r="P114" i="5"/>
  <c r="N114" i="5"/>
  <c r="L114" i="5"/>
  <c r="AH113" i="5"/>
  <c r="AF113" i="5"/>
  <c r="AD113" i="5"/>
  <c r="AB113" i="5"/>
  <c r="Z113" i="5"/>
  <c r="X113" i="5"/>
  <c r="V113" i="5"/>
  <c r="T113" i="5"/>
  <c r="R113" i="5"/>
  <c r="P113" i="5"/>
  <c r="N113" i="5"/>
  <c r="L113" i="5"/>
  <c r="AH112" i="5"/>
  <c r="AF112" i="5"/>
  <c r="AD112" i="5"/>
  <c r="AB112" i="5"/>
  <c r="Z112" i="5"/>
  <c r="X112" i="5"/>
  <c r="V112" i="5"/>
  <c r="T112" i="5"/>
  <c r="R112" i="5"/>
  <c r="P112" i="5"/>
  <c r="N112" i="5"/>
  <c r="L112" i="5"/>
  <c r="AH106" i="5"/>
  <c r="AF106" i="5"/>
  <c r="AD106" i="5"/>
  <c r="AB106" i="5"/>
  <c r="Z106" i="5"/>
  <c r="X106" i="5"/>
  <c r="V106" i="5"/>
  <c r="T106" i="5"/>
  <c r="R106" i="5"/>
  <c r="P106" i="5"/>
  <c r="N106" i="5"/>
  <c r="L106" i="5"/>
  <c r="AH120" i="5"/>
  <c r="AF120" i="5"/>
  <c r="AD120" i="5"/>
  <c r="AB120" i="5"/>
  <c r="Z120" i="5"/>
  <c r="X120" i="5"/>
  <c r="V120" i="5"/>
  <c r="T120" i="5"/>
  <c r="R120" i="5"/>
  <c r="P120" i="5"/>
  <c r="N120" i="5"/>
  <c r="L120" i="5"/>
  <c r="AH111" i="5"/>
  <c r="AF111" i="5"/>
  <c r="AD111" i="5"/>
  <c r="AB111" i="5"/>
  <c r="Z111" i="5"/>
  <c r="X111" i="5"/>
  <c r="V111" i="5"/>
  <c r="T111" i="5"/>
  <c r="R111" i="5"/>
  <c r="P111" i="5"/>
  <c r="N111" i="5"/>
  <c r="L111" i="5"/>
  <c r="AH110" i="5"/>
  <c r="AF110" i="5"/>
  <c r="AD110" i="5"/>
  <c r="AB110" i="5"/>
  <c r="Z110" i="5"/>
  <c r="X110" i="5"/>
  <c r="V110" i="5"/>
  <c r="T110" i="5"/>
  <c r="R110" i="5"/>
  <c r="P110" i="5"/>
  <c r="N110" i="5"/>
  <c r="L110" i="5"/>
  <c r="AH105" i="5"/>
  <c r="AF105" i="5"/>
  <c r="AD105" i="5"/>
  <c r="AB105" i="5"/>
  <c r="Z105" i="5"/>
  <c r="X105" i="5"/>
  <c r="V105" i="5"/>
  <c r="T105" i="5"/>
  <c r="R105" i="5"/>
  <c r="P105" i="5"/>
  <c r="N105" i="5"/>
  <c r="L105" i="5"/>
  <c r="AH100" i="5"/>
  <c r="AF100" i="5"/>
  <c r="AD100" i="5"/>
  <c r="AB100" i="5"/>
  <c r="Z100" i="5"/>
  <c r="X100" i="5"/>
  <c r="V100" i="5"/>
  <c r="T100" i="5"/>
  <c r="R100" i="5"/>
  <c r="P100" i="5"/>
  <c r="N100" i="5"/>
  <c r="L100" i="5"/>
  <c r="AH118" i="5"/>
  <c r="AF118" i="5"/>
  <c r="AD118" i="5"/>
  <c r="AB118" i="5"/>
  <c r="Z118" i="5"/>
  <c r="X118" i="5"/>
  <c r="V118" i="5"/>
  <c r="T118" i="5"/>
  <c r="R118" i="5"/>
  <c r="P118" i="5"/>
  <c r="N118" i="5"/>
  <c r="L118" i="5"/>
  <c r="AH117" i="5"/>
  <c r="AF117" i="5"/>
  <c r="AD117" i="5"/>
  <c r="AB117" i="5"/>
  <c r="Z117" i="5"/>
  <c r="X117" i="5"/>
  <c r="V117" i="5"/>
  <c r="T117" i="5"/>
  <c r="R117" i="5"/>
  <c r="P117" i="5"/>
  <c r="N117" i="5"/>
  <c r="L117" i="5"/>
  <c r="AH85" i="5"/>
  <c r="AF85" i="5"/>
  <c r="AD85" i="5"/>
  <c r="AB85" i="5"/>
  <c r="Z85" i="5"/>
  <c r="X85" i="5"/>
  <c r="V85" i="5"/>
  <c r="T85" i="5"/>
  <c r="R85" i="5"/>
  <c r="P85" i="5"/>
  <c r="N85" i="5"/>
  <c r="L85" i="5"/>
  <c r="AH84" i="5"/>
  <c r="AF84" i="5"/>
  <c r="AD84" i="5"/>
  <c r="AB84" i="5"/>
  <c r="Z84" i="5"/>
  <c r="X84" i="5"/>
  <c r="V84" i="5"/>
  <c r="T84" i="5"/>
  <c r="R84" i="5"/>
  <c r="P84" i="5"/>
  <c r="N84" i="5"/>
  <c r="L84" i="5"/>
  <c r="AH92" i="5"/>
  <c r="AF92" i="5"/>
  <c r="AD92" i="5"/>
  <c r="AB92" i="5"/>
  <c r="Z92" i="5"/>
  <c r="X92" i="5"/>
  <c r="V92" i="5"/>
  <c r="T92" i="5"/>
  <c r="R92" i="5"/>
  <c r="P92" i="5"/>
  <c r="N92" i="5"/>
  <c r="L92" i="5"/>
  <c r="AH86" i="5"/>
  <c r="AF86" i="5"/>
  <c r="AD86" i="5"/>
  <c r="AB86" i="5"/>
  <c r="Z86" i="5"/>
  <c r="X86" i="5"/>
  <c r="V86" i="5"/>
  <c r="T86" i="5"/>
  <c r="R86" i="5"/>
  <c r="P86" i="5"/>
  <c r="N86" i="5"/>
  <c r="L86" i="5"/>
  <c r="AH78" i="5"/>
  <c r="AF78" i="5"/>
  <c r="AB78" i="5"/>
  <c r="X78" i="5"/>
  <c r="T78" i="5"/>
  <c r="P78" i="5"/>
  <c r="L78" i="5"/>
  <c r="AH93" i="5"/>
  <c r="AF93" i="5"/>
  <c r="AD93" i="5"/>
  <c r="AB93" i="5"/>
  <c r="Z93" i="5"/>
  <c r="X93" i="5"/>
  <c r="V93" i="5"/>
  <c r="T93" i="5"/>
  <c r="R93" i="5"/>
  <c r="P93" i="5"/>
  <c r="N93" i="5"/>
  <c r="L93" i="5"/>
  <c r="AH88" i="5"/>
  <c r="AF88" i="5"/>
  <c r="AD88" i="5"/>
  <c r="AB88" i="5"/>
  <c r="Z88" i="5"/>
  <c r="X88" i="5"/>
  <c r="V88" i="5"/>
  <c r="T88" i="5"/>
  <c r="R88" i="5"/>
  <c r="P88" i="5"/>
  <c r="N88" i="5"/>
  <c r="L88" i="5"/>
  <c r="AH79" i="5"/>
  <c r="AF79" i="5"/>
  <c r="AD79" i="5"/>
  <c r="AB79" i="5"/>
  <c r="Z79" i="5"/>
  <c r="X79" i="5"/>
  <c r="V79" i="5"/>
  <c r="T79" i="5"/>
  <c r="R79" i="5"/>
  <c r="P79" i="5"/>
  <c r="N79" i="5"/>
  <c r="L79" i="5"/>
  <c r="AH95" i="5"/>
  <c r="AF95" i="5"/>
  <c r="AD95" i="5"/>
  <c r="AB95" i="5"/>
  <c r="Z95" i="5"/>
  <c r="X95" i="5"/>
  <c r="V95" i="5"/>
  <c r="T95" i="5"/>
  <c r="R95" i="5"/>
  <c r="P95" i="5"/>
  <c r="N95" i="5"/>
  <c r="L95" i="5"/>
  <c r="AH91" i="5"/>
  <c r="AF91" i="5"/>
  <c r="AD91" i="5"/>
  <c r="AB91" i="5"/>
  <c r="Z91" i="5"/>
  <c r="X91" i="5"/>
  <c r="V91" i="5"/>
  <c r="T91" i="5"/>
  <c r="R91" i="5"/>
  <c r="P91" i="5"/>
  <c r="N91" i="5"/>
  <c r="L91" i="5"/>
  <c r="AH90" i="5"/>
  <c r="AF90" i="5"/>
  <c r="AB90" i="5"/>
  <c r="X90" i="5"/>
  <c r="T90" i="5"/>
  <c r="P90" i="5"/>
  <c r="L90" i="5"/>
  <c r="AH89" i="5"/>
  <c r="AF89" i="5"/>
  <c r="AB89" i="5"/>
  <c r="X89" i="5"/>
  <c r="T89" i="5"/>
  <c r="P89" i="5"/>
  <c r="L89" i="5"/>
  <c r="AH82" i="5"/>
  <c r="AF82" i="5"/>
  <c r="AD82" i="5"/>
  <c r="AB82" i="5"/>
  <c r="Z82" i="5"/>
  <c r="X82" i="5"/>
  <c r="V82" i="5"/>
  <c r="T82" i="5"/>
  <c r="R82" i="5"/>
  <c r="P82" i="5"/>
  <c r="N82" i="5"/>
  <c r="L82" i="5"/>
  <c r="AH81" i="5"/>
  <c r="AF81" i="5"/>
  <c r="AD81" i="5"/>
  <c r="AB81" i="5"/>
  <c r="Z81" i="5"/>
  <c r="X81" i="5"/>
  <c r="V81" i="5"/>
  <c r="T81" i="5"/>
  <c r="R81" i="5"/>
  <c r="P81" i="5"/>
  <c r="N81" i="5"/>
  <c r="L81" i="5"/>
  <c r="AH80" i="5"/>
  <c r="AF80" i="5"/>
  <c r="AD80" i="5"/>
  <c r="AB80" i="5"/>
  <c r="Z80" i="5"/>
  <c r="X80" i="5"/>
  <c r="V80" i="5"/>
  <c r="T80" i="5"/>
  <c r="R80" i="5"/>
  <c r="P80" i="5"/>
  <c r="N80" i="5"/>
  <c r="L80" i="5"/>
  <c r="AH87" i="5"/>
  <c r="AF87" i="5"/>
  <c r="AD87" i="5"/>
  <c r="AB87" i="5"/>
  <c r="Z87" i="5"/>
  <c r="X87" i="5"/>
  <c r="V87" i="5"/>
  <c r="T87" i="5"/>
  <c r="R87" i="5"/>
  <c r="P87" i="5"/>
  <c r="N87" i="5"/>
  <c r="L87" i="5"/>
  <c r="AH83" i="5"/>
  <c r="AF83" i="5"/>
  <c r="AD83" i="5"/>
  <c r="AB83" i="5"/>
  <c r="Z83" i="5"/>
  <c r="X83" i="5"/>
  <c r="V83" i="5"/>
  <c r="T83" i="5"/>
  <c r="R83" i="5"/>
  <c r="P83" i="5"/>
  <c r="N83" i="5"/>
  <c r="L83" i="5"/>
  <c r="AH94" i="5"/>
  <c r="AF94" i="5"/>
  <c r="AD94" i="5"/>
  <c r="AB94" i="5"/>
  <c r="Z94" i="5"/>
  <c r="X94" i="5"/>
  <c r="V94" i="5"/>
  <c r="T94" i="5"/>
  <c r="R94" i="5"/>
  <c r="P94" i="5"/>
  <c r="N94" i="5"/>
  <c r="L94" i="5"/>
  <c r="AH75" i="5"/>
  <c r="AF75" i="5"/>
  <c r="AD75" i="5"/>
  <c r="AB75" i="5"/>
  <c r="Z75" i="5"/>
  <c r="X75" i="5"/>
  <c r="V75" i="5"/>
  <c r="T75" i="5"/>
  <c r="R75" i="5"/>
  <c r="P75" i="5"/>
  <c r="N75" i="5"/>
  <c r="L75" i="5"/>
  <c r="AH67" i="5"/>
  <c r="AF67" i="5"/>
  <c r="AD67" i="5"/>
  <c r="AB67" i="5"/>
  <c r="Z67" i="5"/>
  <c r="X67" i="5"/>
  <c r="V67" i="5"/>
  <c r="T67" i="5"/>
  <c r="R67" i="5"/>
  <c r="P67" i="5"/>
  <c r="N67" i="5"/>
  <c r="L67" i="5"/>
  <c r="AH68" i="5"/>
  <c r="AF68" i="5"/>
  <c r="AD68" i="5"/>
  <c r="AB68" i="5"/>
  <c r="Z68" i="5"/>
  <c r="X68" i="5"/>
  <c r="V68" i="5"/>
  <c r="T68" i="5"/>
  <c r="R68" i="5"/>
  <c r="P68" i="5"/>
  <c r="N68" i="5"/>
  <c r="L68" i="5"/>
  <c r="AH77" i="5"/>
  <c r="AD77" i="5"/>
  <c r="Z77" i="5"/>
  <c r="V77" i="5"/>
  <c r="R77" i="5"/>
  <c r="N77" i="5"/>
  <c r="AH74" i="5"/>
  <c r="AF74" i="5"/>
  <c r="AD74" i="5"/>
  <c r="AB74" i="5"/>
  <c r="Z74" i="5"/>
  <c r="X74" i="5"/>
  <c r="V74" i="5"/>
  <c r="T74" i="5"/>
  <c r="R74" i="5"/>
  <c r="P74" i="5"/>
  <c r="N74" i="5"/>
  <c r="L74" i="5"/>
  <c r="AH72" i="5"/>
  <c r="AF72" i="5"/>
  <c r="AD72" i="5"/>
  <c r="AB72" i="5"/>
  <c r="Z72" i="5"/>
  <c r="X72" i="5"/>
  <c r="V72" i="5"/>
  <c r="T72" i="5"/>
  <c r="R72" i="5"/>
  <c r="P72" i="5"/>
  <c r="N72" i="5"/>
  <c r="L72" i="5"/>
  <c r="AH76" i="5"/>
  <c r="AF76" i="5"/>
  <c r="AD76" i="5"/>
  <c r="AB76" i="5"/>
  <c r="Z76" i="5"/>
  <c r="X76" i="5"/>
  <c r="V76" i="5"/>
  <c r="T76" i="5"/>
  <c r="R76" i="5"/>
  <c r="P76" i="5"/>
  <c r="N76" i="5"/>
  <c r="L76" i="5"/>
  <c r="AH73" i="5"/>
  <c r="AF73" i="5"/>
  <c r="AD73" i="5"/>
  <c r="AB73" i="5"/>
  <c r="Z73" i="5"/>
  <c r="X73" i="5"/>
  <c r="V73" i="5"/>
  <c r="T73" i="5"/>
  <c r="R73" i="5"/>
  <c r="P73" i="5"/>
  <c r="N73" i="5"/>
  <c r="L73" i="5"/>
  <c r="AH70" i="5"/>
  <c r="AF70" i="5"/>
  <c r="AD70" i="5"/>
  <c r="AB70" i="5"/>
  <c r="Z70" i="5"/>
  <c r="X70" i="5"/>
  <c r="V70" i="5"/>
  <c r="T70" i="5"/>
  <c r="R70" i="5"/>
  <c r="P70" i="5"/>
  <c r="N70" i="5"/>
  <c r="L70" i="5"/>
  <c r="AH69" i="5"/>
  <c r="AF69" i="5"/>
  <c r="AD69" i="5"/>
  <c r="AB69" i="5"/>
  <c r="Z69" i="5"/>
  <c r="X69" i="5"/>
  <c r="V69" i="5"/>
  <c r="T69" i="5"/>
  <c r="R69" i="5"/>
  <c r="P69" i="5"/>
  <c r="N69" i="5"/>
  <c r="L69" i="5"/>
  <c r="AH71" i="5"/>
  <c r="AF71" i="5"/>
  <c r="AD71" i="5"/>
  <c r="AB71" i="5"/>
  <c r="Z71" i="5"/>
  <c r="X71" i="5"/>
  <c r="V71" i="5"/>
  <c r="T71" i="5"/>
  <c r="R71" i="5"/>
  <c r="P71" i="5"/>
  <c r="N71" i="5"/>
  <c r="L71" i="5"/>
  <c r="AH64" i="5"/>
  <c r="AF64" i="5"/>
  <c r="AB64" i="5"/>
  <c r="V64" i="5"/>
  <c r="T64" i="5"/>
  <c r="R64" i="5"/>
  <c r="P64" i="5"/>
  <c r="N64" i="5"/>
  <c r="L64" i="5"/>
  <c r="AH58" i="5"/>
  <c r="AF58" i="5"/>
  <c r="AB58" i="5"/>
  <c r="V58" i="5"/>
  <c r="T58" i="5"/>
  <c r="R58" i="5"/>
  <c r="P58" i="5"/>
  <c r="N58" i="5"/>
  <c r="L58" i="5"/>
  <c r="AH41" i="5"/>
  <c r="AF41" i="5"/>
  <c r="AB41" i="5"/>
  <c r="V41" i="5"/>
  <c r="T41" i="5"/>
  <c r="R41" i="5"/>
  <c r="P41" i="5"/>
  <c r="N41" i="5"/>
  <c r="L41" i="5"/>
  <c r="AH59" i="5"/>
  <c r="AF59" i="5"/>
  <c r="AB59" i="5"/>
  <c r="V59" i="5"/>
  <c r="T59" i="5"/>
  <c r="R59" i="5"/>
  <c r="P59" i="5"/>
  <c r="N59" i="5"/>
  <c r="L59" i="5"/>
  <c r="AH52" i="5"/>
  <c r="AF52" i="5"/>
  <c r="AB52" i="5"/>
  <c r="V52" i="5"/>
  <c r="T52" i="5"/>
  <c r="R52" i="5"/>
  <c r="P52" i="5"/>
  <c r="N52" i="5"/>
  <c r="L52" i="5"/>
  <c r="AH43" i="5"/>
  <c r="AF43" i="5"/>
  <c r="AB43" i="5"/>
  <c r="V43" i="5"/>
  <c r="T43" i="5"/>
  <c r="R43" i="5"/>
  <c r="P43" i="5"/>
  <c r="N43" i="5"/>
  <c r="L43" i="5"/>
  <c r="AH42" i="5"/>
  <c r="AF42" i="5"/>
  <c r="AB42" i="5"/>
  <c r="V42" i="5"/>
  <c r="T42" i="5"/>
  <c r="R42" i="5"/>
  <c r="P42" i="5"/>
  <c r="N42" i="5"/>
  <c r="L42" i="5"/>
  <c r="AH65" i="5"/>
  <c r="AF65" i="5"/>
  <c r="AB65" i="5"/>
  <c r="V65" i="5"/>
  <c r="T65" i="5"/>
  <c r="R65" i="5"/>
  <c r="P65" i="5"/>
  <c r="N65" i="5"/>
  <c r="L65" i="5"/>
  <c r="AH60" i="5"/>
  <c r="AF60" i="5"/>
  <c r="AB60" i="5"/>
  <c r="V60" i="5"/>
  <c r="T60" i="5"/>
  <c r="R60" i="5"/>
  <c r="P60" i="5"/>
  <c r="N60" i="5"/>
  <c r="L60" i="5"/>
  <c r="AH62" i="5"/>
  <c r="AF62" i="5"/>
  <c r="AB62" i="5"/>
  <c r="V62" i="5"/>
  <c r="T62" i="5"/>
  <c r="R62" i="5"/>
  <c r="P62" i="5"/>
  <c r="N62" i="5"/>
  <c r="L62" i="5"/>
  <c r="AH56" i="5"/>
  <c r="AF56" i="5"/>
  <c r="AB56" i="5"/>
  <c r="V56" i="5"/>
  <c r="T56" i="5"/>
  <c r="R56" i="5"/>
  <c r="P56" i="5"/>
  <c r="N56" i="5"/>
  <c r="L56" i="5"/>
  <c r="AH47" i="5"/>
  <c r="AF47" i="5"/>
  <c r="AB47" i="5"/>
  <c r="V47" i="5"/>
  <c r="T47" i="5"/>
  <c r="R47" i="5"/>
  <c r="P47" i="5"/>
  <c r="N47" i="5"/>
  <c r="L47" i="5"/>
  <c r="AH57" i="5"/>
  <c r="AF57" i="5"/>
  <c r="AB57" i="5"/>
  <c r="V57" i="5"/>
  <c r="T57" i="5"/>
  <c r="R57" i="5"/>
  <c r="P57" i="5"/>
  <c r="N57" i="5"/>
  <c r="L57" i="5"/>
  <c r="AH49" i="5"/>
  <c r="AF49" i="5"/>
  <c r="AB49" i="5"/>
  <c r="V49" i="5"/>
  <c r="T49" i="5"/>
  <c r="R49" i="5"/>
  <c r="P49" i="5"/>
  <c r="N49" i="5"/>
  <c r="L49" i="5"/>
  <c r="AH38" i="5"/>
  <c r="AF38" i="5"/>
  <c r="AB38" i="5"/>
  <c r="V38" i="5"/>
  <c r="T38" i="5"/>
  <c r="R38" i="5"/>
  <c r="P38" i="5"/>
  <c r="N38" i="5"/>
  <c r="L38" i="5"/>
  <c r="AH37" i="5"/>
  <c r="AF37" i="5"/>
  <c r="AB37" i="5"/>
  <c r="V37" i="5"/>
  <c r="T37" i="5"/>
  <c r="R37" i="5"/>
  <c r="P37" i="5"/>
  <c r="N37" i="5"/>
  <c r="L37" i="5"/>
  <c r="AH36" i="5"/>
  <c r="AF36" i="5"/>
  <c r="AB36" i="5"/>
  <c r="V36" i="5"/>
  <c r="T36" i="5"/>
  <c r="R36" i="5"/>
  <c r="P36" i="5"/>
  <c r="N36" i="5"/>
  <c r="L36" i="5"/>
  <c r="AH63" i="5"/>
  <c r="AF63" i="5"/>
  <c r="AB63" i="5"/>
  <c r="V63" i="5"/>
  <c r="T63" i="5"/>
  <c r="R63" i="5"/>
  <c r="P63" i="5"/>
  <c r="N63" i="5"/>
  <c r="L63" i="5"/>
  <c r="AH50" i="5"/>
  <c r="AF50" i="5"/>
  <c r="AB50" i="5"/>
  <c r="V50" i="5"/>
  <c r="T50" i="5"/>
  <c r="R50" i="5"/>
  <c r="P50" i="5"/>
  <c r="N50" i="5"/>
  <c r="L50" i="5"/>
  <c r="AH39" i="5"/>
  <c r="AF39" i="5"/>
  <c r="AB39" i="5"/>
  <c r="V39" i="5"/>
  <c r="T39" i="5"/>
  <c r="R39" i="5"/>
  <c r="P39" i="5"/>
  <c r="N39" i="5"/>
  <c r="L39" i="5"/>
  <c r="AH61" i="5"/>
  <c r="AF61" i="5"/>
  <c r="AB61" i="5"/>
  <c r="V61" i="5"/>
  <c r="T61" i="5"/>
  <c r="R61" i="5"/>
  <c r="P61" i="5"/>
  <c r="N61" i="5"/>
  <c r="L61" i="5"/>
  <c r="AH54" i="5"/>
  <c r="AF54" i="5"/>
  <c r="AB54" i="5"/>
  <c r="V54" i="5"/>
  <c r="T54" i="5"/>
  <c r="R54" i="5"/>
  <c r="P54" i="5"/>
  <c r="N54" i="5"/>
  <c r="L54" i="5"/>
  <c r="AH45" i="5"/>
  <c r="AF45" i="5"/>
  <c r="AB45" i="5"/>
  <c r="V45" i="5"/>
  <c r="T45" i="5"/>
  <c r="R45" i="5"/>
  <c r="P45" i="5"/>
  <c r="N45" i="5"/>
  <c r="L45" i="5"/>
  <c r="AH44" i="5"/>
  <c r="AF44" i="5"/>
  <c r="AB44" i="5"/>
  <c r="V44" i="5"/>
  <c r="T44" i="5"/>
  <c r="R44" i="5"/>
  <c r="P44" i="5"/>
  <c r="N44" i="5"/>
  <c r="L44" i="5"/>
  <c r="AH55" i="5"/>
  <c r="AF55" i="5"/>
  <c r="AB55" i="5"/>
  <c r="V55" i="5"/>
  <c r="T55" i="5"/>
  <c r="R55" i="5"/>
  <c r="P55" i="5"/>
  <c r="N55" i="5"/>
  <c r="L55" i="5"/>
  <c r="AH46" i="5"/>
  <c r="AF46" i="5"/>
  <c r="AB46" i="5"/>
  <c r="V46" i="5"/>
  <c r="T46" i="5"/>
  <c r="R46" i="5"/>
  <c r="P46" i="5"/>
  <c r="N46" i="5"/>
  <c r="L46" i="5"/>
  <c r="AH53" i="5"/>
  <c r="AF53" i="5"/>
  <c r="AB53" i="5"/>
  <c r="V53" i="5"/>
  <c r="T53" i="5"/>
  <c r="R53" i="5"/>
  <c r="P53" i="5"/>
  <c r="N53" i="5"/>
  <c r="L53" i="5"/>
  <c r="AH51" i="5"/>
  <c r="AF51" i="5"/>
  <c r="AB51" i="5"/>
  <c r="V51" i="5"/>
  <c r="T51" i="5"/>
  <c r="R51" i="5"/>
  <c r="P51" i="5"/>
  <c r="N51" i="5"/>
  <c r="L51" i="5"/>
  <c r="AH40" i="5"/>
  <c r="AF40" i="5"/>
  <c r="AB40" i="5"/>
  <c r="V40" i="5"/>
  <c r="T40" i="5"/>
  <c r="R40" i="5"/>
  <c r="P40" i="5"/>
  <c r="N40" i="5"/>
  <c r="L40" i="5"/>
  <c r="AH66" i="5"/>
  <c r="AF66" i="5"/>
  <c r="AB66" i="5"/>
  <c r="V66" i="5"/>
  <c r="T66" i="5"/>
  <c r="R66" i="5"/>
  <c r="P66" i="5"/>
  <c r="N66" i="5"/>
  <c r="L66" i="5"/>
  <c r="AH48" i="5"/>
  <c r="AF48" i="5"/>
  <c r="AB48" i="5"/>
  <c r="V48" i="5"/>
  <c r="T48" i="5"/>
  <c r="R48" i="5"/>
  <c r="P48" i="5"/>
  <c r="N48" i="5"/>
  <c r="L48" i="5"/>
</calcChain>
</file>

<file path=xl/sharedStrings.xml><?xml version="1.0" encoding="utf-8"?>
<sst xmlns="http://schemas.openxmlformats.org/spreadsheetml/2006/main" count="1278" uniqueCount="128">
  <si>
    <t>Subject</t>
  </si>
  <si>
    <t>L_T_ACC-PAC</t>
  </si>
  <si>
    <t>L_Pct_T_ACC-PAC</t>
  </si>
  <si>
    <t>L_T_dlPFC</t>
  </si>
  <si>
    <t>L_T_dmPFC</t>
  </si>
  <si>
    <t>L_T_OFC-Lateral</t>
  </si>
  <si>
    <t>L_T_OFC-Medial</t>
  </si>
  <si>
    <t>R_T_dlPFC</t>
  </si>
  <si>
    <t>R_T_dmPFC</t>
  </si>
  <si>
    <t>R_T_OFC-Lateral</t>
  </si>
  <si>
    <t>R_T_OFC-Medial</t>
  </si>
  <si>
    <t>L_Pct_T_dlPFC</t>
  </si>
  <si>
    <t>R_Pct_T_dlPFC</t>
  </si>
  <si>
    <t>L_Pct_T_dmPFC</t>
  </si>
  <si>
    <t>R_Pct_T_dmPFC</t>
  </si>
  <si>
    <t>L_Pct_T_OFC-Lateral</t>
  </si>
  <si>
    <t>R_Pct_T_OFC-Lateral</t>
  </si>
  <si>
    <t>L_Pct_T_OFC-Medial</t>
  </si>
  <si>
    <t>R_Pct_T_OFC-Medial</t>
  </si>
  <si>
    <t>R_T_ACC-PAC</t>
  </si>
  <si>
    <t>R_Pct_T_ACC-PAC</t>
  </si>
  <si>
    <t>L_T_vlPFC</t>
  </si>
  <si>
    <t>L_Pct_T_vlPFC</t>
  </si>
  <si>
    <t>R_T_vlPFC</t>
  </si>
  <si>
    <t>R_Pct_T_vlPFC</t>
  </si>
  <si>
    <t>No</t>
  </si>
  <si>
    <t>L_T_ACC_PAC</t>
  </si>
  <si>
    <t>R_T_ACC_PAC</t>
  </si>
  <si>
    <t>0V</t>
  </si>
  <si>
    <t>Yes</t>
  </si>
  <si>
    <t>Np</t>
  </si>
  <si>
    <t>Hypomanic</t>
  </si>
  <si>
    <t>YBOCS_Raw</t>
  </si>
  <si>
    <t>MADRS_Raw</t>
  </si>
  <si>
    <t>YBOCS_Pct</t>
  </si>
  <si>
    <t>MADRS_Pct</t>
  </si>
  <si>
    <t>NA</t>
  </si>
  <si>
    <t>YBOCS_Response</t>
  </si>
  <si>
    <t>MADRS_Response</t>
  </si>
  <si>
    <t>L_T_STN</t>
  </si>
  <si>
    <t>R_STN</t>
  </si>
  <si>
    <t>R_T_STN</t>
  </si>
  <si>
    <t>L_Pct_T_STN</t>
  </si>
  <si>
    <t>R_Pct_T_STN</t>
  </si>
  <si>
    <t>ICV_cc</t>
  </si>
  <si>
    <t>Treatment_Weeks</t>
  </si>
  <si>
    <t>Years</t>
  </si>
  <si>
    <t>YBOCS_Baseline</t>
  </si>
  <si>
    <t>MADRS_Baseline</t>
  </si>
  <si>
    <t>L_Charge</t>
  </si>
  <si>
    <t>R_Charge</t>
  </si>
  <si>
    <t>A</t>
  </si>
  <si>
    <t>B</t>
  </si>
  <si>
    <t>C</t>
  </si>
  <si>
    <t>D</t>
  </si>
  <si>
    <t>E</t>
  </si>
  <si>
    <t>F</t>
  </si>
  <si>
    <t>G</t>
  </si>
  <si>
    <t>H</t>
  </si>
  <si>
    <t>LContactPlus</t>
  </si>
  <si>
    <t>LContactMinus</t>
  </si>
  <si>
    <t>Lvolt</t>
  </si>
  <si>
    <t>Lfreq</t>
  </si>
  <si>
    <t>LPulseWidth</t>
  </si>
  <si>
    <t>Lcharge (uC)</t>
  </si>
  <si>
    <t>RContactPlus</t>
  </si>
  <si>
    <t>RContactMinus</t>
  </si>
  <si>
    <t>Rvolt</t>
  </si>
  <si>
    <t>Rfreq</t>
  </si>
  <si>
    <t>RPulseWidth</t>
  </si>
  <si>
    <t>RCharge (uC)</t>
  </si>
  <si>
    <t>LImpedance</t>
  </si>
  <si>
    <t>RImpedance</t>
  </si>
  <si>
    <t>4</t>
  </si>
  <si>
    <t>2,3</t>
  </si>
  <si>
    <t>135</t>
  </si>
  <si>
    <t>90</t>
  </si>
  <si>
    <t>4.0</t>
  </si>
  <si>
    <t>60</t>
  </si>
  <si>
    <t>500</t>
  </si>
  <si>
    <t>1064</t>
  </si>
  <si>
    <t>5.5</t>
  </si>
  <si>
    <t>4.5</t>
  </si>
  <si>
    <t>595</t>
  </si>
  <si>
    <t>6.0</t>
  </si>
  <si>
    <t>731</t>
  </si>
  <si>
    <t>8.0</t>
  </si>
  <si>
    <t>off</t>
  </si>
  <si>
    <t>100</t>
  </si>
  <si>
    <t>2.0</t>
  </si>
  <si>
    <t>523</t>
  </si>
  <si>
    <t>2.2</t>
  </si>
  <si>
    <t>577</t>
  </si>
  <si>
    <t>2.5</t>
  </si>
  <si>
    <t>658</t>
  </si>
  <si>
    <t>80</t>
  </si>
  <si>
    <t>120</t>
  </si>
  <si>
    <t>150</t>
  </si>
  <si>
    <t>2</t>
  </si>
  <si>
    <t>0,1</t>
  </si>
  <si>
    <t>5.0</t>
  </si>
  <si>
    <t>826</t>
  </si>
  <si>
    <t>180</t>
  </si>
  <si>
    <t>605</t>
  </si>
  <si>
    <t>1000</t>
  </si>
  <si>
    <t>730</t>
  </si>
  <si>
    <t>581</t>
  </si>
  <si>
    <t>5.3</t>
  </si>
  <si>
    <t>617</t>
  </si>
  <si>
    <t>5.4</t>
  </si>
  <si>
    <t>5.9</t>
  </si>
  <si>
    <t>5.2</t>
  </si>
  <si>
    <t>7.0</t>
  </si>
  <si>
    <t>7.5</t>
  </si>
  <si>
    <t>9.0</t>
  </si>
  <si>
    <t>1500</t>
  </si>
  <si>
    <t>8.5</t>
  </si>
  <si>
    <t>140</t>
  </si>
  <si>
    <t>1,3</t>
  </si>
  <si>
    <t>7.2</t>
  </si>
  <si>
    <t>4.4</t>
  </si>
  <si>
    <t>608</t>
  </si>
  <si>
    <t>130</t>
  </si>
  <si>
    <t>732</t>
  </si>
  <si>
    <t>760</t>
  </si>
  <si>
    <t>1,2</t>
  </si>
  <si>
    <t>none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</si>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</sst>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8" formatCode="0.0"/>
  </numFmts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164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4" borderId="0" xfId="0" applyFont="1" applyFill="1"/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8" fillId="0" borderId="0" xfId="0" applyFont="1" applyAlignment="1"/>
    <xf numFmtId="0" fontId="9" fillId="3" borderId="0" xfId="0" applyFont="1" applyFill="1" applyAlignment="1"/>
    <xf numFmtId="0" fontId="9" fillId="4" borderId="0" xfId="0" applyFont="1" applyFill="1" applyAlignment="1"/>
    <xf numFmtId="165" fontId="0" fillId="0" borderId="0" xfId="0" applyNumberFormat="1" applyFont="1" applyAlignment="1"/>
    <xf numFmtId="0" fontId="9" fillId="0" borderId="0" xfId="0" applyFont="1" applyAlignment="1"/>
    <xf numFmtId="0" fontId="3" fillId="3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0" fillId="0" borderId="0" xfId="0"/>
    <xf numFmtId="0" fontId="10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/>
    <xf numFmtId="1" fontId="1" fillId="2" borderId="0" xfId="0" applyNumberFormat="1" applyFont="1" applyFill="1" applyAlignment="1"/>
    <xf numFmtId="1" fontId="0" fillId="0" borderId="0" xfId="0" applyNumberFormat="1" applyFont="1" applyAlignment="1"/>
    <xf numFmtId="0" fontId="3" fillId="7" borderId="0" xfId="0" applyFont="1" applyFill="1"/>
    <xf numFmtId="0" fontId="1" fillId="0" borderId="0" xfId="0" applyFont="1" applyFill="1"/>
    <xf numFmtId="0" fontId="13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15" fillId="0" borderId="0" xfId="0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3445-C893-4EA9-A449-D2DE8D79B070}">
  <dimension ref="A1:AN166"/>
  <sheetViews>
    <sheetView zoomScale="109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166" sqref="A2:A166"/>
    </sheetView>
  </sheetViews>
  <sheetFormatPr baseColWidth="10" defaultColWidth="8.83203125" defaultRowHeight="13" x14ac:dyDescent="0.15"/>
  <cols>
    <col min="2" max="3" width="12.5" style="46" customWidth="1"/>
    <col min="4" max="4" width="14.1640625" customWidth="1"/>
    <col min="7" max="8" width="12.6640625" bestFit="1" customWidth="1"/>
    <col min="9" max="10" width="12.6640625" customWidth="1"/>
    <col min="37" max="37" width="16.1640625" customWidth="1"/>
    <col min="38" max="38" width="20" customWidth="1"/>
    <col min="39" max="39" width="12.6640625" customWidth="1"/>
    <col min="40" max="40" width="26.33203125" customWidth="1"/>
  </cols>
  <sheetData>
    <row r="1" spans="1:40" x14ac:dyDescent="0.15">
      <c r="A1" s="2" t="s">
        <v>0</v>
      </c>
      <c r="B1" s="45" t="s">
        <v>45</v>
      </c>
      <c r="C1" s="45" t="s">
        <v>46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37</v>
      </c>
      <c r="J1" s="2" t="s">
        <v>38</v>
      </c>
      <c r="K1" s="3" t="s">
        <v>1</v>
      </c>
      <c r="L1" s="5" t="s">
        <v>2</v>
      </c>
      <c r="M1" s="3" t="s">
        <v>19</v>
      </c>
      <c r="N1" s="5" t="s">
        <v>20</v>
      </c>
      <c r="O1" s="3" t="s">
        <v>3</v>
      </c>
      <c r="P1" s="5" t="s">
        <v>11</v>
      </c>
      <c r="Q1" s="3" t="s">
        <v>7</v>
      </c>
      <c r="R1" s="5" t="s">
        <v>12</v>
      </c>
      <c r="S1" s="3" t="s">
        <v>4</v>
      </c>
      <c r="T1" s="5" t="s">
        <v>13</v>
      </c>
      <c r="U1" s="3" t="s">
        <v>8</v>
      </c>
      <c r="V1" s="5" t="s">
        <v>14</v>
      </c>
      <c r="W1" s="3" t="s">
        <v>5</v>
      </c>
      <c r="X1" s="5" t="s">
        <v>15</v>
      </c>
      <c r="Y1" s="3" t="s">
        <v>9</v>
      </c>
      <c r="Z1" s="5" t="s">
        <v>16</v>
      </c>
      <c r="AA1" s="3" t="s">
        <v>6</v>
      </c>
      <c r="AB1" s="5" t="s">
        <v>17</v>
      </c>
      <c r="AC1" s="3" t="s">
        <v>10</v>
      </c>
      <c r="AD1" s="5" t="s">
        <v>18</v>
      </c>
      <c r="AE1" s="3" t="s">
        <v>21</v>
      </c>
      <c r="AF1" s="5" t="s">
        <v>22</v>
      </c>
      <c r="AG1" s="3" t="s">
        <v>23</v>
      </c>
      <c r="AH1" s="5" t="s">
        <v>24</v>
      </c>
      <c r="AI1" s="35" t="s">
        <v>39</v>
      </c>
      <c r="AJ1" s="35" t="s">
        <v>41</v>
      </c>
      <c r="AK1" s="36" t="s">
        <v>42</v>
      </c>
      <c r="AL1" s="36" t="s">
        <v>43</v>
      </c>
      <c r="AM1" s="36" t="s">
        <v>49</v>
      </c>
      <c r="AN1" s="36" t="s">
        <v>50</v>
      </c>
    </row>
    <row r="2" spans="1:40" ht="16" x14ac:dyDescent="0.2">
      <c r="A2" s="21" t="s">
        <v>51</v>
      </c>
      <c r="B2" s="40">
        <v>0</v>
      </c>
      <c r="C2" s="40">
        <v>0</v>
      </c>
      <c r="D2" s="31" t="s">
        <v>25</v>
      </c>
      <c r="E2" s="22">
        <v>28</v>
      </c>
      <c r="F2" s="22">
        <v>15</v>
      </c>
      <c r="G2">
        <f>(30-E2)/30*100</f>
        <v>6.666666666666667</v>
      </c>
      <c r="H2">
        <f>(12-F2)/12*100</f>
        <v>-25</v>
      </c>
      <c r="I2" t="b">
        <f>G2&gt;=35</f>
        <v>0</v>
      </c>
      <c r="J2" t="b">
        <f>H2&gt;=50</f>
        <v>0</v>
      </c>
      <c r="K2">
        <v>65</v>
      </c>
      <c r="L2" s="8">
        <f>K2/101</f>
        <v>0.64356435643564358</v>
      </c>
      <c r="M2">
        <v>213</v>
      </c>
      <c r="N2" s="8">
        <f>M2/244</f>
        <v>0.87295081967213117</v>
      </c>
      <c r="O2">
        <v>232</v>
      </c>
      <c r="P2" s="30">
        <f>O2/440</f>
        <v>0.52727272727272723</v>
      </c>
      <c r="Q2">
        <v>150</v>
      </c>
      <c r="R2" s="30">
        <f>Q2/520</f>
        <v>0.28846153846153844</v>
      </c>
      <c r="S2">
        <v>114</v>
      </c>
      <c r="T2" s="8">
        <f>S2/480</f>
        <v>0.23749999999999999</v>
      </c>
      <c r="U2">
        <v>237</v>
      </c>
      <c r="V2" s="8">
        <f>U2/1701</f>
        <v>0.13932980599647266</v>
      </c>
      <c r="W2">
        <v>5</v>
      </c>
      <c r="X2" s="8">
        <f>W2/26</f>
        <v>0.19230769230769232</v>
      </c>
      <c r="Y2">
        <v>0</v>
      </c>
      <c r="Z2" s="8">
        <f>Y2/25</f>
        <v>0</v>
      </c>
      <c r="AA2">
        <v>20</v>
      </c>
      <c r="AB2" s="8">
        <f>AA2/46</f>
        <v>0.43478260869565216</v>
      </c>
      <c r="AC2">
        <v>8</v>
      </c>
      <c r="AD2" s="8">
        <f>AC2/15</f>
        <v>0.53333333333333333</v>
      </c>
      <c r="AE2">
        <v>232</v>
      </c>
      <c r="AF2" s="8">
        <f>AE2/650</f>
        <v>0.3569230769230769</v>
      </c>
      <c r="AG2">
        <v>263</v>
      </c>
      <c r="AH2" s="8">
        <f>AG2/1085</f>
        <v>0.24239631336405529</v>
      </c>
      <c r="AI2" s="39">
        <v>127</v>
      </c>
      <c r="AJ2" s="39">
        <v>32</v>
      </c>
      <c r="AK2">
        <f>AI2/'Total Fiber Count'!$H$2</f>
        <v>0.36811594202898551</v>
      </c>
      <c r="AL2">
        <f>AJ2/'Total Fiber Count'!$O$2</f>
        <v>0.17679558011049723</v>
      </c>
      <c r="AM2" s="10">
        <v>0.63</v>
      </c>
      <c r="AN2">
        <v>0.22556390977443608</v>
      </c>
    </row>
    <row r="3" spans="1:40" ht="16" x14ac:dyDescent="0.2">
      <c r="A3" s="21" t="s">
        <v>51</v>
      </c>
      <c r="B3" s="40">
        <v>2</v>
      </c>
      <c r="C3" s="40">
        <v>3.8461538461538464E-2</v>
      </c>
      <c r="D3" s="31" t="s">
        <v>25</v>
      </c>
      <c r="E3" s="22">
        <v>34</v>
      </c>
      <c r="F3" s="22">
        <v>26</v>
      </c>
      <c r="G3">
        <f>(30-E3)/30*100</f>
        <v>-13.333333333333334</v>
      </c>
      <c r="H3">
        <f>(12-F3)/12*100</f>
        <v>-116.66666666666667</v>
      </c>
      <c r="I3" t="b">
        <f>G3&gt;=35</f>
        <v>0</v>
      </c>
      <c r="J3" t="b">
        <f>H3&gt;=50</f>
        <v>0</v>
      </c>
      <c r="K3">
        <v>65</v>
      </c>
      <c r="L3" s="8">
        <f>K3/101</f>
        <v>0.64356435643564358</v>
      </c>
      <c r="M3">
        <v>213</v>
      </c>
      <c r="N3" s="8">
        <f>M3/244</f>
        <v>0.87295081967213117</v>
      </c>
      <c r="O3">
        <v>232</v>
      </c>
      <c r="P3" s="30">
        <f>O3/440</f>
        <v>0.52727272727272723</v>
      </c>
      <c r="Q3">
        <v>150</v>
      </c>
      <c r="R3" s="30">
        <f>Q3/520</f>
        <v>0.28846153846153844</v>
      </c>
      <c r="S3">
        <v>114</v>
      </c>
      <c r="T3" s="8">
        <f>S3/480</f>
        <v>0.23749999999999999</v>
      </c>
      <c r="U3">
        <v>237</v>
      </c>
      <c r="V3" s="8">
        <f>U3/1701</f>
        <v>0.13932980599647266</v>
      </c>
      <c r="W3">
        <v>5</v>
      </c>
      <c r="X3" s="8">
        <f>W3/26</f>
        <v>0.19230769230769232</v>
      </c>
      <c r="Y3">
        <v>0</v>
      </c>
      <c r="Z3" s="8">
        <f>Y3/25</f>
        <v>0</v>
      </c>
      <c r="AA3">
        <v>20</v>
      </c>
      <c r="AB3" s="8">
        <f>AA3/46</f>
        <v>0.43478260869565216</v>
      </c>
      <c r="AC3">
        <v>8</v>
      </c>
      <c r="AD3" s="8">
        <f>AC3/15</f>
        <v>0.53333333333333333</v>
      </c>
      <c r="AE3">
        <v>232</v>
      </c>
      <c r="AF3" s="8">
        <f>AE3/650</f>
        <v>0.3569230769230769</v>
      </c>
      <c r="AG3">
        <v>263</v>
      </c>
      <c r="AH3" s="8">
        <f>AG3/1085</f>
        <v>0.24239631336405529</v>
      </c>
      <c r="AI3" s="39">
        <v>127</v>
      </c>
      <c r="AJ3" s="39">
        <v>32</v>
      </c>
      <c r="AK3">
        <f>AI3/'Total Fiber Count'!$H$2</f>
        <v>0.36811594202898551</v>
      </c>
      <c r="AL3">
        <f>AJ3/'Total Fiber Count'!$O$2</f>
        <v>0.17679558011049723</v>
      </c>
      <c r="AM3" s="10">
        <v>0.48</v>
      </c>
      <c r="AN3">
        <v>0.22556390977443608</v>
      </c>
    </row>
    <row r="4" spans="1:40" ht="16" x14ac:dyDescent="0.2">
      <c r="A4" s="21" t="s">
        <v>51</v>
      </c>
      <c r="B4" s="40">
        <v>4</v>
      </c>
      <c r="C4" s="40">
        <v>7.6923076923076927E-2</v>
      </c>
      <c r="D4" s="31" t="s">
        <v>25</v>
      </c>
      <c r="E4" s="22">
        <v>31</v>
      </c>
      <c r="F4" s="22">
        <v>19</v>
      </c>
      <c r="G4">
        <f>(30-E4)/30*100</f>
        <v>-3.3333333333333335</v>
      </c>
      <c r="H4">
        <f>(12-F4)/12*100</f>
        <v>-58.333333333333336</v>
      </c>
      <c r="I4" t="b">
        <f>G4&gt;=35</f>
        <v>0</v>
      </c>
      <c r="J4" t="b">
        <f>H4&gt;=50</f>
        <v>0</v>
      </c>
      <c r="K4">
        <v>84</v>
      </c>
      <c r="L4" s="8">
        <f>K4/101</f>
        <v>0.83168316831683164</v>
      </c>
      <c r="M4">
        <v>106</v>
      </c>
      <c r="N4" s="8">
        <f>M4/244</f>
        <v>0.4344262295081967</v>
      </c>
      <c r="O4">
        <v>274</v>
      </c>
      <c r="P4" s="30">
        <f>O4/440</f>
        <v>0.62272727272727268</v>
      </c>
      <c r="Q4">
        <v>227</v>
      </c>
      <c r="R4" s="30">
        <f>Q4/520</f>
        <v>0.43653846153846154</v>
      </c>
      <c r="S4">
        <v>143</v>
      </c>
      <c r="T4" s="8">
        <f>S4/480</f>
        <v>0.29791666666666666</v>
      </c>
      <c r="U4">
        <v>364</v>
      </c>
      <c r="V4" s="8">
        <f>U4/1701</f>
        <v>0.2139917695473251</v>
      </c>
      <c r="W4">
        <v>11</v>
      </c>
      <c r="X4" s="8">
        <f>W4/26</f>
        <v>0.42307692307692307</v>
      </c>
      <c r="Y4">
        <v>0</v>
      </c>
      <c r="Z4" s="8">
        <f>Y4/25</f>
        <v>0</v>
      </c>
      <c r="AA4">
        <v>31</v>
      </c>
      <c r="AB4" s="8">
        <f>AA4/46</f>
        <v>0.67391304347826086</v>
      </c>
      <c r="AC4">
        <v>1</v>
      </c>
      <c r="AD4" s="8">
        <f>AC4/15</f>
        <v>6.6666666666666666E-2</v>
      </c>
      <c r="AE4">
        <v>274</v>
      </c>
      <c r="AF4" s="8">
        <f>AE4/650</f>
        <v>0.42153846153846153</v>
      </c>
      <c r="AG4">
        <v>605</v>
      </c>
      <c r="AH4" s="8">
        <f>AG4/1085</f>
        <v>0.55760368663594473</v>
      </c>
      <c r="AI4" s="39">
        <v>139</v>
      </c>
      <c r="AJ4" s="39">
        <v>40</v>
      </c>
      <c r="AK4">
        <f>AI4/'Total Fiber Count'!$H$2</f>
        <v>0.40289855072463771</v>
      </c>
      <c r="AL4">
        <f>AJ4/'Total Fiber Count'!$O$2</f>
        <v>0.22099447513812154</v>
      </c>
      <c r="AM4" s="10">
        <v>0.48</v>
      </c>
      <c r="AN4">
        <v>0.45378151260504201</v>
      </c>
    </row>
    <row r="5" spans="1:40" ht="16" x14ac:dyDescent="0.2">
      <c r="A5" s="21" t="s">
        <v>51</v>
      </c>
      <c r="B5" s="40">
        <v>8.1428571428571423</v>
      </c>
      <c r="C5" s="40">
        <v>0.15659340659340659</v>
      </c>
      <c r="D5" s="31" t="s">
        <v>25</v>
      </c>
      <c r="E5" s="22">
        <v>28</v>
      </c>
      <c r="F5" s="22">
        <v>22</v>
      </c>
      <c r="G5">
        <f>(30-E5)/30*100</f>
        <v>6.666666666666667</v>
      </c>
      <c r="H5">
        <f>(12-F5)/12*100</f>
        <v>-83.333333333333343</v>
      </c>
      <c r="I5" t="b">
        <f>G5&gt;=35</f>
        <v>0</v>
      </c>
      <c r="J5" t="b">
        <f>H5&gt;=50</f>
        <v>0</v>
      </c>
      <c r="K5">
        <v>88</v>
      </c>
      <c r="L5" s="8">
        <f>K5/101</f>
        <v>0.87128712871287128</v>
      </c>
      <c r="M5">
        <v>161</v>
      </c>
      <c r="N5" s="8">
        <f>M5/244</f>
        <v>0.6598360655737705</v>
      </c>
      <c r="O5">
        <v>289</v>
      </c>
      <c r="P5" s="30">
        <f>O5/440</f>
        <v>0.65681818181818186</v>
      </c>
      <c r="Q5">
        <v>245</v>
      </c>
      <c r="R5" s="30">
        <f>Q5/520</f>
        <v>0.47115384615384615</v>
      </c>
      <c r="S5">
        <v>150</v>
      </c>
      <c r="T5" s="8">
        <f>S5/480</f>
        <v>0.3125</v>
      </c>
      <c r="U5">
        <v>428</v>
      </c>
      <c r="V5" s="8">
        <f>U5/1701</f>
        <v>0.25161669606114051</v>
      </c>
      <c r="W5">
        <v>12</v>
      </c>
      <c r="X5" s="8">
        <f>W5/26</f>
        <v>0.46153846153846156</v>
      </c>
      <c r="Y5">
        <v>0</v>
      </c>
      <c r="Z5" s="8">
        <f>Y5/25</f>
        <v>0</v>
      </c>
      <c r="AA5">
        <v>34</v>
      </c>
      <c r="AB5" s="8">
        <f>AA5/46</f>
        <v>0.73913043478260865</v>
      </c>
      <c r="AC5">
        <v>3</v>
      </c>
      <c r="AD5" s="8">
        <f>AC5/15</f>
        <v>0.2</v>
      </c>
      <c r="AE5">
        <v>289</v>
      </c>
      <c r="AF5" s="8">
        <f>AE5/650</f>
        <v>0.44461538461538463</v>
      </c>
      <c r="AG5">
        <v>723</v>
      </c>
      <c r="AH5" s="8">
        <f>AG5/1085</f>
        <v>0.66635944700460825</v>
      </c>
      <c r="AI5" s="39">
        <v>143</v>
      </c>
      <c r="AJ5" s="39">
        <v>45</v>
      </c>
      <c r="AK5">
        <f>AI5/'Total Fiber Count'!$H$2</f>
        <v>0.41449275362318838</v>
      </c>
      <c r="AL5">
        <f>AJ5/'Total Fiber Count'!$O$2</f>
        <v>0.24861878453038674</v>
      </c>
      <c r="AM5" s="10">
        <v>0.9900000000000001</v>
      </c>
      <c r="AN5">
        <v>0.45143638850889189</v>
      </c>
    </row>
    <row r="6" spans="1:40" ht="16" x14ac:dyDescent="0.2">
      <c r="A6" s="21" t="s">
        <v>51</v>
      </c>
      <c r="B6" s="40">
        <v>13.714285714285714</v>
      </c>
      <c r="C6" s="40">
        <v>0.26373626373626374</v>
      </c>
      <c r="D6" s="31" t="s">
        <v>25</v>
      </c>
      <c r="E6" s="22">
        <v>30</v>
      </c>
      <c r="F6" s="22">
        <v>14</v>
      </c>
      <c r="G6">
        <f>(30-E6)/30*100</f>
        <v>0</v>
      </c>
      <c r="H6">
        <f>(12-F6)/12*100</f>
        <v>-16.666666666666664</v>
      </c>
      <c r="I6" t="b">
        <f>G6&gt;=35</f>
        <v>0</v>
      </c>
      <c r="J6" t="b">
        <f>H6&gt;=50</f>
        <v>0</v>
      </c>
      <c r="K6">
        <v>93</v>
      </c>
      <c r="L6" s="8">
        <f>K6/101</f>
        <v>0.92079207920792083</v>
      </c>
      <c r="M6" s="23" t="s">
        <v>28</v>
      </c>
      <c r="N6" s="8">
        <v>0</v>
      </c>
      <c r="O6">
        <v>317</v>
      </c>
      <c r="P6" s="30">
        <f>O6/440</f>
        <v>0.72045454545454546</v>
      </c>
      <c r="Q6" s="23" t="s">
        <v>28</v>
      </c>
      <c r="R6" s="30">
        <v>0</v>
      </c>
      <c r="S6">
        <v>167</v>
      </c>
      <c r="T6" s="8">
        <f>S6/480</f>
        <v>0.34791666666666665</v>
      </c>
      <c r="U6" s="24" t="s">
        <v>28</v>
      </c>
      <c r="V6" s="8">
        <v>0</v>
      </c>
      <c r="W6">
        <v>17</v>
      </c>
      <c r="X6" s="8">
        <f>W6/26</f>
        <v>0.65384615384615385</v>
      </c>
      <c r="Y6" s="24" t="s">
        <v>28</v>
      </c>
      <c r="Z6" s="8">
        <v>0</v>
      </c>
      <c r="AA6">
        <v>36</v>
      </c>
      <c r="AB6" s="8">
        <f>AA6/46</f>
        <v>0.78260869565217395</v>
      </c>
      <c r="AC6" s="24" t="s">
        <v>28</v>
      </c>
      <c r="AD6" s="8">
        <v>0</v>
      </c>
      <c r="AE6">
        <v>317</v>
      </c>
      <c r="AF6" s="8">
        <f>AE6/650</f>
        <v>0.4876923076923077</v>
      </c>
      <c r="AG6" s="24" t="s">
        <v>28</v>
      </c>
      <c r="AH6" s="8">
        <v>0</v>
      </c>
      <c r="AI6" s="39">
        <v>153</v>
      </c>
      <c r="AJ6" s="39" t="s">
        <v>28</v>
      </c>
      <c r="AK6">
        <f>AI6/'Total Fiber Count'!$H$2</f>
        <v>0.44347826086956521</v>
      </c>
      <c r="AL6">
        <v>0</v>
      </c>
      <c r="AM6" s="10">
        <v>1.08</v>
      </c>
      <c r="AN6">
        <v>0</v>
      </c>
    </row>
    <row r="7" spans="1:40" ht="16" x14ac:dyDescent="0.2">
      <c r="A7" s="21" t="s">
        <v>51</v>
      </c>
      <c r="B7" s="40">
        <v>13.857142857142856</v>
      </c>
      <c r="C7" s="40">
        <v>0.26648351648351648</v>
      </c>
      <c r="D7" s="31" t="s">
        <v>25</v>
      </c>
      <c r="E7" s="22">
        <v>30</v>
      </c>
      <c r="F7" s="22">
        <v>14</v>
      </c>
      <c r="G7">
        <f>(30-E7)/30*100</f>
        <v>0</v>
      </c>
      <c r="H7">
        <f>(12-F7)/12*100</f>
        <v>-16.666666666666664</v>
      </c>
      <c r="I7" t="b">
        <f>G7&gt;=35</f>
        <v>0</v>
      </c>
      <c r="J7" t="b">
        <f>H7&gt;=50</f>
        <v>0</v>
      </c>
      <c r="K7">
        <v>84</v>
      </c>
      <c r="L7" s="8">
        <f>K7/101</f>
        <v>0.83168316831683164</v>
      </c>
      <c r="M7">
        <v>59</v>
      </c>
      <c r="N7" s="8">
        <f>M7/244</f>
        <v>0.24180327868852458</v>
      </c>
      <c r="O7">
        <v>277</v>
      </c>
      <c r="P7" s="30">
        <f>O7/440</f>
        <v>0.62954545454545452</v>
      </c>
      <c r="Q7">
        <v>162</v>
      </c>
      <c r="R7" s="30">
        <f>Q7/520</f>
        <v>0.31153846153846154</v>
      </c>
      <c r="S7">
        <v>145</v>
      </c>
      <c r="T7" s="8">
        <f>S7/480</f>
        <v>0.30208333333333331</v>
      </c>
      <c r="U7">
        <v>249</v>
      </c>
      <c r="V7" s="8">
        <f>U7/1701</f>
        <v>0.14638447971781304</v>
      </c>
      <c r="W7">
        <v>11</v>
      </c>
      <c r="X7" s="8">
        <f>W7/26</f>
        <v>0.42307692307692307</v>
      </c>
      <c r="Y7">
        <v>0</v>
      </c>
      <c r="Z7" s="8">
        <f>Y7/25</f>
        <v>0</v>
      </c>
      <c r="AA7">
        <v>31</v>
      </c>
      <c r="AB7" s="8">
        <f>AA7/46</f>
        <v>0.67391304347826086</v>
      </c>
      <c r="AC7">
        <v>0</v>
      </c>
      <c r="AD7" s="8">
        <f>AC7/15</f>
        <v>0</v>
      </c>
      <c r="AE7">
        <v>277</v>
      </c>
      <c r="AF7" s="8">
        <f>AE7/650</f>
        <v>0.42615384615384616</v>
      </c>
      <c r="AG7">
        <v>301</v>
      </c>
      <c r="AH7" s="8">
        <f>AG7/1085</f>
        <v>0.27741935483870966</v>
      </c>
      <c r="AI7" s="39">
        <v>139</v>
      </c>
      <c r="AJ7" s="39">
        <v>36</v>
      </c>
      <c r="AK7">
        <f>AI7/'Total Fiber Count'!$H$2</f>
        <v>0.40289855072463771</v>
      </c>
      <c r="AL7">
        <f>AJ7/'Total Fiber Count'!$O$2</f>
        <v>0.19889502762430938</v>
      </c>
      <c r="AM7" s="10">
        <v>0.96</v>
      </c>
      <c r="AN7">
        <v>0.2294455066921606</v>
      </c>
    </row>
    <row r="8" spans="1:40" ht="16" x14ac:dyDescent="0.2">
      <c r="A8" s="21" t="s">
        <v>51</v>
      </c>
      <c r="B8" s="40">
        <v>24</v>
      </c>
      <c r="C8" s="40">
        <v>0.46153846153846156</v>
      </c>
      <c r="D8" s="31" t="s">
        <v>25</v>
      </c>
      <c r="E8" s="22">
        <v>29</v>
      </c>
      <c r="F8" s="22">
        <v>23</v>
      </c>
      <c r="G8">
        <f>(30-E8)/30*100</f>
        <v>3.3333333333333335</v>
      </c>
      <c r="H8">
        <f>(12-F8)/12*100</f>
        <v>-91.666666666666657</v>
      </c>
      <c r="I8" t="b">
        <f>G8&gt;=35</f>
        <v>0</v>
      </c>
      <c r="J8" t="b">
        <f>H8&gt;=50</f>
        <v>0</v>
      </c>
      <c r="K8">
        <v>84</v>
      </c>
      <c r="L8" s="8">
        <f>K8/101</f>
        <v>0.83168316831683164</v>
      </c>
      <c r="M8">
        <v>197</v>
      </c>
      <c r="N8" s="8">
        <f>M8/244</f>
        <v>0.80737704918032782</v>
      </c>
      <c r="O8">
        <v>277</v>
      </c>
      <c r="P8" s="30">
        <f>O8/440</f>
        <v>0.62954545454545452</v>
      </c>
      <c r="Q8">
        <v>42</v>
      </c>
      <c r="R8" s="30">
        <f>Q8/520</f>
        <v>8.0769230769230774E-2</v>
      </c>
      <c r="S8">
        <v>145</v>
      </c>
      <c r="T8" s="8">
        <f>S8/480</f>
        <v>0.30208333333333331</v>
      </c>
      <c r="U8">
        <v>46</v>
      </c>
      <c r="V8" s="8">
        <f>U8/1701</f>
        <v>2.7042915931804822E-2</v>
      </c>
      <c r="W8">
        <v>11</v>
      </c>
      <c r="X8" s="8">
        <f>W8/26</f>
        <v>0.42307692307692307</v>
      </c>
      <c r="Y8">
        <v>2</v>
      </c>
      <c r="Z8" s="8">
        <f>Y8/25</f>
        <v>0.08</v>
      </c>
      <c r="AA8">
        <v>31</v>
      </c>
      <c r="AB8" s="8">
        <f>AA8/46</f>
        <v>0.67391304347826086</v>
      </c>
      <c r="AC8">
        <v>8</v>
      </c>
      <c r="AD8" s="8">
        <f>AC8/15</f>
        <v>0.53333333333333333</v>
      </c>
      <c r="AE8">
        <v>277</v>
      </c>
      <c r="AF8" s="8">
        <f>AE8/650</f>
        <v>0.42615384615384616</v>
      </c>
      <c r="AG8">
        <v>17</v>
      </c>
      <c r="AH8" s="8">
        <f>AG8/1085</f>
        <v>1.5668202764976959E-2</v>
      </c>
      <c r="AI8" s="39">
        <v>139</v>
      </c>
      <c r="AJ8" s="39">
        <v>36</v>
      </c>
      <c r="AK8">
        <f>AI8/'Total Fiber Count'!$H$2</f>
        <v>0.40289855072463771</v>
      </c>
      <c r="AL8">
        <f>AJ8/'Total Fiber Count'!$O$2</f>
        <v>0.19889502762430938</v>
      </c>
      <c r="AM8" s="10">
        <v>0.72</v>
      </c>
      <c r="AN8">
        <v>0.22876949740034663</v>
      </c>
    </row>
    <row r="9" spans="1:40" ht="16" x14ac:dyDescent="0.2">
      <c r="A9" s="21" t="s">
        <v>51</v>
      </c>
      <c r="B9" s="40">
        <v>29</v>
      </c>
      <c r="C9" s="40">
        <v>0.55769230769230771</v>
      </c>
      <c r="D9" s="31" t="s">
        <v>25</v>
      </c>
      <c r="E9" s="22">
        <v>29</v>
      </c>
      <c r="F9" s="22">
        <v>24</v>
      </c>
      <c r="G9">
        <f>(30-E9)/30*100</f>
        <v>3.3333333333333335</v>
      </c>
      <c r="H9">
        <f>(12-F9)/12*100</f>
        <v>-100</v>
      </c>
      <c r="I9" t="b">
        <f>G9&gt;=35</f>
        <v>0</v>
      </c>
      <c r="J9" t="b">
        <f>H9&gt;=50</f>
        <v>0</v>
      </c>
      <c r="K9">
        <v>84</v>
      </c>
      <c r="L9" s="8">
        <f>K9/101</f>
        <v>0.83168316831683164</v>
      </c>
      <c r="M9">
        <v>198</v>
      </c>
      <c r="N9" s="8">
        <f>M9/244</f>
        <v>0.81147540983606559</v>
      </c>
      <c r="O9">
        <v>277</v>
      </c>
      <c r="P9" s="30">
        <f>O9/440</f>
        <v>0.62954545454545452</v>
      </c>
      <c r="Q9">
        <v>44</v>
      </c>
      <c r="R9" s="30">
        <f>Q9/520</f>
        <v>8.461538461538462E-2</v>
      </c>
      <c r="S9">
        <v>145</v>
      </c>
      <c r="T9" s="8">
        <f>S9/480</f>
        <v>0.30208333333333331</v>
      </c>
      <c r="U9">
        <v>51</v>
      </c>
      <c r="V9" s="8">
        <f>U9/1701</f>
        <v>2.9982363315696647E-2</v>
      </c>
      <c r="W9">
        <v>11</v>
      </c>
      <c r="X9" s="8">
        <f>W9/26</f>
        <v>0.42307692307692307</v>
      </c>
      <c r="Y9">
        <v>2</v>
      </c>
      <c r="Z9" s="8">
        <f>Y9/25</f>
        <v>0.08</v>
      </c>
      <c r="AA9">
        <v>31</v>
      </c>
      <c r="AB9" s="8">
        <f>AA9/46</f>
        <v>0.67391304347826086</v>
      </c>
      <c r="AC9">
        <v>8</v>
      </c>
      <c r="AD9" s="8">
        <f>AC9/15</f>
        <v>0.53333333333333333</v>
      </c>
      <c r="AE9">
        <v>277</v>
      </c>
      <c r="AF9" s="8">
        <f>AE9/650</f>
        <v>0.42615384615384616</v>
      </c>
      <c r="AG9">
        <v>26</v>
      </c>
      <c r="AH9" s="8">
        <f>AG9/1085</f>
        <v>2.3963133640552997E-2</v>
      </c>
      <c r="AI9" s="39">
        <v>139</v>
      </c>
      <c r="AJ9" s="39">
        <v>9</v>
      </c>
      <c r="AK9">
        <f>AI9/'Total Fiber Count'!$H$2</f>
        <v>0.40289855072463771</v>
      </c>
      <c r="AL9">
        <f>AJ9/'Total Fiber Count'!$O$2</f>
        <v>4.9723756906077346E-2</v>
      </c>
      <c r="AM9" s="10">
        <v>0.72</v>
      </c>
      <c r="AN9">
        <v>0.22796352583586627</v>
      </c>
    </row>
    <row r="10" spans="1:40" ht="16" x14ac:dyDescent="0.2">
      <c r="A10" s="21" t="s">
        <v>51</v>
      </c>
      <c r="B10" s="40">
        <v>38.714285714285715</v>
      </c>
      <c r="C10" s="40">
        <v>0.74450549450549453</v>
      </c>
      <c r="D10" s="31" t="s">
        <v>25</v>
      </c>
      <c r="E10" s="22">
        <v>23</v>
      </c>
      <c r="F10" s="22">
        <v>7</v>
      </c>
      <c r="G10">
        <f>(30-E10)/30*100</f>
        <v>23.333333333333332</v>
      </c>
      <c r="H10">
        <f>(12-F10)/12*100</f>
        <v>41.666666666666671</v>
      </c>
      <c r="I10" t="b">
        <f>G10&gt;=35</f>
        <v>0</v>
      </c>
      <c r="J10" t="b">
        <f>H10&gt;=50</f>
        <v>0</v>
      </c>
      <c r="K10">
        <v>73</v>
      </c>
      <c r="L10" s="8">
        <f>K10/101</f>
        <v>0.72277227722772275</v>
      </c>
      <c r="M10">
        <v>198</v>
      </c>
      <c r="N10" s="8">
        <f>M10/244</f>
        <v>0.81147540983606559</v>
      </c>
      <c r="O10">
        <v>243</v>
      </c>
      <c r="P10" s="30">
        <f>O10/440</f>
        <v>0.55227272727272725</v>
      </c>
      <c r="Q10">
        <v>44</v>
      </c>
      <c r="R10" s="30">
        <f>Q10/520</f>
        <v>8.461538461538462E-2</v>
      </c>
      <c r="S10">
        <v>117</v>
      </c>
      <c r="T10" s="8">
        <f>S10/480</f>
        <v>0.24374999999999999</v>
      </c>
      <c r="U10">
        <v>51</v>
      </c>
      <c r="V10" s="8">
        <f>U10/1701</f>
        <v>2.9982363315696647E-2</v>
      </c>
      <c r="W10">
        <v>5</v>
      </c>
      <c r="X10" s="8">
        <f>W10/26</f>
        <v>0.19230769230769232</v>
      </c>
      <c r="Y10">
        <v>2</v>
      </c>
      <c r="Z10" s="8">
        <f>Y10/25</f>
        <v>0.08</v>
      </c>
      <c r="AA10">
        <v>25</v>
      </c>
      <c r="AB10" s="8">
        <f>AA10/46</f>
        <v>0.54347826086956519</v>
      </c>
      <c r="AC10">
        <v>8</v>
      </c>
      <c r="AD10" s="8">
        <f>AC10/15</f>
        <v>0.53333333333333333</v>
      </c>
      <c r="AE10">
        <v>243</v>
      </c>
      <c r="AF10" s="8">
        <f>AE10/650</f>
        <v>0.37384615384615383</v>
      </c>
      <c r="AG10">
        <v>26</v>
      </c>
      <c r="AH10" s="8">
        <f>AG10/1085</f>
        <v>2.3963133640552997E-2</v>
      </c>
      <c r="AI10" s="39">
        <v>139</v>
      </c>
      <c r="AJ10" s="39">
        <v>9</v>
      </c>
      <c r="AK10">
        <f>AI10/'Total Fiber Count'!$H$2</f>
        <v>0.40289855072463771</v>
      </c>
      <c r="AL10">
        <f>AJ10/'Total Fiber Count'!$O$2</f>
        <v>4.9723756906077346E-2</v>
      </c>
      <c r="AM10" s="10">
        <v>0.72</v>
      </c>
      <c r="AN10">
        <v>0.22796352583586627</v>
      </c>
    </row>
    <row r="11" spans="1:40" ht="16" x14ac:dyDescent="0.2">
      <c r="A11" s="21" t="s">
        <v>51</v>
      </c>
      <c r="B11" s="40">
        <v>51.714285714285715</v>
      </c>
      <c r="C11" s="40">
        <v>0.99450549450549453</v>
      </c>
      <c r="D11" s="31" t="s">
        <v>25</v>
      </c>
      <c r="E11" s="22">
        <v>27</v>
      </c>
      <c r="F11" s="22">
        <v>18</v>
      </c>
      <c r="G11">
        <f>(30-E11)/30*100</f>
        <v>10</v>
      </c>
      <c r="H11">
        <f>(12-F11)/12*100</f>
        <v>-50</v>
      </c>
      <c r="I11" t="b">
        <f>G11&gt;=35</f>
        <v>0</v>
      </c>
      <c r="J11" t="b">
        <f>H11&gt;=50</f>
        <v>0</v>
      </c>
      <c r="K11">
        <v>73</v>
      </c>
      <c r="L11" s="8">
        <f>K11/101</f>
        <v>0.72277227722772275</v>
      </c>
      <c r="M11">
        <v>198</v>
      </c>
      <c r="N11" s="8">
        <f>M11/244</f>
        <v>0.81147540983606559</v>
      </c>
      <c r="O11">
        <v>243</v>
      </c>
      <c r="P11" s="30">
        <f>O11/440</f>
        <v>0.55227272727272725</v>
      </c>
      <c r="Q11">
        <v>44</v>
      </c>
      <c r="R11" s="30">
        <f>Q11/520</f>
        <v>8.461538461538462E-2</v>
      </c>
      <c r="S11">
        <v>117</v>
      </c>
      <c r="T11" s="8">
        <f>S11/480</f>
        <v>0.24374999999999999</v>
      </c>
      <c r="U11">
        <v>51</v>
      </c>
      <c r="V11" s="8">
        <f>U11/1701</f>
        <v>2.9982363315696647E-2</v>
      </c>
      <c r="W11">
        <v>5</v>
      </c>
      <c r="X11" s="8">
        <f>W11/26</f>
        <v>0.19230769230769232</v>
      </c>
      <c r="Y11">
        <v>2</v>
      </c>
      <c r="Z11" s="8">
        <f>Y11/25</f>
        <v>0.08</v>
      </c>
      <c r="AA11">
        <v>25</v>
      </c>
      <c r="AB11" s="8">
        <f>AA11/46</f>
        <v>0.54347826086956519</v>
      </c>
      <c r="AC11">
        <v>8</v>
      </c>
      <c r="AD11" s="8">
        <f>AC11/15</f>
        <v>0.53333333333333333</v>
      </c>
      <c r="AE11">
        <v>243</v>
      </c>
      <c r="AF11" s="8">
        <f>AE11/650</f>
        <v>0.37384615384615383</v>
      </c>
      <c r="AG11">
        <v>26</v>
      </c>
      <c r="AH11" s="8">
        <f>AG11/1085</f>
        <v>2.3963133640552997E-2</v>
      </c>
      <c r="AI11" s="39">
        <v>129</v>
      </c>
      <c r="AJ11" s="39">
        <v>9</v>
      </c>
      <c r="AK11">
        <f>AI11/'Total Fiber Count'!$H$2</f>
        <v>0.37391304347826088</v>
      </c>
      <c r="AL11">
        <f>AJ11/'Total Fiber Count'!$O$2</f>
        <v>4.9723756906077346E-2</v>
      </c>
      <c r="AM11" s="10">
        <v>0.53999999999999992</v>
      </c>
      <c r="AN11">
        <v>0.22796352583586627</v>
      </c>
    </row>
    <row r="12" spans="1:40" ht="16" x14ac:dyDescent="0.2">
      <c r="A12" s="21" t="s">
        <v>51</v>
      </c>
      <c r="B12" s="40">
        <v>87.142857142857139</v>
      </c>
      <c r="C12" s="40">
        <v>1.6758241758241756</v>
      </c>
      <c r="D12" s="31" t="s">
        <v>25</v>
      </c>
      <c r="E12" s="22">
        <v>30</v>
      </c>
      <c r="F12" s="22">
        <v>17</v>
      </c>
      <c r="G12">
        <f>(30-E12)/30*100</f>
        <v>0</v>
      </c>
      <c r="H12">
        <f>(12-F12)/12*100</f>
        <v>-41.666666666666671</v>
      </c>
      <c r="I12" t="b">
        <f>G12&gt;=35</f>
        <v>0</v>
      </c>
      <c r="J12" t="b">
        <f>H12&gt;=50</f>
        <v>0</v>
      </c>
      <c r="K12">
        <v>73</v>
      </c>
      <c r="L12" s="8">
        <f>K12/101</f>
        <v>0.72277227722772275</v>
      </c>
      <c r="M12" s="23" t="s">
        <v>28</v>
      </c>
      <c r="N12" s="8">
        <v>0</v>
      </c>
      <c r="O12">
        <v>243</v>
      </c>
      <c r="P12" s="30">
        <f>O12/440</f>
        <v>0.55227272727272725</v>
      </c>
      <c r="Q12" s="23" t="s">
        <v>28</v>
      </c>
      <c r="R12" s="30">
        <v>0</v>
      </c>
      <c r="S12">
        <v>117</v>
      </c>
      <c r="T12" s="8">
        <f>S12/480</f>
        <v>0.24374999999999999</v>
      </c>
      <c r="U12" s="24" t="s">
        <v>28</v>
      </c>
      <c r="V12" s="8">
        <v>0</v>
      </c>
      <c r="W12">
        <v>5</v>
      </c>
      <c r="X12" s="8">
        <f>W12/26</f>
        <v>0.19230769230769232</v>
      </c>
      <c r="Y12" s="24" t="s">
        <v>28</v>
      </c>
      <c r="Z12" s="8">
        <v>0</v>
      </c>
      <c r="AA12">
        <v>25</v>
      </c>
      <c r="AB12" s="8">
        <f>AA12/46</f>
        <v>0.54347826086956519</v>
      </c>
      <c r="AC12" s="24" t="s">
        <v>28</v>
      </c>
      <c r="AD12" s="8">
        <v>0</v>
      </c>
      <c r="AE12">
        <v>243</v>
      </c>
      <c r="AF12" s="8">
        <f>AE12/650</f>
        <v>0.37384615384615383</v>
      </c>
      <c r="AG12" s="24" t="s">
        <v>28</v>
      </c>
      <c r="AH12" s="8">
        <v>0</v>
      </c>
      <c r="AI12" s="39">
        <v>129</v>
      </c>
      <c r="AJ12" s="39">
        <v>9</v>
      </c>
      <c r="AK12">
        <f>AI12/'Total Fiber Count'!$H$2</f>
        <v>0.37391304347826088</v>
      </c>
      <c r="AL12">
        <f>AJ12/'Total Fiber Count'!$O$2</f>
        <v>4.9723756906077346E-2</v>
      </c>
      <c r="AM12" s="10">
        <v>0.53999999999999992</v>
      </c>
      <c r="AN12">
        <v>0</v>
      </c>
    </row>
    <row r="13" spans="1:40" ht="16" x14ac:dyDescent="0.2">
      <c r="A13" s="21" t="s">
        <v>51</v>
      </c>
      <c r="B13" s="40">
        <v>104.14285714285714</v>
      </c>
      <c r="C13" s="40">
        <v>2.0027472527472527</v>
      </c>
      <c r="D13" s="31" t="s">
        <v>25</v>
      </c>
      <c r="E13" s="22">
        <v>23</v>
      </c>
      <c r="F13" s="22">
        <v>13</v>
      </c>
      <c r="G13">
        <f>(30-E13)/30*100</f>
        <v>23.333333333333332</v>
      </c>
      <c r="H13">
        <f>(12-F13)/12*100</f>
        <v>-8.3333333333333321</v>
      </c>
      <c r="I13" t="b">
        <f>G13&gt;=35</f>
        <v>0</v>
      </c>
      <c r="J13" t="b">
        <f>H13&gt;=50</f>
        <v>0</v>
      </c>
      <c r="K13">
        <v>73</v>
      </c>
      <c r="L13" s="8">
        <f>K13/101</f>
        <v>0.72277227722772275</v>
      </c>
      <c r="M13">
        <v>197</v>
      </c>
      <c r="N13" s="8">
        <f>M13/244</f>
        <v>0.80737704918032782</v>
      </c>
      <c r="O13">
        <v>243</v>
      </c>
      <c r="P13" s="30">
        <f>O13/440</f>
        <v>0.55227272727272725</v>
      </c>
      <c r="Q13">
        <v>42</v>
      </c>
      <c r="R13" s="30">
        <f>Q13/520</f>
        <v>8.0769230769230774E-2</v>
      </c>
      <c r="S13">
        <v>117</v>
      </c>
      <c r="T13" s="8">
        <f>S13/480</f>
        <v>0.24374999999999999</v>
      </c>
      <c r="U13">
        <v>50</v>
      </c>
      <c r="V13" s="8">
        <f>U13/1701</f>
        <v>2.9394473838918283E-2</v>
      </c>
      <c r="W13">
        <v>5</v>
      </c>
      <c r="X13" s="8">
        <f>W13/26</f>
        <v>0.19230769230769232</v>
      </c>
      <c r="Y13">
        <v>2</v>
      </c>
      <c r="Z13" s="8">
        <f>Y13/25</f>
        <v>0.08</v>
      </c>
      <c r="AA13">
        <v>25</v>
      </c>
      <c r="AB13" s="8">
        <f>AA13/46</f>
        <v>0.54347826086956519</v>
      </c>
      <c r="AC13">
        <v>8</v>
      </c>
      <c r="AD13" s="8">
        <f>AC13/15</f>
        <v>0.53333333333333333</v>
      </c>
      <c r="AE13">
        <v>243</v>
      </c>
      <c r="AF13" s="8">
        <f>AE13/650</f>
        <v>0.37384615384615383</v>
      </c>
      <c r="AG13">
        <v>24</v>
      </c>
      <c r="AH13" s="8">
        <f>AG13/1085</f>
        <v>2.2119815668202765E-2</v>
      </c>
      <c r="AI13" s="39">
        <v>129</v>
      </c>
      <c r="AJ13" s="39" t="s">
        <v>28</v>
      </c>
      <c r="AK13">
        <f>AI13/'Total Fiber Count'!$H$2</f>
        <v>0.37391304347826088</v>
      </c>
      <c r="AL13">
        <v>0</v>
      </c>
      <c r="AM13" s="10">
        <v>0.53999999999999992</v>
      </c>
      <c r="AN13">
        <v>0.26999999999999996</v>
      </c>
    </row>
    <row r="14" spans="1:40" ht="16" x14ac:dyDescent="0.2">
      <c r="A14" s="21" t="s">
        <v>51</v>
      </c>
      <c r="B14" s="40">
        <v>129.14285714285714</v>
      </c>
      <c r="C14" s="40">
        <v>2.4835164835164836</v>
      </c>
      <c r="D14" s="31" t="s">
        <v>25</v>
      </c>
      <c r="E14" s="22">
        <v>28</v>
      </c>
      <c r="F14" s="22">
        <v>8</v>
      </c>
      <c r="G14">
        <f>(30-E14)/30*100</f>
        <v>6.666666666666667</v>
      </c>
      <c r="H14">
        <f>(12-F14)/12*100</f>
        <v>33.333333333333329</v>
      </c>
      <c r="I14" t="b">
        <f>G14&gt;=35</f>
        <v>0</v>
      </c>
      <c r="J14" t="b">
        <f>H14&gt;=50</f>
        <v>0</v>
      </c>
      <c r="K14">
        <v>90</v>
      </c>
      <c r="L14" s="8">
        <f>K14/101</f>
        <v>0.8910891089108911</v>
      </c>
      <c r="M14">
        <v>198</v>
      </c>
      <c r="N14" s="8">
        <f>M14/244</f>
        <v>0.81147540983606559</v>
      </c>
      <c r="O14">
        <v>67</v>
      </c>
      <c r="P14" s="30">
        <f>O14/440</f>
        <v>0.15227272727272728</v>
      </c>
      <c r="Q14">
        <v>44</v>
      </c>
      <c r="R14" s="30">
        <f>Q14/520</f>
        <v>8.461538461538462E-2</v>
      </c>
      <c r="S14">
        <v>39</v>
      </c>
      <c r="T14" s="8">
        <f>S14/480</f>
        <v>8.1250000000000003E-2</v>
      </c>
      <c r="U14">
        <v>51</v>
      </c>
      <c r="V14" s="8">
        <f>U14/1701</f>
        <v>2.9982363315696647E-2</v>
      </c>
      <c r="W14">
        <v>7</v>
      </c>
      <c r="X14" s="8">
        <f>W14/26</f>
        <v>0.26923076923076922</v>
      </c>
      <c r="Y14">
        <v>2</v>
      </c>
      <c r="Z14" s="8">
        <f>Y14/25</f>
        <v>0.08</v>
      </c>
      <c r="AA14">
        <v>35</v>
      </c>
      <c r="AB14" s="8">
        <f>AA14/46</f>
        <v>0.76086956521739135</v>
      </c>
      <c r="AC14">
        <v>8</v>
      </c>
      <c r="AD14" s="8">
        <f>AC14/15</f>
        <v>0.53333333333333333</v>
      </c>
      <c r="AE14">
        <v>67</v>
      </c>
      <c r="AF14" s="8">
        <f>AE14/650</f>
        <v>0.10307692307692308</v>
      </c>
      <c r="AG14">
        <v>26</v>
      </c>
      <c r="AH14" s="8">
        <f>AG14/1085</f>
        <v>2.3963133640552997E-2</v>
      </c>
      <c r="AI14" s="39">
        <v>129</v>
      </c>
      <c r="AJ14" s="39">
        <v>9</v>
      </c>
      <c r="AK14">
        <f>AI14/'Total Fiber Count'!$H$2</f>
        <v>0.37391304347826088</v>
      </c>
      <c r="AL14">
        <f>AJ14/'Total Fiber Count'!$O$2</f>
        <v>4.9723756906077346E-2</v>
      </c>
      <c r="AM14" s="10">
        <v>0.53999999999999992</v>
      </c>
      <c r="AN14">
        <v>0.22796352583586627</v>
      </c>
    </row>
    <row r="15" spans="1:40" ht="16" x14ac:dyDescent="0.2">
      <c r="A15" s="21" t="s">
        <v>51</v>
      </c>
      <c r="B15" s="40">
        <v>135.71428571428572</v>
      </c>
      <c r="C15" s="40">
        <v>2.6098901098901099</v>
      </c>
      <c r="D15" s="31" t="s">
        <v>25</v>
      </c>
      <c r="E15" s="22">
        <v>29</v>
      </c>
      <c r="F15" s="22">
        <v>13</v>
      </c>
      <c r="G15">
        <f>(30-E15)/30*100</f>
        <v>3.3333333333333335</v>
      </c>
      <c r="H15">
        <f>(12-F15)/12*100</f>
        <v>-8.3333333333333321</v>
      </c>
      <c r="I15" t="b">
        <f>G15&gt;=35</f>
        <v>0</v>
      </c>
      <c r="J15" t="b">
        <f>H15&gt;=50</f>
        <v>0</v>
      </c>
      <c r="K15">
        <v>94</v>
      </c>
      <c r="L15" s="8">
        <f>K15/101</f>
        <v>0.93069306930693074</v>
      </c>
      <c r="M15">
        <v>228</v>
      </c>
      <c r="N15" s="8">
        <f>M15/244</f>
        <v>0.93442622950819676</v>
      </c>
      <c r="O15">
        <v>87</v>
      </c>
      <c r="P15" s="30">
        <f>O15/440</f>
        <v>0.19772727272727272</v>
      </c>
      <c r="Q15">
        <v>100</v>
      </c>
      <c r="R15" s="30">
        <f>Q15/520</f>
        <v>0.19230769230769232</v>
      </c>
      <c r="S15">
        <v>58</v>
      </c>
      <c r="T15" s="8">
        <f>S15/480</f>
        <v>0.12083333333333333</v>
      </c>
      <c r="U15">
        <v>153</v>
      </c>
      <c r="V15" s="8">
        <f>U15/1701</f>
        <v>8.9947089947089942E-2</v>
      </c>
      <c r="W15">
        <v>11</v>
      </c>
      <c r="X15" s="8">
        <f>W15/26</f>
        <v>0.42307692307692307</v>
      </c>
      <c r="Y15">
        <v>2</v>
      </c>
      <c r="Z15" s="8">
        <f>Y15/25</f>
        <v>0.08</v>
      </c>
      <c r="AA15">
        <v>39</v>
      </c>
      <c r="AB15" s="8">
        <f>AA15/46</f>
        <v>0.84782608695652173</v>
      </c>
      <c r="AC15">
        <v>8</v>
      </c>
      <c r="AD15" s="8">
        <f>AC15/15</f>
        <v>0.53333333333333333</v>
      </c>
      <c r="AE15">
        <v>87</v>
      </c>
      <c r="AF15" s="8">
        <f>AE15/650</f>
        <v>0.13384615384615384</v>
      </c>
      <c r="AG15">
        <v>154</v>
      </c>
      <c r="AH15" s="8">
        <f>AG15/1085</f>
        <v>0.14193548387096774</v>
      </c>
      <c r="AI15" s="39">
        <v>95</v>
      </c>
      <c r="AJ15" s="39">
        <v>9</v>
      </c>
      <c r="AK15">
        <f>AI15/'Total Fiber Count'!$H$2</f>
        <v>0.27536231884057971</v>
      </c>
      <c r="AL15">
        <f>AJ15/'Total Fiber Count'!$O$2</f>
        <v>4.9723756906077346E-2</v>
      </c>
      <c r="AM15" s="10">
        <v>0.9900000000000001</v>
      </c>
      <c r="AN15">
        <v>0.90799031476997571</v>
      </c>
    </row>
    <row r="16" spans="1:40" ht="16" x14ac:dyDescent="0.2">
      <c r="A16" s="21" t="s">
        <v>51</v>
      </c>
      <c r="B16" s="40">
        <v>169.71428571428572</v>
      </c>
      <c r="C16" s="40">
        <v>3.2637362637362637</v>
      </c>
      <c r="D16" s="31" t="s">
        <v>25</v>
      </c>
      <c r="E16" s="22">
        <v>22</v>
      </c>
      <c r="F16" s="22">
        <v>6</v>
      </c>
      <c r="G16">
        <f>(30-E16)/30*100</f>
        <v>26.666666666666668</v>
      </c>
      <c r="H16">
        <f>(12-F16)/12*100</f>
        <v>50</v>
      </c>
      <c r="I16" t="b">
        <f>G16&gt;=35</f>
        <v>0</v>
      </c>
      <c r="J16" t="b">
        <f>H16&gt;=50</f>
        <v>1</v>
      </c>
      <c r="K16" s="26" t="s">
        <v>28</v>
      </c>
      <c r="L16" s="8">
        <v>0</v>
      </c>
      <c r="M16">
        <v>211</v>
      </c>
      <c r="N16" s="8">
        <f>M16/244</f>
        <v>0.86475409836065575</v>
      </c>
      <c r="O16" s="23" t="s">
        <v>28</v>
      </c>
      <c r="P16" s="30">
        <v>0</v>
      </c>
      <c r="Q16">
        <v>95</v>
      </c>
      <c r="R16" s="30">
        <f>Q16/520</f>
        <v>0.18269230769230768</v>
      </c>
      <c r="S16" s="24" t="s">
        <v>28</v>
      </c>
      <c r="T16" s="8">
        <v>0</v>
      </c>
      <c r="U16">
        <v>141</v>
      </c>
      <c r="V16" s="8">
        <f>U16/1701</f>
        <v>8.2892416225749554E-2</v>
      </c>
      <c r="W16" s="24" t="s">
        <v>28</v>
      </c>
      <c r="X16" s="8">
        <v>0</v>
      </c>
      <c r="Y16">
        <v>2</v>
      </c>
      <c r="Z16" s="8">
        <f>Y16/25</f>
        <v>0.08</v>
      </c>
      <c r="AA16" s="24" t="s">
        <v>28</v>
      </c>
      <c r="AB16" s="8">
        <v>0</v>
      </c>
      <c r="AC16">
        <v>8</v>
      </c>
      <c r="AD16" s="8">
        <f>AC16/15</f>
        <v>0.53333333333333333</v>
      </c>
      <c r="AE16" s="24" t="s">
        <v>28</v>
      </c>
      <c r="AF16" s="8">
        <v>0</v>
      </c>
      <c r="AG16">
        <v>151</v>
      </c>
      <c r="AH16" s="8">
        <f>AG16/1085</f>
        <v>0.1391705069124424</v>
      </c>
      <c r="AI16" s="39">
        <v>103</v>
      </c>
      <c r="AJ16" s="39">
        <v>21</v>
      </c>
      <c r="AK16">
        <f>AI16/'Total Fiber Count'!$H$2</f>
        <v>0.29855072463768118</v>
      </c>
      <c r="AL16">
        <f>AJ16/'Total Fiber Count'!$O$2</f>
        <v>0.11602209944751381</v>
      </c>
      <c r="AM16" s="10">
        <v>1.65</v>
      </c>
      <c r="AN16">
        <v>0.9</v>
      </c>
    </row>
    <row r="17" spans="1:40" ht="16" x14ac:dyDescent="0.2">
      <c r="A17" s="21" t="s">
        <v>51</v>
      </c>
      <c r="B17" s="40">
        <v>196.85714285714286</v>
      </c>
      <c r="C17" s="40">
        <v>3.7857142857142856</v>
      </c>
      <c r="D17" s="31" t="s">
        <v>25</v>
      </c>
      <c r="E17" s="22">
        <v>26</v>
      </c>
      <c r="F17" s="22">
        <v>15</v>
      </c>
      <c r="G17">
        <f>(30-E17)/30*100</f>
        <v>13.333333333333334</v>
      </c>
      <c r="H17">
        <f>(12-F17)/12*100</f>
        <v>-25</v>
      </c>
      <c r="I17" t="b">
        <f>G17&gt;=35</f>
        <v>0</v>
      </c>
      <c r="J17" t="b">
        <f>H17&gt;=50</f>
        <v>0</v>
      </c>
      <c r="K17" s="23" t="s">
        <v>28</v>
      </c>
      <c r="L17" s="8">
        <v>0</v>
      </c>
      <c r="M17">
        <v>240</v>
      </c>
      <c r="N17" s="8">
        <f>M17/244</f>
        <v>0.98360655737704916</v>
      </c>
      <c r="O17" s="23" t="s">
        <v>28</v>
      </c>
      <c r="P17" s="30">
        <v>0</v>
      </c>
      <c r="Q17">
        <v>146</v>
      </c>
      <c r="R17" s="30">
        <f>Q17/520</f>
        <v>0.28076923076923077</v>
      </c>
      <c r="S17" s="23" t="s">
        <v>28</v>
      </c>
      <c r="T17" s="8">
        <v>0</v>
      </c>
      <c r="U17">
        <v>265</v>
      </c>
      <c r="V17" s="8">
        <f>U17/1701</f>
        <v>0.1557907113462669</v>
      </c>
      <c r="W17" s="24" t="s">
        <v>28</v>
      </c>
      <c r="X17" s="8">
        <v>0</v>
      </c>
      <c r="Y17">
        <v>3</v>
      </c>
      <c r="Z17" s="8">
        <f>Y17/25</f>
        <v>0.12</v>
      </c>
      <c r="AA17" s="24" t="s">
        <v>28</v>
      </c>
      <c r="AB17" s="8">
        <v>0</v>
      </c>
      <c r="AC17">
        <v>8</v>
      </c>
      <c r="AD17" s="8">
        <f>AC17/15</f>
        <v>0.53333333333333333</v>
      </c>
      <c r="AE17" s="24" t="s">
        <v>28</v>
      </c>
      <c r="AF17" s="8">
        <v>0</v>
      </c>
      <c r="AG17">
        <v>237</v>
      </c>
      <c r="AH17" s="8">
        <f>AG17/1085</f>
        <v>0.21843317972350229</v>
      </c>
      <c r="AI17" s="39" t="s">
        <v>28</v>
      </c>
      <c r="AJ17" s="39">
        <v>15</v>
      </c>
      <c r="AK17">
        <v>0</v>
      </c>
      <c r="AL17">
        <f>AJ17/'Total Fiber Count'!$O$2</f>
        <v>8.2872928176795577E-2</v>
      </c>
      <c r="AM17" s="10">
        <v>0</v>
      </c>
      <c r="AN17">
        <v>1.0909090909090908</v>
      </c>
    </row>
    <row r="18" spans="1:40" ht="16" x14ac:dyDescent="0.2">
      <c r="A18" s="21" t="s">
        <v>51</v>
      </c>
      <c r="B18" s="40">
        <v>198.14285714285714</v>
      </c>
      <c r="C18" s="40">
        <v>3.8104395604395602</v>
      </c>
      <c r="D18" s="31" t="s">
        <v>25</v>
      </c>
      <c r="E18" s="22">
        <v>29</v>
      </c>
      <c r="F18" s="22">
        <v>17</v>
      </c>
      <c r="G18">
        <f>(30-E18)/30*100</f>
        <v>3.3333333333333335</v>
      </c>
      <c r="H18">
        <f>(12-F18)/12*100</f>
        <v>-41.666666666666671</v>
      </c>
      <c r="I18" t="b">
        <f>G18&gt;=35</f>
        <v>0</v>
      </c>
      <c r="J18" t="b">
        <f>H18&gt;=50</f>
        <v>0</v>
      </c>
      <c r="K18">
        <v>57</v>
      </c>
      <c r="L18" s="8">
        <f>K18/101</f>
        <v>0.5643564356435643</v>
      </c>
      <c r="M18">
        <v>241</v>
      </c>
      <c r="N18" s="8">
        <f>M18/244</f>
        <v>0.98770491803278693</v>
      </c>
      <c r="O18">
        <v>53</v>
      </c>
      <c r="P18" s="30">
        <f>O18/440</f>
        <v>0.12045454545454545</v>
      </c>
      <c r="Q18">
        <v>158</v>
      </c>
      <c r="R18" s="30">
        <f>Q18/520</f>
        <v>0.30384615384615382</v>
      </c>
      <c r="S18">
        <v>12</v>
      </c>
      <c r="T18" s="8">
        <f>S18/480</f>
        <v>2.5000000000000001E-2</v>
      </c>
      <c r="U18">
        <v>317</v>
      </c>
      <c r="V18" s="8">
        <f>U18/1701</f>
        <v>0.18636096413874192</v>
      </c>
      <c r="W18">
        <v>4</v>
      </c>
      <c r="X18" s="8">
        <f>W18/26</f>
        <v>0.15384615384615385</v>
      </c>
      <c r="Y18">
        <v>3</v>
      </c>
      <c r="Z18" s="8">
        <f>Y18/25</f>
        <v>0.12</v>
      </c>
      <c r="AA18">
        <v>18</v>
      </c>
      <c r="AB18" s="8">
        <f>AA18/46</f>
        <v>0.39130434782608697</v>
      </c>
      <c r="AC18">
        <v>8</v>
      </c>
      <c r="AD18" s="8">
        <f>AC18/15</f>
        <v>0.53333333333333333</v>
      </c>
      <c r="AE18">
        <v>53</v>
      </c>
      <c r="AF18" s="8">
        <f>AE18/650</f>
        <v>8.1538461538461532E-2</v>
      </c>
      <c r="AG18">
        <v>263</v>
      </c>
      <c r="AH18" s="8">
        <f>AG18/1085</f>
        <v>0.24239631336405529</v>
      </c>
      <c r="AI18" s="39">
        <v>81</v>
      </c>
      <c r="AJ18" s="39">
        <v>73</v>
      </c>
      <c r="AK18">
        <f>AI18/'Total Fiber Count'!$H$2</f>
        <v>0.23478260869565218</v>
      </c>
      <c r="AL18">
        <f>AJ18/'Total Fiber Count'!$O$2</f>
        <v>0.40331491712707185</v>
      </c>
      <c r="AM18" s="10">
        <v>0</v>
      </c>
      <c r="AN18">
        <v>1.65</v>
      </c>
    </row>
    <row r="19" spans="1:40" ht="16" x14ac:dyDescent="0.2">
      <c r="A19" s="21" t="s">
        <v>51</v>
      </c>
      <c r="B19" s="40">
        <v>207</v>
      </c>
      <c r="C19" s="40">
        <v>3.9807692307692308</v>
      </c>
      <c r="D19" s="31" t="s">
        <v>25</v>
      </c>
      <c r="E19" s="22" t="s">
        <v>36</v>
      </c>
      <c r="F19" s="22" t="s">
        <v>36</v>
      </c>
      <c r="G19" t="s">
        <v>36</v>
      </c>
      <c r="H19" t="s">
        <v>36</v>
      </c>
      <c r="I19" t="s">
        <v>36</v>
      </c>
      <c r="J19" t="s">
        <v>36</v>
      </c>
      <c r="K19">
        <v>57</v>
      </c>
      <c r="L19" s="8">
        <f>K19/101</f>
        <v>0.5643564356435643</v>
      </c>
      <c r="M19">
        <v>239</v>
      </c>
      <c r="N19" s="8">
        <f>M19/244</f>
        <v>0.97950819672131151</v>
      </c>
      <c r="O19">
        <v>53</v>
      </c>
      <c r="P19" s="30">
        <f>O19/440</f>
        <v>0.12045454545454545</v>
      </c>
      <c r="Q19">
        <v>136</v>
      </c>
      <c r="R19" s="30">
        <f>Q19/520</f>
        <v>0.26153846153846155</v>
      </c>
      <c r="S19">
        <v>12</v>
      </c>
      <c r="T19" s="8">
        <f>S19/480</f>
        <v>2.5000000000000001E-2</v>
      </c>
      <c r="U19">
        <v>243</v>
      </c>
      <c r="V19" s="8">
        <f>U19/1701</f>
        <v>0.14285714285714285</v>
      </c>
      <c r="W19">
        <v>4</v>
      </c>
      <c r="X19" s="8">
        <f>W19/26</f>
        <v>0.15384615384615385</v>
      </c>
      <c r="Y19">
        <v>2</v>
      </c>
      <c r="Z19" s="8">
        <f>Y19/25</f>
        <v>0.08</v>
      </c>
      <c r="AA19">
        <v>18</v>
      </c>
      <c r="AB19" s="8">
        <f>AA19/46</f>
        <v>0.39130434782608697</v>
      </c>
      <c r="AC19">
        <v>8</v>
      </c>
      <c r="AD19" s="8">
        <f>AC19/15</f>
        <v>0.53333333333333333</v>
      </c>
      <c r="AE19">
        <v>53</v>
      </c>
      <c r="AF19" s="8">
        <f>AE19/650</f>
        <v>8.1538461538461532E-2</v>
      </c>
      <c r="AG19">
        <v>218</v>
      </c>
      <c r="AH19" s="8">
        <f>AG19/1085</f>
        <v>0.20092165898617512</v>
      </c>
      <c r="AI19" s="39">
        <v>81</v>
      </c>
      <c r="AJ19" s="39">
        <v>92</v>
      </c>
      <c r="AK19">
        <f>AI19/'Total Fiber Count'!$H$2</f>
        <v>0.23478260869565218</v>
      </c>
      <c r="AL19">
        <f>AJ19/'Total Fiber Count'!$O$2</f>
        <v>0.50828729281767959</v>
      </c>
      <c r="AM19" s="10">
        <v>0.82499999999999996</v>
      </c>
      <c r="AN19">
        <v>1.1301369863013699</v>
      </c>
    </row>
    <row r="20" spans="1:40" ht="16" x14ac:dyDescent="0.15">
      <c r="A20" s="21" t="s">
        <v>52</v>
      </c>
      <c r="B20" s="40">
        <v>0</v>
      </c>
      <c r="C20" s="40">
        <v>0</v>
      </c>
      <c r="D20" s="31" t="s">
        <v>25</v>
      </c>
      <c r="E20" s="22">
        <v>27</v>
      </c>
      <c r="F20" s="22">
        <v>18</v>
      </c>
      <c r="G20">
        <f>(32-E20)/32*100</f>
        <v>15.625</v>
      </c>
      <c r="H20">
        <f>(22-F20)/22*100</f>
        <v>18.181818181818183</v>
      </c>
      <c r="I20" t="b">
        <f>G20&gt;=35</f>
        <v>0</v>
      </c>
      <c r="J20" t="b">
        <f>H20&gt;=50</f>
        <v>0</v>
      </c>
      <c r="K20">
        <v>288</v>
      </c>
      <c r="L20" s="8">
        <f>K20/365</f>
        <v>0.78904109589041094</v>
      </c>
      <c r="M20" s="23" t="s">
        <v>28</v>
      </c>
      <c r="N20" s="8">
        <v>0</v>
      </c>
      <c r="O20">
        <v>25</v>
      </c>
      <c r="P20" s="8">
        <f>O20/989</f>
        <v>2.5278058645096056E-2</v>
      </c>
      <c r="Q20" s="23" t="s">
        <v>28</v>
      </c>
      <c r="R20" s="8">
        <v>0</v>
      </c>
      <c r="S20" s="23">
        <v>97</v>
      </c>
      <c r="T20" s="8">
        <f>S20/2103</f>
        <v>4.6124583927722299E-2</v>
      </c>
      <c r="U20" s="23" t="s">
        <v>28</v>
      </c>
      <c r="V20" s="8">
        <v>0</v>
      </c>
      <c r="W20">
        <v>10</v>
      </c>
      <c r="X20" s="8">
        <f>W20/24</f>
        <v>0.41666666666666669</v>
      </c>
      <c r="Y20" s="24" t="s">
        <v>28</v>
      </c>
      <c r="Z20" s="8">
        <v>0</v>
      </c>
      <c r="AA20">
        <v>85</v>
      </c>
      <c r="AB20" s="8">
        <f>AA20/108</f>
        <v>0.78703703703703709</v>
      </c>
      <c r="AC20" s="24" t="s">
        <v>28</v>
      </c>
      <c r="AD20" s="8">
        <v>0</v>
      </c>
      <c r="AE20">
        <v>0</v>
      </c>
      <c r="AF20" s="8">
        <f>AE20/545</f>
        <v>0</v>
      </c>
      <c r="AG20" s="24" t="s">
        <v>28</v>
      </c>
      <c r="AH20" s="8">
        <v>0</v>
      </c>
      <c r="AI20" s="39">
        <v>6</v>
      </c>
      <c r="AJ20" s="39" t="s">
        <v>28</v>
      </c>
      <c r="AK20">
        <f>AI20/'Total Fiber Count'!H$3</f>
        <v>0.12244897959183673</v>
      </c>
      <c r="AL20">
        <v>0</v>
      </c>
      <c r="AM20">
        <v>0.65999999999999992</v>
      </c>
      <c r="AN20">
        <v>0</v>
      </c>
    </row>
    <row r="21" spans="1:40" ht="16" x14ac:dyDescent="0.15">
      <c r="A21" s="21" t="s">
        <v>52</v>
      </c>
      <c r="B21" s="40">
        <v>2</v>
      </c>
      <c r="C21" s="40">
        <v>3.8461538461538464E-2</v>
      </c>
      <c r="D21" s="31" t="s">
        <v>25</v>
      </c>
      <c r="E21" s="22">
        <v>19</v>
      </c>
      <c r="F21" s="22">
        <v>6</v>
      </c>
      <c r="G21">
        <f>(32-E21)/32*100</f>
        <v>40.625</v>
      </c>
      <c r="H21">
        <f>(22-F21)/22*100</f>
        <v>72.727272727272734</v>
      </c>
      <c r="I21" t="b">
        <f>G21&gt;=35</f>
        <v>1</v>
      </c>
      <c r="J21" t="b">
        <f>H21&gt;=50</f>
        <v>1</v>
      </c>
      <c r="K21">
        <v>277</v>
      </c>
      <c r="L21" s="8">
        <f>K21/365</f>
        <v>0.75890410958904109</v>
      </c>
      <c r="M21">
        <v>147</v>
      </c>
      <c r="N21" s="8">
        <f>M21/313</f>
        <v>0.46964856230031948</v>
      </c>
      <c r="O21">
        <v>25</v>
      </c>
      <c r="P21" s="8">
        <f>O21/989</f>
        <v>2.5278058645096056E-2</v>
      </c>
      <c r="Q21">
        <v>135</v>
      </c>
      <c r="R21" s="8">
        <f>Q21/623</f>
        <v>0.21669341894060995</v>
      </c>
      <c r="S21" s="23">
        <v>87</v>
      </c>
      <c r="T21" s="8">
        <f>S21/2103</f>
        <v>4.136947218259629E-2</v>
      </c>
      <c r="U21" s="23">
        <v>214</v>
      </c>
      <c r="V21" s="8">
        <f>U21/3357</f>
        <v>6.3747393506106642E-2</v>
      </c>
      <c r="W21">
        <v>10</v>
      </c>
      <c r="X21" s="8">
        <f>W21/24</f>
        <v>0.41666666666666669</v>
      </c>
      <c r="Y21">
        <v>20</v>
      </c>
      <c r="Z21" s="8">
        <f>Y21/25</f>
        <v>0.8</v>
      </c>
      <c r="AA21">
        <v>81</v>
      </c>
      <c r="AB21" s="8">
        <f>AA21/108</f>
        <v>0.75</v>
      </c>
      <c r="AC21">
        <v>28</v>
      </c>
      <c r="AD21" s="8">
        <f>AC21/64</f>
        <v>0.4375</v>
      </c>
      <c r="AE21">
        <v>0</v>
      </c>
      <c r="AF21" s="8">
        <f>AE21/545</f>
        <v>0</v>
      </c>
      <c r="AG21">
        <v>61</v>
      </c>
      <c r="AH21" s="8">
        <f>AG21/1393</f>
        <v>4.379038047379756E-2</v>
      </c>
      <c r="AI21" s="39">
        <v>4</v>
      </c>
      <c r="AJ21" s="39">
        <v>3</v>
      </c>
      <c r="AK21">
        <f>AI21/'Total Fiber Count'!H$3</f>
        <v>8.1632653061224483E-2</v>
      </c>
      <c r="AL21">
        <f>AJ21/'Total Fiber Count'!O$3</f>
        <v>6.25E-2</v>
      </c>
      <c r="AM21">
        <v>1.2</v>
      </c>
      <c r="AN21">
        <v>1.0327022375215145</v>
      </c>
    </row>
    <row r="22" spans="1:40" ht="16" x14ac:dyDescent="0.15">
      <c r="A22" s="21" t="s">
        <v>52</v>
      </c>
      <c r="B22" s="40">
        <v>3.8571428571428572</v>
      </c>
      <c r="C22" s="40">
        <v>7.4175824175824176E-2</v>
      </c>
      <c r="D22" s="31" t="s">
        <v>25</v>
      </c>
      <c r="E22" s="22">
        <v>24</v>
      </c>
      <c r="F22" s="22">
        <v>10</v>
      </c>
      <c r="G22">
        <f>(32-E22)/32*100</f>
        <v>25</v>
      </c>
      <c r="H22">
        <f>(22-F22)/22*100</f>
        <v>54.54545454545454</v>
      </c>
      <c r="I22" t="b">
        <f>G22&gt;=35</f>
        <v>0</v>
      </c>
      <c r="J22" t="b">
        <f>H22&gt;=50</f>
        <v>1</v>
      </c>
      <c r="K22">
        <v>285</v>
      </c>
      <c r="L22" s="8">
        <f>K22/365</f>
        <v>0.78082191780821919</v>
      </c>
      <c r="M22">
        <v>169</v>
      </c>
      <c r="N22" s="8">
        <f>M22/313</f>
        <v>0.53993610223642174</v>
      </c>
      <c r="O22">
        <v>25</v>
      </c>
      <c r="P22" s="8">
        <f>O22/989</f>
        <v>2.5278058645096056E-2</v>
      </c>
      <c r="Q22">
        <v>137</v>
      </c>
      <c r="R22" s="8">
        <f>Q22/623</f>
        <v>0.21990369181380418</v>
      </c>
      <c r="S22" s="23">
        <v>95</v>
      </c>
      <c r="T22" s="8">
        <f>S22/2103</f>
        <v>4.5173561578697098E-2</v>
      </c>
      <c r="U22" s="23">
        <v>227</v>
      </c>
      <c r="V22" s="8">
        <f>U22/3357</f>
        <v>6.7619898719094435E-2</v>
      </c>
      <c r="W22">
        <v>10</v>
      </c>
      <c r="X22" s="8">
        <f>W22/24</f>
        <v>0.41666666666666669</v>
      </c>
      <c r="Y22">
        <v>21</v>
      </c>
      <c r="Z22" s="8">
        <f>Y22/25</f>
        <v>0.84</v>
      </c>
      <c r="AA22">
        <v>82</v>
      </c>
      <c r="AB22" s="8">
        <f>AA22/108</f>
        <v>0.7592592592592593</v>
      </c>
      <c r="AC22">
        <v>33</v>
      </c>
      <c r="AD22" s="8">
        <f>AC22/64</f>
        <v>0.515625</v>
      </c>
      <c r="AE22">
        <v>0</v>
      </c>
      <c r="AF22" s="8">
        <f>AE22/545</f>
        <v>0</v>
      </c>
      <c r="AG22">
        <v>70</v>
      </c>
      <c r="AH22" s="8">
        <f>AG22/1393</f>
        <v>5.0251256281407038E-2</v>
      </c>
      <c r="AI22" s="39">
        <v>5</v>
      </c>
      <c r="AJ22" s="39">
        <v>3</v>
      </c>
      <c r="AK22">
        <f>AI22/'Total Fiber Count'!H$3</f>
        <v>0.10204081632653061</v>
      </c>
      <c r="AL22">
        <f>AJ22/'Total Fiber Count'!O$3</f>
        <v>6.25E-2</v>
      </c>
      <c r="AM22">
        <v>1.272</v>
      </c>
      <c r="AN22">
        <v>1.0307941653160453</v>
      </c>
    </row>
    <row r="23" spans="1:40" ht="16" x14ac:dyDescent="0.15">
      <c r="A23" s="21" t="s">
        <v>52</v>
      </c>
      <c r="B23" s="40">
        <v>8.1428571428571423</v>
      </c>
      <c r="C23" s="40">
        <v>0.15659340659340659</v>
      </c>
      <c r="D23" s="31" t="s">
        <v>25</v>
      </c>
      <c r="E23" s="22">
        <v>23</v>
      </c>
      <c r="F23" s="22">
        <v>21</v>
      </c>
      <c r="G23">
        <f>(32-E23)/32*100</f>
        <v>28.125</v>
      </c>
      <c r="H23">
        <f>(22-F23)/22*100</f>
        <v>4.5454545454545459</v>
      </c>
      <c r="I23" t="b">
        <f>G23&gt;=35</f>
        <v>0</v>
      </c>
      <c r="J23" t="b">
        <f>H23&gt;=50</f>
        <v>0</v>
      </c>
      <c r="K23">
        <v>285</v>
      </c>
      <c r="L23" s="8">
        <f>K23/365</f>
        <v>0.78082191780821919</v>
      </c>
      <c r="M23">
        <v>169</v>
      </c>
      <c r="N23" s="8">
        <f>M23/313</f>
        <v>0.53993610223642174</v>
      </c>
      <c r="O23">
        <v>25</v>
      </c>
      <c r="P23" s="8">
        <f>O23/989</f>
        <v>2.5278058645096056E-2</v>
      </c>
      <c r="Q23">
        <v>137</v>
      </c>
      <c r="R23" s="8">
        <f>Q23/623</f>
        <v>0.21990369181380418</v>
      </c>
      <c r="S23" s="23">
        <v>96</v>
      </c>
      <c r="T23" s="8">
        <f>S23/2103</f>
        <v>4.5649072753209702E-2</v>
      </c>
      <c r="U23" s="23">
        <v>227</v>
      </c>
      <c r="V23" s="8">
        <f>U23/3357</f>
        <v>6.7619898719094435E-2</v>
      </c>
      <c r="W23">
        <v>10</v>
      </c>
      <c r="X23" s="8">
        <f>W23/24</f>
        <v>0.41666666666666669</v>
      </c>
      <c r="Y23">
        <v>21</v>
      </c>
      <c r="Z23" s="8">
        <f>Y23/25</f>
        <v>0.84</v>
      </c>
      <c r="AA23">
        <v>82</v>
      </c>
      <c r="AB23" s="8">
        <f>AA23/108</f>
        <v>0.7592592592592593</v>
      </c>
      <c r="AC23">
        <v>33</v>
      </c>
      <c r="AD23" s="8">
        <f>AC23/64</f>
        <v>0.515625</v>
      </c>
      <c r="AE23">
        <v>0</v>
      </c>
      <c r="AF23" s="8">
        <f>AE23/545</f>
        <v>0</v>
      </c>
      <c r="AG23">
        <v>70</v>
      </c>
      <c r="AH23" s="8">
        <f>AG23/1393</f>
        <v>5.0251256281407038E-2</v>
      </c>
      <c r="AI23" s="39">
        <v>6</v>
      </c>
      <c r="AJ23" s="39">
        <v>3</v>
      </c>
      <c r="AK23">
        <f>AI23/'Total Fiber Count'!H$3</f>
        <v>0.12244897959183673</v>
      </c>
      <c r="AL23">
        <f>AJ23/'Total Fiber Count'!O$3</f>
        <v>6.25E-2</v>
      </c>
      <c r="AM23">
        <v>1.296</v>
      </c>
      <c r="AN23">
        <v>1.272</v>
      </c>
    </row>
    <row r="24" spans="1:40" ht="16" x14ac:dyDescent="0.15">
      <c r="A24" s="21" t="s">
        <v>52</v>
      </c>
      <c r="B24" s="40">
        <v>12</v>
      </c>
      <c r="C24" s="40">
        <v>0.23076923076923078</v>
      </c>
      <c r="D24" s="31" t="s">
        <v>25</v>
      </c>
      <c r="E24" s="22">
        <v>19</v>
      </c>
      <c r="F24" s="22">
        <v>15</v>
      </c>
      <c r="G24">
        <f>(32-E24)/32*100</f>
        <v>40.625</v>
      </c>
      <c r="H24">
        <f>(22-F24)/22*100</f>
        <v>31.818181818181817</v>
      </c>
      <c r="I24" t="b">
        <f>G24&gt;=35</f>
        <v>1</v>
      </c>
      <c r="J24" t="b">
        <f>H24&gt;=50</f>
        <v>0</v>
      </c>
      <c r="K24">
        <v>312</v>
      </c>
      <c r="L24" s="8">
        <f>K24/365</f>
        <v>0.85479452054794525</v>
      </c>
      <c r="M24">
        <v>166</v>
      </c>
      <c r="N24" s="8">
        <f>M24/313</f>
        <v>0.53035143769968052</v>
      </c>
      <c r="O24">
        <v>33</v>
      </c>
      <c r="P24" s="8">
        <f>O24/989</f>
        <v>3.3367037411526794E-2</v>
      </c>
      <c r="Q24">
        <v>136</v>
      </c>
      <c r="R24" s="8">
        <f>Q24/623</f>
        <v>0.21829855537720708</v>
      </c>
      <c r="S24" s="23">
        <v>134</v>
      </c>
      <c r="T24" s="8">
        <f>S24/2103</f>
        <v>6.3718497384688544E-2</v>
      </c>
      <c r="U24" s="23">
        <v>222</v>
      </c>
      <c r="V24" s="8">
        <f>U24/3357</f>
        <v>6.6130473637176043E-2</v>
      </c>
      <c r="W24">
        <v>11</v>
      </c>
      <c r="X24" s="8">
        <f>W24/24</f>
        <v>0.45833333333333331</v>
      </c>
      <c r="Y24">
        <v>21</v>
      </c>
      <c r="Z24" s="8">
        <f>Y24/25</f>
        <v>0.84</v>
      </c>
      <c r="AA24">
        <v>90</v>
      </c>
      <c r="AB24" s="8">
        <f>AA24/108</f>
        <v>0.83333333333333337</v>
      </c>
      <c r="AC24">
        <v>31</v>
      </c>
      <c r="AD24" s="8">
        <f>AC24/64</f>
        <v>0.484375</v>
      </c>
      <c r="AE24">
        <v>1</v>
      </c>
      <c r="AF24" s="8">
        <f>AE24/545</f>
        <v>1.834862385321101E-3</v>
      </c>
      <c r="AG24">
        <v>69</v>
      </c>
      <c r="AH24" s="8">
        <f>AG24/1393</f>
        <v>4.9533381191672651E-2</v>
      </c>
      <c r="AI24" s="39">
        <v>9</v>
      </c>
      <c r="AJ24" s="39">
        <v>3</v>
      </c>
      <c r="AK24">
        <f>AI24/'Total Fiber Count'!H$3</f>
        <v>0.18367346938775511</v>
      </c>
      <c r="AL24">
        <f>AJ24/'Total Fiber Count'!O$3</f>
        <v>6.25E-2</v>
      </c>
      <c r="AM24">
        <v>1.4160000000000001</v>
      </c>
      <c r="AN24">
        <v>1.248</v>
      </c>
    </row>
    <row r="25" spans="1:40" ht="16" x14ac:dyDescent="0.15">
      <c r="A25" s="21" t="s">
        <v>52</v>
      </c>
      <c r="B25" s="40">
        <v>15.142857142857142</v>
      </c>
      <c r="C25" s="40">
        <v>0.29120879120879117</v>
      </c>
      <c r="D25" s="31" t="s">
        <v>25</v>
      </c>
      <c r="E25" s="22">
        <v>21</v>
      </c>
      <c r="F25" s="22">
        <v>15</v>
      </c>
      <c r="G25">
        <f>(32-E25)/32*100</f>
        <v>34.375</v>
      </c>
      <c r="H25">
        <f>(22-F25)/22*100</f>
        <v>31.818181818181817</v>
      </c>
      <c r="I25" t="b">
        <f>G25&gt;=35</f>
        <v>0</v>
      </c>
      <c r="J25" t="b">
        <f>H25&gt;=50</f>
        <v>0</v>
      </c>
      <c r="K25">
        <v>285</v>
      </c>
      <c r="L25" s="8">
        <f>K25/365</f>
        <v>0.78082191780821919</v>
      </c>
      <c r="M25">
        <v>166</v>
      </c>
      <c r="N25" s="8">
        <f>M25/313</f>
        <v>0.53035143769968052</v>
      </c>
      <c r="O25">
        <v>25</v>
      </c>
      <c r="P25" s="8">
        <f>O25/989</f>
        <v>2.5278058645096056E-2</v>
      </c>
      <c r="Q25">
        <v>136</v>
      </c>
      <c r="R25" s="8">
        <f>Q25/623</f>
        <v>0.21829855537720708</v>
      </c>
      <c r="S25" s="23">
        <v>96</v>
      </c>
      <c r="T25" s="8">
        <f>S25/2103</f>
        <v>4.5649072753209702E-2</v>
      </c>
      <c r="U25" s="23">
        <v>222</v>
      </c>
      <c r="V25" s="8">
        <f>U25/3357</f>
        <v>6.6130473637176043E-2</v>
      </c>
      <c r="W25">
        <v>10</v>
      </c>
      <c r="X25" s="8">
        <f>W25/24</f>
        <v>0.41666666666666669</v>
      </c>
      <c r="Y25">
        <v>21</v>
      </c>
      <c r="Z25" s="8">
        <f>Y25/25</f>
        <v>0.84</v>
      </c>
      <c r="AA25">
        <v>82</v>
      </c>
      <c r="AB25" s="8">
        <f>AA25/108</f>
        <v>0.7592592592592593</v>
      </c>
      <c r="AC25">
        <v>31</v>
      </c>
      <c r="AD25" s="8">
        <f>AC25/64</f>
        <v>0.484375</v>
      </c>
      <c r="AE25">
        <v>0</v>
      </c>
      <c r="AF25" s="8">
        <f>AE25/545</f>
        <v>0</v>
      </c>
      <c r="AG25">
        <v>69</v>
      </c>
      <c r="AH25" s="8">
        <f>AG25/1393</f>
        <v>4.9533381191672651E-2</v>
      </c>
      <c r="AI25" s="39">
        <v>6</v>
      </c>
      <c r="AJ25" s="39">
        <v>3</v>
      </c>
      <c r="AK25">
        <f>AI25/'Total Fiber Count'!H$3</f>
        <v>0.12244897959183673</v>
      </c>
      <c r="AL25">
        <f>AJ25/'Total Fiber Count'!O$3</f>
        <v>6.25E-2</v>
      </c>
      <c r="AM25">
        <v>1.68</v>
      </c>
      <c r="AN25">
        <v>1.0314049586776859</v>
      </c>
    </row>
    <row r="26" spans="1:40" ht="16" x14ac:dyDescent="0.15">
      <c r="A26" s="21" t="s">
        <v>52</v>
      </c>
      <c r="B26" s="40">
        <v>25</v>
      </c>
      <c r="C26" s="40">
        <v>0.48076923076923078</v>
      </c>
      <c r="D26" s="31" t="s">
        <v>25</v>
      </c>
      <c r="E26" s="22">
        <v>22</v>
      </c>
      <c r="F26" s="22">
        <v>30</v>
      </c>
      <c r="G26">
        <f>(32-E26)/32*100</f>
        <v>31.25</v>
      </c>
      <c r="H26">
        <f>(22-F26)/22*100</f>
        <v>-36.363636363636367</v>
      </c>
      <c r="I26" t="b">
        <f>G26&gt;=35</f>
        <v>0</v>
      </c>
      <c r="J26" t="b">
        <f>H26&gt;=50</f>
        <v>0</v>
      </c>
      <c r="K26">
        <v>337</v>
      </c>
      <c r="L26" s="8">
        <f>K26/365</f>
        <v>0.92328767123287669</v>
      </c>
      <c r="M26">
        <v>166</v>
      </c>
      <c r="N26" s="8">
        <f>M26/313</f>
        <v>0.53035143769968052</v>
      </c>
      <c r="O26">
        <v>51</v>
      </c>
      <c r="P26" s="8">
        <f>O26/989</f>
        <v>5.1567239635995958E-2</v>
      </c>
      <c r="Q26">
        <v>136</v>
      </c>
      <c r="R26" s="8">
        <f>Q26/623</f>
        <v>0.21829855537720708</v>
      </c>
      <c r="S26" s="23">
        <v>231</v>
      </c>
      <c r="T26" s="8">
        <f>S26/2103</f>
        <v>0.10984308131241084</v>
      </c>
      <c r="U26" s="23">
        <v>222</v>
      </c>
      <c r="V26" s="8">
        <f>U26/3357</f>
        <v>6.6130473637176043E-2</v>
      </c>
      <c r="W26">
        <v>15</v>
      </c>
      <c r="X26" s="8">
        <f>W26/24</f>
        <v>0.625</v>
      </c>
      <c r="Y26">
        <v>21</v>
      </c>
      <c r="Z26" s="8">
        <f>Y26/25</f>
        <v>0.84</v>
      </c>
      <c r="AA26">
        <v>97</v>
      </c>
      <c r="AB26" s="8">
        <f>AA26/108</f>
        <v>0.89814814814814814</v>
      </c>
      <c r="AC26">
        <v>31</v>
      </c>
      <c r="AD26" s="8">
        <f>AC26/64</f>
        <v>0.484375</v>
      </c>
      <c r="AE26">
        <v>7</v>
      </c>
      <c r="AF26" s="8">
        <f>AE26/545</f>
        <v>1.2844036697247707E-2</v>
      </c>
      <c r="AG26">
        <v>69</v>
      </c>
      <c r="AH26" s="8">
        <f>AG26/1393</f>
        <v>4.9533381191672651E-2</v>
      </c>
      <c r="AI26" s="39">
        <v>9</v>
      </c>
      <c r="AJ26" s="39">
        <v>3</v>
      </c>
      <c r="AK26">
        <f>AI26/'Total Fiber Count'!H$3</f>
        <v>0.18367346938775511</v>
      </c>
      <c r="AL26">
        <f>AJ26/'Total Fiber Count'!O$3</f>
        <v>6.25E-2</v>
      </c>
      <c r="AM26">
        <v>1.7999999999999998</v>
      </c>
      <c r="AN26">
        <v>1.0314049586776859</v>
      </c>
    </row>
    <row r="27" spans="1:40" ht="16" x14ac:dyDescent="0.15">
      <c r="A27" s="21" t="s">
        <v>52</v>
      </c>
      <c r="B27" s="40">
        <v>34</v>
      </c>
      <c r="C27" s="40">
        <v>0.65384615384615385</v>
      </c>
      <c r="D27" s="31" t="s">
        <v>25</v>
      </c>
      <c r="E27" s="22">
        <v>23</v>
      </c>
      <c r="F27" s="22">
        <v>21</v>
      </c>
      <c r="G27">
        <f>(32-E27)/32*100</f>
        <v>28.125</v>
      </c>
      <c r="H27">
        <f>(22-F27)/22*100</f>
        <v>4.5454545454545459</v>
      </c>
      <c r="I27" t="b">
        <f>G27&gt;=35</f>
        <v>0</v>
      </c>
      <c r="J27" t="b">
        <f>H27&gt;=50</f>
        <v>0</v>
      </c>
      <c r="K27">
        <v>245</v>
      </c>
      <c r="L27" s="8">
        <f>K27/365</f>
        <v>0.67123287671232879</v>
      </c>
      <c r="M27">
        <v>166</v>
      </c>
      <c r="N27" s="8">
        <f>M27/313</f>
        <v>0.53035143769968052</v>
      </c>
      <c r="O27">
        <v>15</v>
      </c>
      <c r="P27" s="8">
        <f>O27/989</f>
        <v>1.5166835187057633E-2</v>
      </c>
      <c r="Q27">
        <v>136</v>
      </c>
      <c r="R27" s="8">
        <f>Q27/623</f>
        <v>0.21829855537720708</v>
      </c>
      <c r="S27" s="23">
        <v>58</v>
      </c>
      <c r="T27" s="8">
        <f>S27/2103</f>
        <v>2.757964812173086E-2</v>
      </c>
      <c r="U27">
        <v>222</v>
      </c>
      <c r="V27" s="8">
        <f>U27/3357</f>
        <v>6.6130473637176043E-2</v>
      </c>
      <c r="W27">
        <v>7</v>
      </c>
      <c r="X27" s="8">
        <f>W27/24</f>
        <v>0.29166666666666669</v>
      </c>
      <c r="Y27">
        <v>21</v>
      </c>
      <c r="Z27" s="8">
        <f>Y27/25</f>
        <v>0.84</v>
      </c>
      <c r="AA27">
        <v>75</v>
      </c>
      <c r="AB27" s="8">
        <f>AA27/108</f>
        <v>0.69444444444444442</v>
      </c>
      <c r="AC27">
        <v>31</v>
      </c>
      <c r="AD27" s="8">
        <f>AC27/64</f>
        <v>0.484375</v>
      </c>
      <c r="AE27">
        <v>0</v>
      </c>
      <c r="AF27" s="8">
        <f>AE27/545</f>
        <v>0</v>
      </c>
      <c r="AG27">
        <v>69</v>
      </c>
      <c r="AH27" s="8">
        <f>AG27/1393</f>
        <v>4.9533381191672651E-2</v>
      </c>
      <c r="AI27" s="39">
        <v>3</v>
      </c>
      <c r="AJ27" s="39">
        <v>3</v>
      </c>
      <c r="AK27">
        <f>AI27/'Total Fiber Count'!H$3</f>
        <v>6.1224489795918366E-2</v>
      </c>
      <c r="AL27">
        <f>AJ27/'Total Fiber Count'!O$3</f>
        <v>6.25E-2</v>
      </c>
      <c r="AM27">
        <v>0.54</v>
      </c>
      <c r="AN27">
        <v>1.0314049586776859</v>
      </c>
    </row>
    <row r="28" spans="1:40" ht="16" x14ac:dyDescent="0.15">
      <c r="A28" s="21" t="s">
        <v>52</v>
      </c>
      <c r="B28" s="40">
        <v>39.285714285714285</v>
      </c>
      <c r="C28" s="40">
        <v>0.75549450549450547</v>
      </c>
      <c r="D28" s="31" t="s">
        <v>25</v>
      </c>
      <c r="E28" s="22">
        <v>29</v>
      </c>
      <c r="F28" s="22">
        <v>24</v>
      </c>
      <c r="G28">
        <f>(32-E28)/32*100</f>
        <v>9.375</v>
      </c>
      <c r="H28">
        <f>(22-F28)/22*100</f>
        <v>-9.0909090909090917</v>
      </c>
      <c r="I28" t="b">
        <f>G28&gt;=35</f>
        <v>0</v>
      </c>
      <c r="J28" t="b">
        <f>H28&gt;=50</f>
        <v>0</v>
      </c>
      <c r="K28">
        <v>273</v>
      </c>
      <c r="L28" s="8">
        <f>K28/365</f>
        <v>0.74794520547945209</v>
      </c>
      <c r="M28">
        <v>166</v>
      </c>
      <c r="N28" s="8">
        <f>M28/313</f>
        <v>0.53035143769968052</v>
      </c>
      <c r="O28">
        <v>25</v>
      </c>
      <c r="P28" s="8">
        <f>O28/989</f>
        <v>2.5278058645096056E-2</v>
      </c>
      <c r="Q28">
        <v>136</v>
      </c>
      <c r="R28" s="8">
        <f>Q28/623</f>
        <v>0.21829855537720708</v>
      </c>
      <c r="S28" s="23">
        <v>79</v>
      </c>
      <c r="T28" s="8">
        <f>S28/2103</f>
        <v>3.7565382786495481E-2</v>
      </c>
      <c r="U28">
        <v>222</v>
      </c>
      <c r="V28" s="8">
        <f>U28/3357</f>
        <v>6.6130473637176043E-2</v>
      </c>
      <c r="W28">
        <v>10</v>
      </c>
      <c r="X28" s="8">
        <f>W28/24</f>
        <v>0.41666666666666669</v>
      </c>
      <c r="Y28">
        <v>21</v>
      </c>
      <c r="Z28" s="8">
        <f>Y28/25</f>
        <v>0.84</v>
      </c>
      <c r="AA28">
        <v>82</v>
      </c>
      <c r="AB28" s="8">
        <f>AA28/108</f>
        <v>0.7592592592592593</v>
      </c>
      <c r="AC28">
        <v>31</v>
      </c>
      <c r="AD28" s="8">
        <f>AC28/64</f>
        <v>0.484375</v>
      </c>
      <c r="AE28">
        <v>0</v>
      </c>
      <c r="AF28" s="8">
        <f>AE28/545</f>
        <v>0</v>
      </c>
      <c r="AG28">
        <v>69</v>
      </c>
      <c r="AH28" s="8">
        <f>AG28/1393</f>
        <v>4.9533381191672651E-2</v>
      </c>
      <c r="AI28" s="39">
        <v>5</v>
      </c>
      <c r="AJ28" s="39">
        <v>3</v>
      </c>
      <c r="AK28">
        <f>AI28/'Total Fiber Count'!H$3</f>
        <v>0.10204081632653061</v>
      </c>
      <c r="AL28">
        <f>AJ28/'Total Fiber Count'!O$3</f>
        <v>6.25E-2</v>
      </c>
      <c r="AM28">
        <v>1.02</v>
      </c>
      <c r="AN28">
        <v>1.0314049586776859</v>
      </c>
    </row>
    <row r="29" spans="1:40" ht="16" x14ac:dyDescent="0.15">
      <c r="A29" s="21" t="s">
        <v>52</v>
      </c>
      <c r="B29" s="40">
        <v>64.714285714285708</v>
      </c>
      <c r="C29" s="40">
        <v>1.2445054945054943</v>
      </c>
      <c r="D29" s="31" t="s">
        <v>25</v>
      </c>
      <c r="E29" s="22">
        <v>24</v>
      </c>
      <c r="F29" s="22">
        <v>22</v>
      </c>
      <c r="G29">
        <f>(32-E29)/32*100</f>
        <v>25</v>
      </c>
      <c r="H29">
        <f>(22-F29)/22*100</f>
        <v>0</v>
      </c>
      <c r="I29" t="b">
        <f>G29&gt;=35</f>
        <v>0</v>
      </c>
      <c r="J29" t="b">
        <f>H29&gt;=50</f>
        <v>0</v>
      </c>
      <c r="K29">
        <v>349</v>
      </c>
      <c r="L29" s="8">
        <f>K29/365</f>
        <v>0.95616438356164379</v>
      </c>
      <c r="M29">
        <v>98</v>
      </c>
      <c r="N29" s="8">
        <f>M29/313</f>
        <v>0.31309904153354634</v>
      </c>
      <c r="O29">
        <v>142</v>
      </c>
      <c r="P29" s="8">
        <f>O29/989</f>
        <v>0.14357937310414559</v>
      </c>
      <c r="Q29">
        <v>94</v>
      </c>
      <c r="R29" s="8">
        <f>Q29/623</f>
        <v>0.1508828250401284</v>
      </c>
      <c r="S29" s="23">
        <v>465</v>
      </c>
      <c r="T29" s="8">
        <f>S29/2103</f>
        <v>0.22111269614835949</v>
      </c>
      <c r="U29" s="23">
        <v>151</v>
      </c>
      <c r="V29" s="8">
        <f>U29/3357</f>
        <v>4.4980637473935062E-2</v>
      </c>
      <c r="W29">
        <v>20</v>
      </c>
      <c r="X29" s="8">
        <f>W29/24</f>
        <v>0.83333333333333337</v>
      </c>
      <c r="Y29">
        <v>16</v>
      </c>
      <c r="Z29" s="8">
        <f>Y29/25</f>
        <v>0.64</v>
      </c>
      <c r="AA29">
        <v>89</v>
      </c>
      <c r="AB29" s="8">
        <f>AA29/108</f>
        <v>0.82407407407407407</v>
      </c>
      <c r="AC29">
        <v>12</v>
      </c>
      <c r="AD29" s="8">
        <f>AC29/64</f>
        <v>0.1875</v>
      </c>
      <c r="AE29">
        <v>88</v>
      </c>
      <c r="AF29" s="8">
        <f>AE29/545</f>
        <v>0.16146788990825689</v>
      </c>
      <c r="AG29">
        <v>21</v>
      </c>
      <c r="AH29" s="8">
        <f>AG29/1393</f>
        <v>1.507537688442211E-2</v>
      </c>
      <c r="AI29" s="39">
        <v>8</v>
      </c>
      <c r="AJ29" s="39">
        <v>3</v>
      </c>
      <c r="AK29">
        <f>AI29/'Total Fiber Count'!H$3</f>
        <v>0.16326530612244897</v>
      </c>
      <c r="AL29">
        <f>AJ29/'Total Fiber Count'!O$3</f>
        <v>6.25E-2</v>
      </c>
      <c r="AM29">
        <v>1.08</v>
      </c>
      <c r="AN29">
        <v>0.43421052631578955</v>
      </c>
    </row>
    <row r="30" spans="1:40" ht="16" x14ac:dyDescent="0.15">
      <c r="A30" s="21" t="s">
        <v>52</v>
      </c>
      <c r="B30" s="40">
        <v>75.142857142857139</v>
      </c>
      <c r="C30" s="40">
        <v>1.445054945054945</v>
      </c>
      <c r="D30" s="31" t="s">
        <v>25</v>
      </c>
      <c r="E30" s="22">
        <v>19</v>
      </c>
      <c r="F30" s="22">
        <v>17</v>
      </c>
      <c r="G30">
        <f>(32-E30)/32*100</f>
        <v>40.625</v>
      </c>
      <c r="H30">
        <f>(22-F30)/22*100</f>
        <v>22.727272727272727</v>
      </c>
      <c r="I30" t="b">
        <f>G30&gt;=35</f>
        <v>1</v>
      </c>
      <c r="J30" t="b">
        <f>H30&gt;=50</f>
        <v>0</v>
      </c>
      <c r="K30">
        <v>150</v>
      </c>
      <c r="L30" s="8">
        <f>K30/365</f>
        <v>0.41095890410958902</v>
      </c>
      <c r="M30">
        <v>118</v>
      </c>
      <c r="N30" s="8">
        <f>M30/313</f>
        <v>0.3769968051118211</v>
      </c>
      <c r="O30">
        <v>4</v>
      </c>
      <c r="P30" s="8">
        <f>O30/989</f>
        <v>4.0444893832153692E-3</v>
      </c>
      <c r="Q30">
        <v>114</v>
      </c>
      <c r="R30" s="8">
        <f>Q30/623</f>
        <v>0.18298555377207062</v>
      </c>
      <c r="S30" s="23">
        <v>9</v>
      </c>
      <c r="T30" s="8">
        <f>S30/2103</f>
        <v>4.2796005706134095E-3</v>
      </c>
      <c r="U30">
        <v>186</v>
      </c>
      <c r="V30" s="8">
        <f>U30/3357</f>
        <v>5.5406613047363718E-2</v>
      </c>
      <c r="W30">
        <v>4</v>
      </c>
      <c r="X30" s="8">
        <f>W30/24</f>
        <v>0.16666666666666666</v>
      </c>
      <c r="Y30">
        <v>18</v>
      </c>
      <c r="Z30" s="8">
        <f>Y30/25</f>
        <v>0.72</v>
      </c>
      <c r="AA30">
        <v>26</v>
      </c>
      <c r="AB30" s="8">
        <f>AA30/108</f>
        <v>0.24074074074074073</v>
      </c>
      <c r="AC30">
        <v>20</v>
      </c>
      <c r="AD30" s="8">
        <f>AC30/64</f>
        <v>0.3125</v>
      </c>
      <c r="AE30">
        <v>0</v>
      </c>
      <c r="AF30" s="8">
        <f>AE30/545</f>
        <v>0</v>
      </c>
      <c r="AG30">
        <v>42</v>
      </c>
      <c r="AH30" s="8">
        <f>AG30/1393</f>
        <v>3.015075376884422E-2</v>
      </c>
      <c r="AI30" s="39">
        <v>2</v>
      </c>
      <c r="AJ30" s="39">
        <v>3</v>
      </c>
      <c r="AK30">
        <f>AI30/'Total Fiber Count'!H$3</f>
        <v>4.0816326530612242E-2</v>
      </c>
      <c r="AL30">
        <f>AJ30/'Total Fiber Count'!O$3</f>
        <v>6.25E-2</v>
      </c>
      <c r="AM30">
        <v>0.63</v>
      </c>
      <c r="AN30">
        <v>0.65999999999999992</v>
      </c>
    </row>
    <row r="31" spans="1:40" ht="16" x14ac:dyDescent="0.15">
      <c r="A31" s="21" t="s">
        <v>52</v>
      </c>
      <c r="B31" s="40">
        <v>91.857142857142861</v>
      </c>
      <c r="C31" s="40">
        <v>1.7664835164835166</v>
      </c>
      <c r="D31" s="31" t="s">
        <v>25</v>
      </c>
      <c r="E31" s="22">
        <v>20</v>
      </c>
      <c r="F31" s="22">
        <v>16</v>
      </c>
      <c r="G31">
        <f>(32-E31)/32*100</f>
        <v>37.5</v>
      </c>
      <c r="H31">
        <f>(22-F31)/22*100</f>
        <v>27.27272727272727</v>
      </c>
      <c r="I31" t="b">
        <f>G31&gt;=35</f>
        <v>1</v>
      </c>
      <c r="J31" t="b">
        <f>H31&gt;=50</f>
        <v>0</v>
      </c>
      <c r="K31">
        <v>279</v>
      </c>
      <c r="L31" s="8">
        <f>K31/365</f>
        <v>0.76438356164383559</v>
      </c>
      <c r="M31">
        <v>116</v>
      </c>
      <c r="N31" s="8">
        <f>M31/313</f>
        <v>0.37060702875399359</v>
      </c>
      <c r="O31">
        <v>36</v>
      </c>
      <c r="P31" s="8">
        <f>O31/989</f>
        <v>3.6400404448938321E-2</v>
      </c>
      <c r="Q31">
        <v>50</v>
      </c>
      <c r="R31" s="8">
        <f>Q31/623</f>
        <v>8.0256821829855537E-2</v>
      </c>
      <c r="S31" s="23">
        <v>160</v>
      </c>
      <c r="T31" s="8">
        <f>S31/2103</f>
        <v>7.608178792201617E-2</v>
      </c>
      <c r="U31" s="23">
        <v>92</v>
      </c>
      <c r="V31" s="8">
        <f>U31/3357</f>
        <v>2.7405421507298182E-2</v>
      </c>
      <c r="W31">
        <v>11</v>
      </c>
      <c r="X31" s="8">
        <f>W31/24</f>
        <v>0.45833333333333331</v>
      </c>
      <c r="Y31">
        <v>4</v>
      </c>
      <c r="Z31" s="8">
        <f>Y31/25</f>
        <v>0.16</v>
      </c>
      <c r="AA31">
        <v>51</v>
      </c>
      <c r="AB31" s="8">
        <f>AA31/108</f>
        <v>0.47222222222222221</v>
      </c>
      <c r="AC31">
        <v>17</v>
      </c>
      <c r="AD31" s="8">
        <f>AC31/64</f>
        <v>0.265625</v>
      </c>
      <c r="AE31">
        <v>4</v>
      </c>
      <c r="AF31" s="8">
        <f>AE31/545</f>
        <v>7.3394495412844041E-3</v>
      </c>
      <c r="AG31">
        <v>4</v>
      </c>
      <c r="AH31" s="8">
        <f>AG31/1393</f>
        <v>2.871500358937545E-3</v>
      </c>
      <c r="AI31" s="39">
        <v>6</v>
      </c>
      <c r="AJ31" s="39">
        <v>1</v>
      </c>
      <c r="AK31">
        <f>AI31/'Total Fiber Count'!H$3</f>
        <v>0.12244897959183673</v>
      </c>
      <c r="AL31">
        <f>AJ31/'Total Fiber Count'!O$3</f>
        <v>2.0833333333333332E-2</v>
      </c>
      <c r="AM31">
        <v>0.63</v>
      </c>
      <c r="AN31">
        <v>0.67622950819672123</v>
      </c>
    </row>
    <row r="32" spans="1:40" ht="16" x14ac:dyDescent="0.15">
      <c r="A32" s="21" t="s">
        <v>52</v>
      </c>
      <c r="B32" s="40">
        <v>117.85714285714286</v>
      </c>
      <c r="C32" s="40">
        <v>2.2664835164835164</v>
      </c>
      <c r="D32" s="31" t="s">
        <v>25</v>
      </c>
      <c r="E32" s="22">
        <v>16</v>
      </c>
      <c r="F32" s="22">
        <v>23</v>
      </c>
      <c r="G32">
        <f>(32-E32)/32*100</f>
        <v>50</v>
      </c>
      <c r="H32">
        <f>(22-F32)/22*100</f>
        <v>-4.5454545454545459</v>
      </c>
      <c r="I32" t="b">
        <f>G32&gt;=35</f>
        <v>1</v>
      </c>
      <c r="J32" t="b">
        <f>H32&gt;=50</f>
        <v>0</v>
      </c>
      <c r="K32">
        <v>150</v>
      </c>
      <c r="L32" s="8">
        <f>K32/365</f>
        <v>0.41095890410958902</v>
      </c>
      <c r="M32">
        <v>118</v>
      </c>
      <c r="N32" s="8">
        <f>M32/313</f>
        <v>0.3769968051118211</v>
      </c>
      <c r="O32">
        <v>4</v>
      </c>
      <c r="P32" s="8">
        <f>O32/989</f>
        <v>4.0444893832153692E-3</v>
      </c>
      <c r="Q32">
        <v>114</v>
      </c>
      <c r="R32" s="8">
        <f>Q32/623</f>
        <v>0.18298555377207062</v>
      </c>
      <c r="S32" s="23">
        <v>9</v>
      </c>
      <c r="T32" s="8">
        <f>S32/2103</f>
        <v>4.2796005706134095E-3</v>
      </c>
      <c r="U32" s="23">
        <v>186</v>
      </c>
      <c r="V32" s="8">
        <f>U32/3357</f>
        <v>5.5406613047363718E-2</v>
      </c>
      <c r="W32">
        <v>4</v>
      </c>
      <c r="X32" s="8">
        <f>W32/24</f>
        <v>0.16666666666666666</v>
      </c>
      <c r="Y32">
        <v>18</v>
      </c>
      <c r="Z32" s="8">
        <f>Y32/25</f>
        <v>0.72</v>
      </c>
      <c r="AA32">
        <v>26</v>
      </c>
      <c r="AB32" s="8">
        <f>AA32/108</f>
        <v>0.24074074074074073</v>
      </c>
      <c r="AC32">
        <v>20</v>
      </c>
      <c r="AD32" s="8">
        <f>AC32/64</f>
        <v>0.3125</v>
      </c>
      <c r="AE32">
        <v>0</v>
      </c>
      <c r="AF32" s="8">
        <f>AE32/545</f>
        <v>0</v>
      </c>
      <c r="AG32">
        <v>42</v>
      </c>
      <c r="AH32" s="8">
        <f>AG32/1393</f>
        <v>3.015075376884422E-2</v>
      </c>
      <c r="AI32" s="39">
        <v>2</v>
      </c>
      <c r="AJ32" s="39">
        <v>3</v>
      </c>
      <c r="AK32">
        <f>AI32/'Total Fiber Count'!H$3</f>
        <v>4.0816326530612242E-2</v>
      </c>
      <c r="AL32">
        <f>AJ32/'Total Fiber Count'!O$3</f>
        <v>6.25E-2</v>
      </c>
      <c r="AM32">
        <v>0.63</v>
      </c>
      <c r="AN32">
        <v>0.65999999999999992</v>
      </c>
    </row>
    <row r="33" spans="1:40" ht="16" x14ac:dyDescent="0.15">
      <c r="A33" s="21" t="s">
        <v>52</v>
      </c>
      <c r="B33" s="40">
        <v>144.14285714285714</v>
      </c>
      <c r="C33" s="40">
        <v>2.7719780219780219</v>
      </c>
      <c r="D33" s="31" t="s">
        <v>25</v>
      </c>
      <c r="E33" s="22">
        <v>19</v>
      </c>
      <c r="F33" s="22">
        <v>24</v>
      </c>
      <c r="G33">
        <f>(32-E33)/32*100</f>
        <v>40.625</v>
      </c>
      <c r="H33">
        <f>(22-F33)/22*100</f>
        <v>-9.0909090909090917</v>
      </c>
      <c r="I33" t="b">
        <f>G33&gt;=35</f>
        <v>1</v>
      </c>
      <c r="J33" t="b">
        <f>H33&gt;=50</f>
        <v>0</v>
      </c>
      <c r="K33">
        <v>152</v>
      </c>
      <c r="L33" s="8">
        <f>K33/365</f>
        <v>0.41643835616438357</v>
      </c>
      <c r="M33">
        <v>79</v>
      </c>
      <c r="N33" s="8">
        <f>M33/313</f>
        <v>0.25239616613418531</v>
      </c>
      <c r="O33">
        <v>4</v>
      </c>
      <c r="P33" s="8">
        <f>O33/989</f>
        <v>4.0444893832153692E-3</v>
      </c>
      <c r="Q33">
        <v>72</v>
      </c>
      <c r="R33" s="8">
        <f>Q33/623</f>
        <v>0.11556982343499198</v>
      </c>
      <c r="S33" s="25">
        <v>11</v>
      </c>
      <c r="T33" s="8">
        <f>S33/2103</f>
        <v>5.2306229196386117E-3</v>
      </c>
      <c r="U33" s="25">
        <v>88</v>
      </c>
      <c r="V33" s="8">
        <f>U33/3357</f>
        <v>2.6213881441763478E-2</v>
      </c>
      <c r="W33">
        <v>4</v>
      </c>
      <c r="X33" s="8">
        <f>W33/24</f>
        <v>0.16666666666666666</v>
      </c>
      <c r="Y33">
        <v>16</v>
      </c>
      <c r="Z33" s="8">
        <f>Y33/25</f>
        <v>0.64</v>
      </c>
      <c r="AA33">
        <v>26</v>
      </c>
      <c r="AB33" s="8">
        <f>AA33/108</f>
        <v>0.24074074074074073</v>
      </c>
      <c r="AC33">
        <v>11</v>
      </c>
      <c r="AD33" s="8">
        <f>AC33/64</f>
        <v>0.171875</v>
      </c>
      <c r="AE33">
        <v>0</v>
      </c>
      <c r="AF33" s="8">
        <f>AE33/545</f>
        <v>0</v>
      </c>
      <c r="AG33">
        <v>10</v>
      </c>
      <c r="AH33" s="8">
        <f>AG33/1393</f>
        <v>7.1787508973438618E-3</v>
      </c>
      <c r="AI33" s="39">
        <v>2</v>
      </c>
      <c r="AJ33" s="39">
        <v>2</v>
      </c>
      <c r="AK33">
        <f>AI33/'Total Fiber Count'!H$3</f>
        <v>4.0816326530612242E-2</v>
      </c>
      <c r="AL33">
        <f>AJ33/'Total Fiber Count'!O$3</f>
        <v>4.1666666666666664E-2</v>
      </c>
      <c r="AM33">
        <v>0.9</v>
      </c>
      <c r="AN33">
        <v>0.65999999999999992</v>
      </c>
    </row>
    <row r="34" spans="1:40" ht="16" x14ac:dyDescent="0.15">
      <c r="A34" s="21" t="s">
        <v>52</v>
      </c>
      <c r="B34" s="40">
        <v>170</v>
      </c>
      <c r="C34" s="40">
        <v>3.2692307692307692</v>
      </c>
      <c r="D34" s="31" t="s">
        <v>25</v>
      </c>
      <c r="E34" s="22">
        <v>17</v>
      </c>
      <c r="F34" s="22">
        <v>27</v>
      </c>
      <c r="G34">
        <f>(32-E34)/32*100</f>
        <v>46.875</v>
      </c>
      <c r="H34">
        <f>(22-F34)/22*100</f>
        <v>-22.727272727272727</v>
      </c>
      <c r="I34" t="b">
        <f>G34&gt;=35</f>
        <v>1</v>
      </c>
      <c r="J34" t="b">
        <f>H34&gt;=50</f>
        <v>0</v>
      </c>
      <c r="K34">
        <v>146</v>
      </c>
      <c r="L34" s="8">
        <f>K34/365</f>
        <v>0.4</v>
      </c>
      <c r="M34">
        <v>70</v>
      </c>
      <c r="N34" s="8">
        <f>M34/313</f>
        <v>0.22364217252396165</v>
      </c>
      <c r="O34">
        <v>5</v>
      </c>
      <c r="P34" s="8">
        <f>O34/989</f>
        <v>5.0556117290192111E-3</v>
      </c>
      <c r="Q34">
        <v>62</v>
      </c>
      <c r="R34" s="8">
        <f>Q34/623</f>
        <v>9.9518459069020862E-2</v>
      </c>
      <c r="S34" s="23">
        <v>8</v>
      </c>
      <c r="T34" s="8">
        <f>S34/2103</f>
        <v>3.8040893961008085E-3</v>
      </c>
      <c r="U34" s="23">
        <v>87</v>
      </c>
      <c r="V34" s="8">
        <f>U34/3357</f>
        <v>2.5915996425379804E-2</v>
      </c>
      <c r="W34">
        <v>3</v>
      </c>
      <c r="X34" s="8">
        <f>W34/24</f>
        <v>0.125</v>
      </c>
      <c r="Y34">
        <v>15</v>
      </c>
      <c r="Z34" s="8">
        <f>Y34/25</f>
        <v>0.6</v>
      </c>
      <c r="AA34">
        <v>21</v>
      </c>
      <c r="AB34" s="8">
        <f>AA34/108</f>
        <v>0.19444444444444445</v>
      </c>
      <c r="AC34">
        <v>9</v>
      </c>
      <c r="AD34" s="8">
        <f>AC34/64</f>
        <v>0.140625</v>
      </c>
      <c r="AE34">
        <v>0</v>
      </c>
      <c r="AF34" s="8">
        <f>AE34/545</f>
        <v>0</v>
      </c>
      <c r="AG34">
        <v>8</v>
      </c>
      <c r="AH34" s="8">
        <f>AG34/1393</f>
        <v>5.7430007178750899E-3</v>
      </c>
      <c r="AI34" s="39">
        <v>2</v>
      </c>
      <c r="AJ34" s="39">
        <v>2</v>
      </c>
      <c r="AK34">
        <f>AI34/'Total Fiber Count'!H$3</f>
        <v>4.0816326530612242E-2</v>
      </c>
      <c r="AL34">
        <f>AJ34/'Total Fiber Count'!O$3</f>
        <v>4.1666666666666664E-2</v>
      </c>
      <c r="AM34">
        <v>0.65999999999999992</v>
      </c>
      <c r="AN34">
        <v>0.78947368421052633</v>
      </c>
    </row>
    <row r="35" spans="1:40" ht="16" x14ac:dyDescent="0.15">
      <c r="A35" s="21" t="s">
        <v>52</v>
      </c>
      <c r="B35" s="40">
        <v>196.14285714285714</v>
      </c>
      <c r="C35" s="40">
        <v>3.7719780219780219</v>
      </c>
      <c r="D35" s="31" t="s">
        <v>25</v>
      </c>
      <c r="E35" s="22" t="s">
        <v>36</v>
      </c>
      <c r="F35" s="22" t="s">
        <v>36</v>
      </c>
      <c r="G35" t="s">
        <v>36</v>
      </c>
      <c r="H35" t="s">
        <v>36</v>
      </c>
      <c r="I35" t="s">
        <v>36</v>
      </c>
      <c r="J35" t="s">
        <v>36</v>
      </c>
      <c r="K35">
        <v>146</v>
      </c>
      <c r="L35" s="8">
        <f>K35/365</f>
        <v>0.4</v>
      </c>
      <c r="M35">
        <v>70</v>
      </c>
      <c r="N35" s="8">
        <f>M35/313</f>
        <v>0.22364217252396165</v>
      </c>
      <c r="O35">
        <v>5</v>
      </c>
      <c r="P35" s="8">
        <f>O35/989</f>
        <v>5.0556117290192111E-3</v>
      </c>
      <c r="Q35">
        <v>62</v>
      </c>
      <c r="R35" s="8">
        <f>Q35/623</f>
        <v>9.9518459069020862E-2</v>
      </c>
      <c r="S35" s="23">
        <v>8</v>
      </c>
      <c r="T35" s="8">
        <f>S35/2103</f>
        <v>3.8040893961008085E-3</v>
      </c>
      <c r="U35" s="23">
        <v>87</v>
      </c>
      <c r="V35" s="8">
        <f>U35/3357</f>
        <v>2.5915996425379804E-2</v>
      </c>
      <c r="W35">
        <v>3</v>
      </c>
      <c r="X35" s="8">
        <f>W35/24</f>
        <v>0.125</v>
      </c>
      <c r="Y35">
        <v>15</v>
      </c>
      <c r="Z35" s="8">
        <f>Y35/25</f>
        <v>0.6</v>
      </c>
      <c r="AA35">
        <v>21</v>
      </c>
      <c r="AB35" s="8">
        <f>AA35/108</f>
        <v>0.19444444444444445</v>
      </c>
      <c r="AC35">
        <v>9</v>
      </c>
      <c r="AD35" s="8">
        <f>AC35/64</f>
        <v>0.140625</v>
      </c>
      <c r="AE35">
        <v>0</v>
      </c>
      <c r="AF35" s="8">
        <f>AE35/545</f>
        <v>0</v>
      </c>
      <c r="AG35">
        <v>8</v>
      </c>
      <c r="AH35" s="8">
        <f>AG35/1393</f>
        <v>5.7430007178750899E-3</v>
      </c>
      <c r="AI35" s="39">
        <v>2</v>
      </c>
      <c r="AJ35" s="39">
        <v>2</v>
      </c>
      <c r="AK35">
        <f>AI35/'Total Fiber Count'!H$3</f>
        <v>4.0816326530612242E-2</v>
      </c>
      <c r="AL35">
        <f>AJ35/'Total Fiber Count'!O$3</f>
        <v>4.1666666666666664E-2</v>
      </c>
      <c r="AM35">
        <v>0.65999999999999992</v>
      </c>
      <c r="AN35">
        <v>0.78947368421052633</v>
      </c>
    </row>
    <row r="36" spans="1:40" ht="16" x14ac:dyDescent="0.2">
      <c r="A36" s="21" t="s">
        <v>53</v>
      </c>
      <c r="B36" s="41">
        <v>0</v>
      </c>
      <c r="C36" s="41">
        <v>0</v>
      </c>
      <c r="D36" s="27" t="s">
        <v>25</v>
      </c>
      <c r="E36" s="10">
        <v>36</v>
      </c>
      <c r="F36" s="10">
        <v>41</v>
      </c>
      <c r="G36">
        <f>(35-E36)/35*100</f>
        <v>-2.8571428571428572</v>
      </c>
      <c r="H36">
        <f>(41-F36)/41*100</f>
        <v>0</v>
      </c>
      <c r="I36" t="b">
        <f>G36&gt;=35</f>
        <v>0</v>
      </c>
      <c r="J36" t="b">
        <f>H36&gt;=50</f>
        <v>0</v>
      </c>
      <c r="K36">
        <v>0</v>
      </c>
      <c r="L36" s="8">
        <f>K36/5</f>
        <v>0</v>
      </c>
      <c r="M36">
        <v>0</v>
      </c>
      <c r="N36" s="8">
        <f>M36/3</f>
        <v>0</v>
      </c>
      <c r="O36">
        <v>29</v>
      </c>
      <c r="P36" s="8">
        <f>O36/96</f>
        <v>0.30208333333333331</v>
      </c>
      <c r="Q36">
        <v>103</v>
      </c>
      <c r="R36" s="8">
        <f>Q36/254</f>
        <v>0.40551181102362205</v>
      </c>
      <c r="S36">
        <v>141</v>
      </c>
      <c r="T36" s="8">
        <f>S36/178</f>
        <v>0.7921348314606742</v>
      </c>
      <c r="U36">
        <v>107</v>
      </c>
      <c r="V36" s="8">
        <f>U36/364</f>
        <v>0.29395604395604397</v>
      </c>
      <c r="W36">
        <v>0</v>
      </c>
      <c r="X36" s="8">
        <v>0</v>
      </c>
      <c r="Y36">
        <v>0</v>
      </c>
      <c r="Z36" s="8">
        <v>0</v>
      </c>
      <c r="AA36">
        <v>0</v>
      </c>
      <c r="AB36" s="8">
        <f>AA36/3</f>
        <v>0</v>
      </c>
      <c r="AC36">
        <v>0</v>
      </c>
      <c r="AD36" s="8">
        <v>0</v>
      </c>
      <c r="AE36">
        <v>84</v>
      </c>
      <c r="AF36" s="8">
        <f>AE36/114</f>
        <v>0.73684210526315785</v>
      </c>
      <c r="AG36">
        <v>11</v>
      </c>
      <c r="AH36" s="8">
        <f>AG36/63</f>
        <v>0.17460317460317459</v>
      </c>
      <c r="AI36" s="39">
        <v>3</v>
      </c>
      <c r="AJ36" s="39">
        <v>1</v>
      </c>
      <c r="AK36">
        <f>AI36/'Total Fiber Count'!H$4</f>
        <v>0.42857142857142855</v>
      </c>
      <c r="AL36">
        <f>AJ36/'Total Fiber Count'!O$4</f>
        <v>0.125</v>
      </c>
      <c r="AN36">
        <v>0.9</v>
      </c>
    </row>
    <row r="37" spans="1:40" ht="16" x14ac:dyDescent="0.2">
      <c r="A37" s="21" t="s">
        <v>53</v>
      </c>
      <c r="B37" s="41">
        <v>0.14285714285714285</v>
      </c>
      <c r="C37" s="41">
        <v>2.747252747252747E-3</v>
      </c>
      <c r="D37" s="27" t="s">
        <v>25</v>
      </c>
      <c r="E37" s="10">
        <v>36</v>
      </c>
      <c r="F37" s="10">
        <v>41</v>
      </c>
      <c r="G37">
        <f>(35-E37)/35*100</f>
        <v>-2.8571428571428572</v>
      </c>
      <c r="H37">
        <f>(41-F37)/41*100</f>
        <v>0</v>
      </c>
      <c r="I37" t="b">
        <f>G37&gt;=35</f>
        <v>0</v>
      </c>
      <c r="J37" t="b">
        <f>H37&gt;=50</f>
        <v>0</v>
      </c>
      <c r="K37">
        <v>0</v>
      </c>
      <c r="L37" s="8">
        <f>K37/5</f>
        <v>0</v>
      </c>
      <c r="M37">
        <v>0</v>
      </c>
      <c r="N37" s="8">
        <f>M37/3</f>
        <v>0</v>
      </c>
      <c r="O37">
        <v>29</v>
      </c>
      <c r="P37" s="8">
        <f>O37/96</f>
        <v>0.30208333333333331</v>
      </c>
      <c r="Q37">
        <v>103</v>
      </c>
      <c r="R37" s="8">
        <f>Q37/254</f>
        <v>0.40551181102362205</v>
      </c>
      <c r="S37">
        <v>141</v>
      </c>
      <c r="T37" s="8">
        <f>S37/178</f>
        <v>0.7921348314606742</v>
      </c>
      <c r="U37">
        <v>107</v>
      </c>
      <c r="V37" s="8">
        <f>U37/364</f>
        <v>0.29395604395604397</v>
      </c>
      <c r="W37">
        <v>0</v>
      </c>
      <c r="X37" s="8">
        <v>0</v>
      </c>
      <c r="Y37">
        <v>0</v>
      </c>
      <c r="Z37" s="8">
        <v>0</v>
      </c>
      <c r="AA37">
        <v>0</v>
      </c>
      <c r="AB37" s="8">
        <f>AA37/3</f>
        <v>0</v>
      </c>
      <c r="AC37">
        <v>0</v>
      </c>
      <c r="AD37" s="8">
        <v>0</v>
      </c>
      <c r="AE37">
        <v>84</v>
      </c>
      <c r="AF37" s="8">
        <f>AE37/114</f>
        <v>0.73684210526315785</v>
      </c>
      <c r="AG37">
        <v>11</v>
      </c>
      <c r="AH37" s="8">
        <f>AG37/63</f>
        <v>0.17460317460317459</v>
      </c>
      <c r="AI37" s="39">
        <v>3</v>
      </c>
      <c r="AJ37" s="39">
        <v>1</v>
      </c>
      <c r="AK37">
        <f>AI37/'Total Fiber Count'!H$4</f>
        <v>0.42857142857142855</v>
      </c>
      <c r="AL37">
        <f>AJ37/'Total Fiber Count'!O$4</f>
        <v>0.125</v>
      </c>
      <c r="AN37">
        <v>0.9</v>
      </c>
    </row>
    <row r="38" spans="1:40" ht="16" x14ac:dyDescent="0.2">
      <c r="A38" s="21" t="s">
        <v>53</v>
      </c>
      <c r="B38" s="41">
        <v>0.5714285714285714</v>
      </c>
      <c r="C38" s="41">
        <v>1.0989010989010988E-2</v>
      </c>
      <c r="D38" s="27" t="s">
        <v>25</v>
      </c>
      <c r="E38" s="10">
        <v>36</v>
      </c>
      <c r="F38" s="10">
        <v>41</v>
      </c>
      <c r="G38">
        <f>(35-E38)/35*100</f>
        <v>-2.8571428571428572</v>
      </c>
      <c r="H38">
        <f>(41-F38)/41*100</f>
        <v>0</v>
      </c>
      <c r="I38" t="b">
        <f>G38&gt;=35</f>
        <v>0</v>
      </c>
      <c r="J38" t="b">
        <f>H38&gt;=50</f>
        <v>0</v>
      </c>
      <c r="K38">
        <v>0</v>
      </c>
      <c r="L38" s="8">
        <f>K38/5</f>
        <v>0</v>
      </c>
      <c r="M38">
        <v>0</v>
      </c>
      <c r="N38" s="8">
        <f>M38/3</f>
        <v>0</v>
      </c>
      <c r="O38">
        <v>28</v>
      </c>
      <c r="P38" s="8">
        <f>O38/96</f>
        <v>0.29166666666666669</v>
      </c>
      <c r="Q38">
        <v>103</v>
      </c>
      <c r="R38" s="8">
        <f>Q38/254</f>
        <v>0.40551181102362205</v>
      </c>
      <c r="S38">
        <v>147</v>
      </c>
      <c r="T38" s="8">
        <f>S38/178</f>
        <v>0.8258426966292135</v>
      </c>
      <c r="U38">
        <v>122</v>
      </c>
      <c r="V38" s="8">
        <f>U38/364</f>
        <v>0.33516483516483514</v>
      </c>
      <c r="W38">
        <v>0</v>
      </c>
      <c r="X38" s="8">
        <v>0</v>
      </c>
      <c r="Y38">
        <v>0</v>
      </c>
      <c r="Z38" s="8">
        <v>0</v>
      </c>
      <c r="AA38">
        <v>0</v>
      </c>
      <c r="AB38" s="8">
        <f>AA38/3</f>
        <v>0</v>
      </c>
      <c r="AC38">
        <v>0</v>
      </c>
      <c r="AD38" s="8">
        <v>0</v>
      </c>
      <c r="AE38">
        <v>86</v>
      </c>
      <c r="AF38" s="8">
        <f>AE38/114</f>
        <v>0.75438596491228072</v>
      </c>
      <c r="AG38">
        <v>12</v>
      </c>
      <c r="AH38" s="8">
        <f>AG38/63</f>
        <v>0.19047619047619047</v>
      </c>
      <c r="AI38" s="39">
        <v>3</v>
      </c>
      <c r="AJ38" s="39">
        <v>1</v>
      </c>
      <c r="AK38">
        <f>AI38/'Total Fiber Count'!H$4</f>
        <v>0.42857142857142855</v>
      </c>
      <c r="AL38">
        <f>AJ38/'Total Fiber Count'!O$4</f>
        <v>0.125</v>
      </c>
      <c r="AN38">
        <v>1.2</v>
      </c>
    </row>
    <row r="39" spans="1:40" ht="16" x14ac:dyDescent="0.2">
      <c r="A39" s="21" t="s">
        <v>53</v>
      </c>
      <c r="B39" s="41">
        <v>4.5714285714285712</v>
      </c>
      <c r="C39" s="41">
        <v>8.7912087912087905E-2</v>
      </c>
      <c r="D39" s="27" t="s">
        <v>25</v>
      </c>
      <c r="E39" s="10">
        <v>23</v>
      </c>
      <c r="F39" s="10">
        <v>22</v>
      </c>
      <c r="G39">
        <f>(35-E39)/35*100</f>
        <v>34.285714285714285</v>
      </c>
      <c r="H39">
        <f>(41-F39)/41*100</f>
        <v>46.341463414634148</v>
      </c>
      <c r="I39" t="b">
        <f>G39&gt;=35</f>
        <v>0</v>
      </c>
      <c r="J39" t="b">
        <f>H39&gt;=50</f>
        <v>0</v>
      </c>
      <c r="K39">
        <v>0</v>
      </c>
      <c r="L39" s="8">
        <f>K39/5</f>
        <v>0</v>
      </c>
      <c r="M39">
        <v>0</v>
      </c>
      <c r="N39" s="8">
        <f>M39/3</f>
        <v>0</v>
      </c>
      <c r="O39">
        <v>29</v>
      </c>
      <c r="P39" s="8">
        <f>O39/96</f>
        <v>0.30208333333333331</v>
      </c>
      <c r="Q39">
        <v>102</v>
      </c>
      <c r="R39" s="8">
        <f>Q39/254</f>
        <v>0.40157480314960631</v>
      </c>
      <c r="S39">
        <v>144</v>
      </c>
      <c r="T39" s="8">
        <f>S39/178</f>
        <v>0.8089887640449438</v>
      </c>
      <c r="U39">
        <v>116</v>
      </c>
      <c r="V39" s="8">
        <f>U39/364</f>
        <v>0.31868131868131866</v>
      </c>
      <c r="W39">
        <v>0</v>
      </c>
      <c r="X39" s="8">
        <v>0</v>
      </c>
      <c r="Y39">
        <v>0</v>
      </c>
      <c r="Z39" s="8">
        <v>0</v>
      </c>
      <c r="AA39">
        <v>0</v>
      </c>
      <c r="AB39" s="8">
        <f>AA39/3</f>
        <v>0</v>
      </c>
      <c r="AC39">
        <v>0</v>
      </c>
      <c r="AD39" s="8">
        <v>0</v>
      </c>
      <c r="AE39">
        <v>84</v>
      </c>
      <c r="AF39" s="8">
        <f>AE39/114</f>
        <v>0.73684210526315785</v>
      </c>
      <c r="AG39">
        <v>12</v>
      </c>
      <c r="AH39" s="8">
        <f>AG39/63</f>
        <v>0.19047619047619047</v>
      </c>
      <c r="AI39" s="39">
        <v>3</v>
      </c>
      <c r="AJ39" s="39">
        <v>1</v>
      </c>
      <c r="AK39">
        <f>AI39/'Total Fiber Count'!H$4</f>
        <v>0.42857142857142855</v>
      </c>
      <c r="AL39">
        <f>AJ39/'Total Fiber Count'!O$4</f>
        <v>0.125</v>
      </c>
      <c r="AN39">
        <v>1.05</v>
      </c>
    </row>
    <row r="40" spans="1:40" ht="16" x14ac:dyDescent="0.2">
      <c r="A40" s="21" t="s">
        <v>53</v>
      </c>
      <c r="B40" s="41">
        <v>9.1428571428571423</v>
      </c>
      <c r="C40" s="41">
        <v>0.17582417582417581</v>
      </c>
      <c r="D40" s="27" t="s">
        <v>25</v>
      </c>
      <c r="E40" s="10">
        <v>28</v>
      </c>
      <c r="F40" s="10">
        <v>22</v>
      </c>
      <c r="G40">
        <f>(35-E40)/35*100</f>
        <v>20</v>
      </c>
      <c r="H40">
        <f>(41-F40)/41*100</f>
        <v>46.341463414634148</v>
      </c>
      <c r="I40" t="b">
        <f>G40&gt;=35</f>
        <v>0</v>
      </c>
      <c r="J40" t="b">
        <f>H40&gt;=50</f>
        <v>0</v>
      </c>
      <c r="K40">
        <v>0</v>
      </c>
      <c r="L40" s="8">
        <f>K40/5</f>
        <v>0</v>
      </c>
      <c r="M40">
        <v>0</v>
      </c>
      <c r="N40" s="8">
        <f>M40/3</f>
        <v>0</v>
      </c>
      <c r="O40">
        <v>29</v>
      </c>
      <c r="P40" s="8">
        <f>O40/96</f>
        <v>0.30208333333333331</v>
      </c>
      <c r="Q40">
        <v>102</v>
      </c>
      <c r="R40" s="8">
        <f>Q40/254</f>
        <v>0.40157480314960631</v>
      </c>
      <c r="S40">
        <v>144</v>
      </c>
      <c r="T40" s="8">
        <f>S40/178</f>
        <v>0.8089887640449438</v>
      </c>
      <c r="U40">
        <v>116</v>
      </c>
      <c r="V40" s="8">
        <f>U40/364</f>
        <v>0.31868131868131866</v>
      </c>
      <c r="W40">
        <v>0</v>
      </c>
      <c r="X40" s="8">
        <v>0</v>
      </c>
      <c r="Y40">
        <v>0</v>
      </c>
      <c r="Z40" s="8">
        <v>0</v>
      </c>
      <c r="AA40">
        <v>0</v>
      </c>
      <c r="AB40" s="8">
        <f>AA40/3</f>
        <v>0</v>
      </c>
      <c r="AC40">
        <v>0</v>
      </c>
      <c r="AD40" s="8">
        <v>0</v>
      </c>
      <c r="AE40">
        <v>84</v>
      </c>
      <c r="AF40" s="8">
        <f>AE40/114</f>
        <v>0.73684210526315785</v>
      </c>
      <c r="AG40">
        <v>12</v>
      </c>
      <c r="AH40" s="8">
        <f>AG40/63</f>
        <v>0.19047619047619047</v>
      </c>
      <c r="AI40" s="39">
        <v>3</v>
      </c>
      <c r="AJ40" s="39">
        <v>1</v>
      </c>
      <c r="AK40">
        <f>AI40/'Total Fiber Count'!H$4</f>
        <v>0.42857142857142855</v>
      </c>
      <c r="AL40">
        <f>AJ40/'Total Fiber Count'!O$4</f>
        <v>0.125</v>
      </c>
      <c r="AN40">
        <v>1.05</v>
      </c>
    </row>
    <row r="41" spans="1:40" ht="16" x14ac:dyDescent="0.2">
      <c r="A41" s="21" t="s">
        <v>53</v>
      </c>
      <c r="B41" s="41">
        <v>11.571428571428571</v>
      </c>
      <c r="C41" s="41">
        <v>0.22252747252747251</v>
      </c>
      <c r="D41" s="27" t="s">
        <v>25</v>
      </c>
      <c r="E41" s="10">
        <v>30</v>
      </c>
      <c r="F41" s="10">
        <v>21</v>
      </c>
      <c r="G41">
        <f>(35-E41)/35*100</f>
        <v>14.285714285714285</v>
      </c>
      <c r="H41">
        <f>(41-F41)/41*100</f>
        <v>48.780487804878049</v>
      </c>
      <c r="I41" t="b">
        <f>G41&gt;=35</f>
        <v>0</v>
      </c>
      <c r="J41" t="b">
        <f>H41&gt;=50</f>
        <v>0</v>
      </c>
      <c r="K41">
        <v>0</v>
      </c>
      <c r="L41" s="8">
        <f>K41/5</f>
        <v>0</v>
      </c>
      <c r="M41">
        <v>0</v>
      </c>
      <c r="N41" s="8">
        <f>M41/3</f>
        <v>0</v>
      </c>
      <c r="O41">
        <v>29</v>
      </c>
      <c r="P41" s="8">
        <f>O41/96</f>
        <v>0.30208333333333331</v>
      </c>
      <c r="Q41">
        <v>103</v>
      </c>
      <c r="R41" s="8">
        <f>Q41/254</f>
        <v>0.40551181102362205</v>
      </c>
      <c r="S41">
        <v>141</v>
      </c>
      <c r="T41" s="8">
        <f>S41/178</f>
        <v>0.7921348314606742</v>
      </c>
      <c r="U41">
        <v>107</v>
      </c>
      <c r="V41" s="8">
        <f>U41/364</f>
        <v>0.29395604395604397</v>
      </c>
      <c r="W41">
        <v>0</v>
      </c>
      <c r="X41" s="8">
        <v>0</v>
      </c>
      <c r="Y41">
        <v>0</v>
      </c>
      <c r="Z41" s="8">
        <v>0</v>
      </c>
      <c r="AA41">
        <v>0</v>
      </c>
      <c r="AB41" s="8">
        <f>AA41/3</f>
        <v>0</v>
      </c>
      <c r="AC41">
        <v>0</v>
      </c>
      <c r="AD41" s="8">
        <v>0</v>
      </c>
      <c r="AE41">
        <v>84</v>
      </c>
      <c r="AF41" s="8">
        <f>AE41/114</f>
        <v>0.73684210526315785</v>
      </c>
      <c r="AG41">
        <v>11</v>
      </c>
      <c r="AH41" s="8">
        <f>AG41/63</f>
        <v>0.17460317460317459</v>
      </c>
      <c r="AI41" s="39">
        <v>3</v>
      </c>
      <c r="AJ41" s="39">
        <v>1</v>
      </c>
      <c r="AK41">
        <f>AI41/'Total Fiber Count'!H$4</f>
        <v>0.42857142857142855</v>
      </c>
      <c r="AL41">
        <f>AJ41/'Total Fiber Count'!O$4</f>
        <v>0.125</v>
      </c>
      <c r="AN41">
        <v>0.9</v>
      </c>
    </row>
    <row r="42" spans="1:40" ht="16" x14ac:dyDescent="0.2">
      <c r="A42" s="21" t="s">
        <v>53</v>
      </c>
      <c r="B42" s="41">
        <v>14.571428571428571</v>
      </c>
      <c r="C42" s="41">
        <v>0.28021978021978022</v>
      </c>
      <c r="D42" s="27" t="s">
        <v>25</v>
      </c>
      <c r="E42" s="10">
        <v>30</v>
      </c>
      <c r="F42" s="10">
        <v>21</v>
      </c>
      <c r="G42">
        <f>(35-E42)/35*100</f>
        <v>14.285714285714285</v>
      </c>
      <c r="H42">
        <f>(41-F42)/41*100</f>
        <v>48.780487804878049</v>
      </c>
      <c r="I42" t="b">
        <f>G42&gt;=35</f>
        <v>0</v>
      </c>
      <c r="J42" t="b">
        <f>H42&gt;=50</f>
        <v>0</v>
      </c>
      <c r="K42">
        <v>0</v>
      </c>
      <c r="L42" s="8">
        <f>K42/5</f>
        <v>0</v>
      </c>
      <c r="M42">
        <v>0</v>
      </c>
      <c r="N42" s="8">
        <f>M42/3</f>
        <v>0</v>
      </c>
      <c r="O42">
        <v>28</v>
      </c>
      <c r="P42" s="8">
        <f>O42/96</f>
        <v>0.29166666666666669</v>
      </c>
      <c r="Q42">
        <v>103</v>
      </c>
      <c r="R42" s="8">
        <f>Q42/254</f>
        <v>0.40551181102362205</v>
      </c>
      <c r="S42">
        <v>141</v>
      </c>
      <c r="T42" s="8">
        <f>S42/178</f>
        <v>0.7921348314606742</v>
      </c>
      <c r="U42">
        <v>108</v>
      </c>
      <c r="V42" s="8">
        <f>U42/364</f>
        <v>0.2967032967032967</v>
      </c>
      <c r="W42">
        <v>0</v>
      </c>
      <c r="X42" s="8">
        <v>0</v>
      </c>
      <c r="Y42">
        <v>0</v>
      </c>
      <c r="Z42" s="8">
        <v>0</v>
      </c>
      <c r="AA42">
        <v>0</v>
      </c>
      <c r="AB42" s="8">
        <f>AA42/3</f>
        <v>0</v>
      </c>
      <c r="AC42">
        <v>0</v>
      </c>
      <c r="AD42" s="8">
        <v>0</v>
      </c>
      <c r="AE42">
        <v>82</v>
      </c>
      <c r="AF42" s="8">
        <f>AE42/114</f>
        <v>0.7192982456140351</v>
      </c>
      <c r="AG42">
        <v>11</v>
      </c>
      <c r="AH42" s="8">
        <f>AG42/63</f>
        <v>0.17460317460317459</v>
      </c>
      <c r="AI42" s="39">
        <v>3</v>
      </c>
      <c r="AJ42" s="39">
        <v>1</v>
      </c>
      <c r="AK42">
        <f>AI42/'Total Fiber Count'!H$4</f>
        <v>0.42857142857142855</v>
      </c>
      <c r="AL42">
        <f>AJ42/'Total Fiber Count'!O$4</f>
        <v>0.125</v>
      </c>
      <c r="AN42">
        <v>0.97499999999999998</v>
      </c>
    </row>
    <row r="43" spans="1:40" ht="16" x14ac:dyDescent="0.2">
      <c r="A43" s="21" t="s">
        <v>53</v>
      </c>
      <c r="B43" s="41">
        <v>16.571428571428569</v>
      </c>
      <c r="C43" s="41">
        <v>0.31868131868131866</v>
      </c>
      <c r="D43" s="27" t="s">
        <v>25</v>
      </c>
      <c r="E43" s="10">
        <v>30</v>
      </c>
      <c r="F43" s="10">
        <v>30</v>
      </c>
      <c r="G43">
        <f>(35-E43)/35*100</f>
        <v>14.285714285714285</v>
      </c>
      <c r="H43">
        <f>(41-F43)/41*100</f>
        <v>26.829268292682929</v>
      </c>
      <c r="I43" t="b">
        <f>G43&gt;=35</f>
        <v>0</v>
      </c>
      <c r="J43" t="b">
        <f>H43&gt;=50</f>
        <v>0</v>
      </c>
      <c r="K43">
        <v>0</v>
      </c>
      <c r="L43" s="8">
        <f>K43/5</f>
        <v>0</v>
      </c>
      <c r="M43">
        <v>0</v>
      </c>
      <c r="N43" s="8">
        <f>M43/3</f>
        <v>0</v>
      </c>
      <c r="O43">
        <v>29</v>
      </c>
      <c r="P43" s="8">
        <f>O43/96</f>
        <v>0.30208333333333331</v>
      </c>
      <c r="Q43">
        <v>102</v>
      </c>
      <c r="R43" s="8">
        <f>Q43/254</f>
        <v>0.40157480314960631</v>
      </c>
      <c r="S43">
        <v>144</v>
      </c>
      <c r="T43" s="8">
        <f>S43/178</f>
        <v>0.8089887640449438</v>
      </c>
      <c r="U43">
        <v>116</v>
      </c>
      <c r="V43" s="8">
        <f>U43/364</f>
        <v>0.31868131868131866</v>
      </c>
      <c r="W43">
        <v>0</v>
      </c>
      <c r="X43" s="8">
        <v>0</v>
      </c>
      <c r="Y43">
        <v>0</v>
      </c>
      <c r="Z43" s="8">
        <v>0</v>
      </c>
      <c r="AA43">
        <v>0</v>
      </c>
      <c r="AB43" s="8">
        <f>AA43/3</f>
        <v>0</v>
      </c>
      <c r="AC43">
        <v>0</v>
      </c>
      <c r="AD43" s="8">
        <v>0</v>
      </c>
      <c r="AE43">
        <v>84</v>
      </c>
      <c r="AF43" s="8">
        <f>AE43/114</f>
        <v>0.73684210526315785</v>
      </c>
      <c r="AG43">
        <v>12</v>
      </c>
      <c r="AH43" s="8">
        <f>AG43/63</f>
        <v>0.19047619047619047</v>
      </c>
      <c r="AI43" s="39">
        <v>3</v>
      </c>
      <c r="AJ43" s="39">
        <v>1</v>
      </c>
      <c r="AK43">
        <f>AI43/'Total Fiber Count'!H$4</f>
        <v>0.42857142857142855</v>
      </c>
      <c r="AL43">
        <f>AJ43/'Total Fiber Count'!O$4</f>
        <v>0.125</v>
      </c>
      <c r="AN43">
        <v>1.05</v>
      </c>
    </row>
    <row r="44" spans="1:40" ht="16" x14ac:dyDescent="0.2">
      <c r="A44" s="21" t="s">
        <v>53</v>
      </c>
      <c r="B44" s="41">
        <v>28.142857142857139</v>
      </c>
      <c r="C44" s="41">
        <v>0.54120879120879117</v>
      </c>
      <c r="D44" s="27" t="s">
        <v>25</v>
      </c>
      <c r="E44" s="10">
        <v>33</v>
      </c>
      <c r="F44" s="10">
        <v>35</v>
      </c>
      <c r="G44">
        <f>(35-E44)/35*100</f>
        <v>5.7142857142857144</v>
      </c>
      <c r="H44">
        <f>(41-F44)/41*100</f>
        <v>14.634146341463413</v>
      </c>
      <c r="I44" t="b">
        <f>G44&gt;=35</f>
        <v>0</v>
      </c>
      <c r="J44" t="b">
        <f>H44&gt;=50</f>
        <v>0</v>
      </c>
      <c r="K44">
        <v>0</v>
      </c>
      <c r="L44" s="8">
        <f>K44/5</f>
        <v>0</v>
      </c>
      <c r="M44">
        <v>0</v>
      </c>
      <c r="N44" s="8">
        <f>M44/3</f>
        <v>0</v>
      </c>
      <c r="O44">
        <v>28</v>
      </c>
      <c r="P44" s="8">
        <f>O44/96</f>
        <v>0.29166666666666669</v>
      </c>
      <c r="Q44">
        <v>103</v>
      </c>
      <c r="R44" s="8">
        <f>Q44/254</f>
        <v>0.40551181102362205</v>
      </c>
      <c r="S44">
        <v>141</v>
      </c>
      <c r="T44" s="8">
        <f>S44/178</f>
        <v>0.7921348314606742</v>
      </c>
      <c r="U44">
        <v>108</v>
      </c>
      <c r="V44" s="8">
        <f>U44/364</f>
        <v>0.2967032967032967</v>
      </c>
      <c r="W44">
        <v>0</v>
      </c>
      <c r="X44" s="8">
        <v>0</v>
      </c>
      <c r="Y44">
        <v>0</v>
      </c>
      <c r="Z44" s="8">
        <v>0</v>
      </c>
      <c r="AA44">
        <v>0</v>
      </c>
      <c r="AB44" s="8">
        <f>AA44/3</f>
        <v>0</v>
      </c>
      <c r="AC44">
        <v>0</v>
      </c>
      <c r="AD44" s="8">
        <v>0</v>
      </c>
      <c r="AE44">
        <v>82</v>
      </c>
      <c r="AF44" s="8">
        <f>AE44/114</f>
        <v>0.7192982456140351</v>
      </c>
      <c r="AG44">
        <v>11</v>
      </c>
      <c r="AH44" s="8">
        <f>AG44/63</f>
        <v>0.17460317460317459</v>
      </c>
      <c r="AI44" s="39">
        <v>3</v>
      </c>
      <c r="AJ44" s="39">
        <v>1</v>
      </c>
      <c r="AK44">
        <f>AI44/'Total Fiber Count'!H$4</f>
        <v>0.42857142857142855</v>
      </c>
      <c r="AL44">
        <f>AJ44/'Total Fiber Count'!O$4</f>
        <v>0.125</v>
      </c>
      <c r="AN44">
        <v>0.97499999999999998</v>
      </c>
    </row>
    <row r="45" spans="1:40" ht="16" x14ac:dyDescent="0.2">
      <c r="A45" s="21" t="s">
        <v>53</v>
      </c>
      <c r="B45" s="41">
        <v>29.714285714285712</v>
      </c>
      <c r="C45" s="41">
        <v>0.5714285714285714</v>
      </c>
      <c r="D45" s="27" t="s">
        <v>25</v>
      </c>
      <c r="E45" s="10">
        <v>29</v>
      </c>
      <c r="F45" s="10">
        <v>24</v>
      </c>
      <c r="G45">
        <f>(35-E45)/35*100</f>
        <v>17.142857142857142</v>
      </c>
      <c r="H45">
        <f>(41-F45)/41*100</f>
        <v>41.463414634146339</v>
      </c>
      <c r="I45" t="b">
        <f>G45&gt;=35</f>
        <v>0</v>
      </c>
      <c r="J45" t="b">
        <f>H45&gt;=50</f>
        <v>0</v>
      </c>
      <c r="K45">
        <v>0</v>
      </c>
      <c r="L45" s="8">
        <f>K45/5</f>
        <v>0</v>
      </c>
      <c r="M45">
        <v>0</v>
      </c>
      <c r="N45" s="8">
        <f>M45/3</f>
        <v>0</v>
      </c>
      <c r="O45">
        <v>29</v>
      </c>
      <c r="P45" s="8">
        <f>O45/96</f>
        <v>0.30208333333333331</v>
      </c>
      <c r="Q45">
        <v>102</v>
      </c>
      <c r="R45" s="8">
        <f>Q45/254</f>
        <v>0.40157480314960631</v>
      </c>
      <c r="S45">
        <v>144</v>
      </c>
      <c r="T45" s="8">
        <f>S45/178</f>
        <v>0.8089887640449438</v>
      </c>
      <c r="U45">
        <v>116</v>
      </c>
      <c r="V45" s="8">
        <f>U45/364</f>
        <v>0.31868131868131866</v>
      </c>
      <c r="W45">
        <v>0</v>
      </c>
      <c r="X45" s="8">
        <v>0</v>
      </c>
      <c r="Y45">
        <v>0</v>
      </c>
      <c r="Z45" s="8">
        <v>0</v>
      </c>
      <c r="AA45">
        <v>0</v>
      </c>
      <c r="AB45" s="8">
        <f>AA45/3</f>
        <v>0</v>
      </c>
      <c r="AC45">
        <v>0</v>
      </c>
      <c r="AD45" s="8">
        <v>0</v>
      </c>
      <c r="AE45">
        <v>84</v>
      </c>
      <c r="AF45" s="8">
        <f>AE45/114</f>
        <v>0.73684210526315785</v>
      </c>
      <c r="AG45">
        <v>12</v>
      </c>
      <c r="AH45" s="8">
        <f>AG45/63</f>
        <v>0.19047619047619047</v>
      </c>
      <c r="AI45" s="39">
        <v>3</v>
      </c>
      <c r="AJ45" s="39">
        <v>1</v>
      </c>
      <c r="AK45">
        <f>AI45/'Total Fiber Count'!H$4</f>
        <v>0.42857142857142855</v>
      </c>
      <c r="AL45">
        <f>AJ45/'Total Fiber Count'!O$4</f>
        <v>0.125</v>
      </c>
      <c r="AN45">
        <v>1.05</v>
      </c>
    </row>
    <row r="46" spans="1:40" ht="16" x14ac:dyDescent="0.2">
      <c r="A46" s="21" t="s">
        <v>53</v>
      </c>
      <c r="B46" s="41">
        <v>31.714285714285712</v>
      </c>
      <c r="C46" s="41">
        <v>0.60989010989010983</v>
      </c>
      <c r="D46" s="27" t="s">
        <v>25</v>
      </c>
      <c r="E46" s="10">
        <v>30</v>
      </c>
      <c r="F46" s="10">
        <v>24</v>
      </c>
      <c r="G46">
        <f>(35-E46)/35*100</f>
        <v>14.285714285714285</v>
      </c>
      <c r="H46">
        <f>(41-F46)/41*100</f>
        <v>41.463414634146339</v>
      </c>
      <c r="I46" t="b">
        <f>G46&gt;=35</f>
        <v>0</v>
      </c>
      <c r="J46" t="b">
        <f>H46&gt;=50</f>
        <v>0</v>
      </c>
      <c r="K46">
        <v>0</v>
      </c>
      <c r="L46" s="8">
        <f>K46/5</f>
        <v>0</v>
      </c>
      <c r="M46">
        <v>0</v>
      </c>
      <c r="N46" s="8">
        <f>M46/3</f>
        <v>0</v>
      </c>
      <c r="O46">
        <v>29</v>
      </c>
      <c r="P46" s="8">
        <f>O46/96</f>
        <v>0.30208333333333331</v>
      </c>
      <c r="Q46">
        <v>102</v>
      </c>
      <c r="R46" s="8">
        <f>Q46/254</f>
        <v>0.40157480314960631</v>
      </c>
      <c r="S46">
        <v>145</v>
      </c>
      <c r="T46" s="8">
        <f>S46/178</f>
        <v>0.8146067415730337</v>
      </c>
      <c r="U46">
        <v>116</v>
      </c>
      <c r="V46" s="8">
        <f>U46/364</f>
        <v>0.31868131868131866</v>
      </c>
      <c r="W46">
        <v>0</v>
      </c>
      <c r="X46" s="8">
        <v>0</v>
      </c>
      <c r="Y46">
        <v>0</v>
      </c>
      <c r="Z46" s="8">
        <v>0</v>
      </c>
      <c r="AA46">
        <v>0</v>
      </c>
      <c r="AB46" s="8">
        <f>AA46/3</f>
        <v>0</v>
      </c>
      <c r="AC46">
        <v>0</v>
      </c>
      <c r="AD46" s="8">
        <v>0</v>
      </c>
      <c r="AE46">
        <v>81</v>
      </c>
      <c r="AF46" s="8">
        <f>AE46/114</f>
        <v>0.71052631578947367</v>
      </c>
      <c r="AG46">
        <v>12</v>
      </c>
      <c r="AH46" s="8">
        <f>AG46/63</f>
        <v>0.19047619047619047</v>
      </c>
      <c r="AI46" s="39">
        <v>1</v>
      </c>
      <c r="AJ46" s="39">
        <v>1</v>
      </c>
      <c r="AK46">
        <f>AI46/'Total Fiber Count'!H$4</f>
        <v>0.14285714285714285</v>
      </c>
      <c r="AL46">
        <f>AJ46/'Total Fiber Count'!O$4</f>
        <v>0.125</v>
      </c>
      <c r="AN46">
        <v>1.05</v>
      </c>
    </row>
    <row r="47" spans="1:40" ht="16" x14ac:dyDescent="0.2">
      <c r="A47" s="21" t="s">
        <v>53</v>
      </c>
      <c r="B47" s="41">
        <v>35.857142857142854</v>
      </c>
      <c r="C47" s="41">
        <v>0.68956043956043955</v>
      </c>
      <c r="D47" s="27" t="s">
        <v>25</v>
      </c>
      <c r="E47" s="10">
        <v>29</v>
      </c>
      <c r="F47" s="10">
        <v>27</v>
      </c>
      <c r="G47">
        <f>(35-E47)/35*100</f>
        <v>17.142857142857142</v>
      </c>
      <c r="H47">
        <f>(41-F47)/41*100</f>
        <v>34.146341463414636</v>
      </c>
      <c r="I47" t="b">
        <f>G47&gt;=35</f>
        <v>0</v>
      </c>
      <c r="J47" t="b">
        <f>H47&gt;=50</f>
        <v>0</v>
      </c>
      <c r="K47">
        <v>0</v>
      </c>
      <c r="L47" s="8">
        <f>K47/5</f>
        <v>0</v>
      </c>
      <c r="M47">
        <v>0</v>
      </c>
      <c r="N47" s="8">
        <f>M47/3</f>
        <v>0</v>
      </c>
      <c r="O47">
        <v>29</v>
      </c>
      <c r="P47" s="8">
        <f>O47/96</f>
        <v>0.30208333333333331</v>
      </c>
      <c r="Q47">
        <v>102</v>
      </c>
      <c r="R47" s="8">
        <f>Q47/254</f>
        <v>0.40157480314960631</v>
      </c>
      <c r="S47">
        <v>142</v>
      </c>
      <c r="T47" s="8">
        <f>S47/178</f>
        <v>0.797752808988764</v>
      </c>
      <c r="U47">
        <v>116</v>
      </c>
      <c r="V47" s="8">
        <f>U47/364</f>
        <v>0.31868131868131866</v>
      </c>
      <c r="W47">
        <v>0</v>
      </c>
      <c r="X47" s="8">
        <v>0</v>
      </c>
      <c r="Y47">
        <v>0</v>
      </c>
      <c r="Z47" s="8">
        <v>0</v>
      </c>
      <c r="AA47">
        <v>0</v>
      </c>
      <c r="AB47" s="8">
        <f>AA47/3</f>
        <v>0</v>
      </c>
      <c r="AC47">
        <v>0</v>
      </c>
      <c r="AD47" s="8">
        <v>0</v>
      </c>
      <c r="AE47">
        <v>80</v>
      </c>
      <c r="AF47" s="8">
        <f>AE47/114</f>
        <v>0.70175438596491224</v>
      </c>
      <c r="AG47">
        <v>12</v>
      </c>
      <c r="AH47" s="8">
        <f>AG47/63</f>
        <v>0.19047619047619047</v>
      </c>
      <c r="AI47" s="39">
        <v>1</v>
      </c>
      <c r="AJ47" s="39">
        <v>1</v>
      </c>
      <c r="AK47">
        <f>AI47/'Total Fiber Count'!H$4</f>
        <v>0.14285714285714285</v>
      </c>
      <c r="AL47">
        <f>AJ47/'Total Fiber Count'!O$4</f>
        <v>0.125</v>
      </c>
      <c r="AN47">
        <v>1.05</v>
      </c>
    </row>
    <row r="48" spans="1:40" ht="16" x14ac:dyDescent="0.2">
      <c r="A48" s="21" t="s">
        <v>53</v>
      </c>
      <c r="B48" s="41">
        <v>41.142857142857139</v>
      </c>
      <c r="C48" s="41">
        <v>0.79120879120879117</v>
      </c>
      <c r="D48" s="27" t="s">
        <v>25</v>
      </c>
      <c r="E48" s="10">
        <v>32</v>
      </c>
      <c r="F48" s="10">
        <v>38</v>
      </c>
      <c r="G48">
        <f>(35-E48)/35*100</f>
        <v>8.5714285714285712</v>
      </c>
      <c r="H48">
        <f>(41-F48)/41*100</f>
        <v>7.3170731707317067</v>
      </c>
      <c r="I48" t="b">
        <f>G48&gt;=35</f>
        <v>0</v>
      </c>
      <c r="J48" t="b">
        <f>H48&gt;=50</f>
        <v>0</v>
      </c>
      <c r="K48">
        <v>0</v>
      </c>
      <c r="L48" s="8">
        <f>K48/5</f>
        <v>0</v>
      </c>
      <c r="M48">
        <v>0</v>
      </c>
      <c r="N48" s="8">
        <f>M48/3</f>
        <v>0</v>
      </c>
      <c r="O48">
        <v>29</v>
      </c>
      <c r="P48" s="8">
        <f>O48/96</f>
        <v>0.30208333333333331</v>
      </c>
      <c r="Q48">
        <v>102</v>
      </c>
      <c r="R48" s="8">
        <f>Q48/254</f>
        <v>0.40157480314960631</v>
      </c>
      <c r="S48">
        <v>145</v>
      </c>
      <c r="T48" s="8">
        <f>S48/178</f>
        <v>0.8146067415730337</v>
      </c>
      <c r="U48">
        <v>116</v>
      </c>
      <c r="V48" s="8">
        <f>U48/364</f>
        <v>0.31868131868131866</v>
      </c>
      <c r="W48">
        <v>0</v>
      </c>
      <c r="X48" s="8">
        <v>0</v>
      </c>
      <c r="Y48">
        <v>0</v>
      </c>
      <c r="Z48" s="8">
        <v>0</v>
      </c>
      <c r="AA48">
        <v>0</v>
      </c>
      <c r="AB48" s="8">
        <f>AA48/3</f>
        <v>0</v>
      </c>
      <c r="AC48" s="27">
        <v>0</v>
      </c>
      <c r="AD48" s="8">
        <v>0</v>
      </c>
      <c r="AE48">
        <v>81</v>
      </c>
      <c r="AF48" s="8">
        <f>AE48/114</f>
        <v>0.71052631578947367</v>
      </c>
      <c r="AG48">
        <v>12</v>
      </c>
      <c r="AH48" s="8">
        <f>AG48/63</f>
        <v>0.19047619047619047</v>
      </c>
      <c r="AI48" s="39">
        <v>1</v>
      </c>
      <c r="AJ48" s="39">
        <v>1</v>
      </c>
      <c r="AK48">
        <f>AI48/'Total Fiber Count'!H$4</f>
        <v>0.14285714285714285</v>
      </c>
      <c r="AL48">
        <f>AJ48/'Total Fiber Count'!O$4</f>
        <v>0.125</v>
      </c>
      <c r="AN48">
        <v>1.05</v>
      </c>
    </row>
    <row r="49" spans="1:40" ht="16" x14ac:dyDescent="0.2">
      <c r="A49" s="21" t="s">
        <v>53</v>
      </c>
      <c r="B49" s="41">
        <v>49.142857142857139</v>
      </c>
      <c r="C49" s="41">
        <v>0.94505494505494503</v>
      </c>
      <c r="D49" s="27" t="s">
        <v>25</v>
      </c>
      <c r="E49" s="10">
        <v>35</v>
      </c>
      <c r="F49" s="10">
        <v>34</v>
      </c>
      <c r="G49">
        <f>(35-E49)/35*100</f>
        <v>0</v>
      </c>
      <c r="H49">
        <f>(41-F49)/41*100</f>
        <v>17.073170731707318</v>
      </c>
      <c r="I49" t="b">
        <f>G49&gt;=35</f>
        <v>0</v>
      </c>
      <c r="J49" t="b">
        <f>H49&gt;=50</f>
        <v>0</v>
      </c>
      <c r="K49">
        <v>0</v>
      </c>
      <c r="L49" s="8">
        <f>K49/5</f>
        <v>0</v>
      </c>
      <c r="M49">
        <v>0</v>
      </c>
      <c r="N49" s="8">
        <f>M49/3</f>
        <v>0</v>
      </c>
      <c r="O49">
        <v>29</v>
      </c>
      <c r="P49" s="8">
        <f>O49/96</f>
        <v>0.30208333333333331</v>
      </c>
      <c r="Q49">
        <v>103</v>
      </c>
      <c r="R49" s="8">
        <f>Q49/254</f>
        <v>0.40551181102362205</v>
      </c>
      <c r="S49">
        <v>142</v>
      </c>
      <c r="T49" s="8">
        <f>S49/178</f>
        <v>0.797752808988764</v>
      </c>
      <c r="U49">
        <v>107</v>
      </c>
      <c r="V49" s="8">
        <f>U49/364</f>
        <v>0.29395604395604397</v>
      </c>
      <c r="W49">
        <v>0</v>
      </c>
      <c r="X49" s="8">
        <v>0</v>
      </c>
      <c r="Y49">
        <v>0</v>
      </c>
      <c r="Z49" s="8">
        <v>0</v>
      </c>
      <c r="AA49">
        <v>0</v>
      </c>
      <c r="AB49" s="8">
        <f>AA49/3</f>
        <v>0</v>
      </c>
      <c r="AC49">
        <v>0</v>
      </c>
      <c r="AD49" s="8">
        <v>0</v>
      </c>
      <c r="AE49">
        <v>80</v>
      </c>
      <c r="AF49" s="8">
        <f>AE49/114</f>
        <v>0.70175438596491224</v>
      </c>
      <c r="AG49">
        <v>11</v>
      </c>
      <c r="AH49" s="8">
        <f>AG49/63</f>
        <v>0.17460317460317459</v>
      </c>
      <c r="AI49" s="39">
        <v>1</v>
      </c>
      <c r="AJ49" s="39">
        <v>1</v>
      </c>
      <c r="AK49">
        <f>AI49/'Total Fiber Count'!H$4</f>
        <v>0.14285714285714285</v>
      </c>
      <c r="AL49">
        <f>AJ49/'Total Fiber Count'!O$4</f>
        <v>0.125</v>
      </c>
      <c r="AN49">
        <v>1.2</v>
      </c>
    </row>
    <row r="50" spans="1:40" ht="16" x14ac:dyDescent="0.2">
      <c r="A50" s="21" t="s">
        <v>53</v>
      </c>
      <c r="B50" s="41">
        <v>54.142857142857139</v>
      </c>
      <c r="C50" s="41">
        <v>1.0412087912087911</v>
      </c>
      <c r="D50" s="27" t="s">
        <v>25</v>
      </c>
      <c r="E50" s="10">
        <v>16</v>
      </c>
      <c r="F50" s="10">
        <v>34</v>
      </c>
      <c r="G50">
        <f>(35-E50)/35*100</f>
        <v>54.285714285714285</v>
      </c>
      <c r="H50">
        <f>(41-F50)/41*100</f>
        <v>17.073170731707318</v>
      </c>
      <c r="I50" t="b">
        <f>G50&gt;=35</f>
        <v>1</v>
      </c>
      <c r="J50" t="b">
        <f>H50&gt;=50</f>
        <v>0</v>
      </c>
      <c r="K50">
        <v>0</v>
      </c>
      <c r="L50" s="8">
        <f>K50/5</f>
        <v>0</v>
      </c>
      <c r="M50">
        <v>0</v>
      </c>
      <c r="N50" s="8">
        <f>M50/3</f>
        <v>0</v>
      </c>
      <c r="O50">
        <v>29</v>
      </c>
      <c r="P50" s="8">
        <f>O50/96</f>
        <v>0.30208333333333331</v>
      </c>
      <c r="Q50">
        <v>104</v>
      </c>
      <c r="R50" s="8">
        <f>Q50/254</f>
        <v>0.40944881889763779</v>
      </c>
      <c r="S50">
        <v>145</v>
      </c>
      <c r="T50" s="8">
        <f>S50/178</f>
        <v>0.8146067415730337</v>
      </c>
      <c r="U50">
        <v>128</v>
      </c>
      <c r="V50" s="8">
        <f>U50/364</f>
        <v>0.35164835164835168</v>
      </c>
      <c r="W50">
        <v>0</v>
      </c>
      <c r="X50" s="8">
        <v>0</v>
      </c>
      <c r="Y50">
        <v>0</v>
      </c>
      <c r="Z50" s="8">
        <v>0</v>
      </c>
      <c r="AA50">
        <v>0</v>
      </c>
      <c r="AB50" s="8">
        <f>AA50/3</f>
        <v>0</v>
      </c>
      <c r="AC50">
        <v>0</v>
      </c>
      <c r="AD50" s="8">
        <v>0</v>
      </c>
      <c r="AE50">
        <v>81</v>
      </c>
      <c r="AF50" s="8">
        <f>AE50/114</f>
        <v>0.71052631578947367</v>
      </c>
      <c r="AG50">
        <v>12</v>
      </c>
      <c r="AH50" s="8">
        <f>AG50/63</f>
        <v>0.19047619047619047</v>
      </c>
      <c r="AI50" s="39">
        <v>1</v>
      </c>
      <c r="AJ50" s="39">
        <v>1</v>
      </c>
      <c r="AK50">
        <f>AI50/'Total Fiber Count'!H$4</f>
        <v>0.14285714285714285</v>
      </c>
      <c r="AL50">
        <f>AJ50/'Total Fiber Count'!O$4</f>
        <v>0.125</v>
      </c>
      <c r="AN50">
        <v>1.2750000000000001</v>
      </c>
    </row>
    <row r="51" spans="1:40" ht="16" x14ac:dyDescent="0.2">
      <c r="A51" s="21" t="s">
        <v>53</v>
      </c>
      <c r="B51" s="41">
        <v>60.571428571428569</v>
      </c>
      <c r="C51" s="41">
        <v>1.1648351648351647</v>
      </c>
      <c r="D51" s="27" t="s">
        <v>25</v>
      </c>
      <c r="E51" s="10">
        <v>34</v>
      </c>
      <c r="F51" s="10">
        <v>41</v>
      </c>
      <c r="G51">
        <f>(35-E51)/35*100</f>
        <v>2.8571428571428572</v>
      </c>
      <c r="H51">
        <f>(41-F51)/41*100</f>
        <v>0</v>
      </c>
      <c r="I51" t="b">
        <f>G51&gt;=35</f>
        <v>0</v>
      </c>
      <c r="J51" t="b">
        <f>H51&gt;=50</f>
        <v>0</v>
      </c>
      <c r="K51">
        <v>0</v>
      </c>
      <c r="L51" s="8">
        <f>K51/5</f>
        <v>0</v>
      </c>
      <c r="M51">
        <v>0</v>
      </c>
      <c r="N51" s="8">
        <f>M51/3</f>
        <v>0</v>
      </c>
      <c r="O51">
        <v>29</v>
      </c>
      <c r="P51" s="8">
        <f>O51/96</f>
        <v>0.30208333333333331</v>
      </c>
      <c r="Q51">
        <v>103</v>
      </c>
      <c r="R51" s="8">
        <f>Q51/254</f>
        <v>0.40551181102362205</v>
      </c>
      <c r="S51">
        <v>145</v>
      </c>
      <c r="T51" s="8">
        <f>S51/178</f>
        <v>0.8146067415730337</v>
      </c>
      <c r="U51">
        <v>107</v>
      </c>
      <c r="V51" s="8">
        <f>U51/364</f>
        <v>0.29395604395604397</v>
      </c>
      <c r="W51">
        <v>0</v>
      </c>
      <c r="X51" s="8">
        <v>0</v>
      </c>
      <c r="Y51">
        <v>0</v>
      </c>
      <c r="Z51" s="8">
        <v>0</v>
      </c>
      <c r="AA51">
        <v>0</v>
      </c>
      <c r="AB51" s="8">
        <f>AA51/3</f>
        <v>0</v>
      </c>
      <c r="AC51">
        <v>0</v>
      </c>
      <c r="AD51" s="8">
        <v>0</v>
      </c>
      <c r="AE51">
        <v>81</v>
      </c>
      <c r="AF51" s="8">
        <f>AE51/114</f>
        <v>0.71052631578947367</v>
      </c>
      <c r="AG51">
        <v>11</v>
      </c>
      <c r="AH51" s="8">
        <f>AG51/63</f>
        <v>0.17460317460317459</v>
      </c>
      <c r="AI51" s="39">
        <v>1</v>
      </c>
      <c r="AJ51" s="39">
        <v>1</v>
      </c>
      <c r="AK51">
        <f>AI51/'Total Fiber Count'!H$4</f>
        <v>0.14285714285714285</v>
      </c>
      <c r="AL51">
        <f>AJ51/'Total Fiber Count'!O$4</f>
        <v>0.125</v>
      </c>
      <c r="AN51">
        <v>1.2</v>
      </c>
    </row>
    <row r="52" spans="1:40" ht="16" x14ac:dyDescent="0.2">
      <c r="A52" s="21" t="s">
        <v>53</v>
      </c>
      <c r="B52" s="41">
        <v>68.142857142857139</v>
      </c>
      <c r="C52" s="41">
        <v>1.3104395604395604</v>
      </c>
      <c r="D52" s="27" t="s">
        <v>25</v>
      </c>
      <c r="E52" s="10">
        <v>27</v>
      </c>
      <c r="F52" s="10">
        <v>34</v>
      </c>
      <c r="G52">
        <f>(35-E52)/35*100</f>
        <v>22.857142857142858</v>
      </c>
      <c r="H52">
        <f>(41-F52)/41*100</f>
        <v>17.073170731707318</v>
      </c>
      <c r="I52" t="b">
        <f>G52&gt;=35</f>
        <v>0</v>
      </c>
      <c r="J52" t="b">
        <f>H52&gt;=50</f>
        <v>0</v>
      </c>
      <c r="K52">
        <v>0</v>
      </c>
      <c r="L52" s="8">
        <f>K52/5</f>
        <v>0</v>
      </c>
      <c r="M52">
        <v>0</v>
      </c>
      <c r="N52" s="8">
        <f>M52/3</f>
        <v>0</v>
      </c>
      <c r="O52">
        <v>26</v>
      </c>
      <c r="P52" s="8">
        <f>O52/96</f>
        <v>0.27083333333333331</v>
      </c>
      <c r="Q52">
        <v>104</v>
      </c>
      <c r="R52" s="8">
        <f>Q52/254</f>
        <v>0.40944881889763779</v>
      </c>
      <c r="S52">
        <v>124</v>
      </c>
      <c r="T52" s="8">
        <f>S52/178</f>
        <v>0.6966292134831461</v>
      </c>
      <c r="U52">
        <v>128</v>
      </c>
      <c r="V52" s="8">
        <f>U52/364</f>
        <v>0.35164835164835168</v>
      </c>
      <c r="W52">
        <v>0</v>
      </c>
      <c r="X52" s="8">
        <v>0</v>
      </c>
      <c r="Y52">
        <v>0</v>
      </c>
      <c r="Z52" s="8">
        <v>0</v>
      </c>
      <c r="AA52">
        <v>0</v>
      </c>
      <c r="AB52" s="8">
        <f>AA52/3</f>
        <v>0</v>
      </c>
      <c r="AC52">
        <v>0</v>
      </c>
      <c r="AD52" s="8">
        <v>0</v>
      </c>
      <c r="AE52">
        <v>73</v>
      </c>
      <c r="AF52" s="8">
        <f>AE52/114</f>
        <v>0.64035087719298245</v>
      </c>
      <c r="AG52">
        <v>12</v>
      </c>
      <c r="AH52" s="8">
        <f>AG52/63</f>
        <v>0.19047619047619047</v>
      </c>
      <c r="AI52" s="39">
        <v>0</v>
      </c>
      <c r="AJ52" s="39">
        <v>1</v>
      </c>
      <c r="AK52">
        <f>AI52/'Total Fiber Count'!H$4</f>
        <v>0</v>
      </c>
      <c r="AL52">
        <f>AJ52/'Total Fiber Count'!O$4</f>
        <v>0.125</v>
      </c>
      <c r="AN52">
        <v>1.2750000000000001</v>
      </c>
    </row>
    <row r="53" spans="1:40" ht="16" x14ac:dyDescent="0.2">
      <c r="A53" s="21" t="s">
        <v>53</v>
      </c>
      <c r="B53" s="41">
        <v>76.571428571428569</v>
      </c>
      <c r="C53" s="41">
        <v>1.4725274725274724</v>
      </c>
      <c r="D53" s="27" t="s">
        <v>25</v>
      </c>
      <c r="E53" s="10">
        <v>33</v>
      </c>
      <c r="F53" s="10">
        <v>34</v>
      </c>
      <c r="G53">
        <f>(35-E53)/35*100</f>
        <v>5.7142857142857144</v>
      </c>
      <c r="H53">
        <f>(41-F53)/41*100</f>
        <v>17.073170731707318</v>
      </c>
      <c r="I53" t="b">
        <f>G53&gt;=35</f>
        <v>0</v>
      </c>
      <c r="J53" t="b">
        <f>H53&gt;=50</f>
        <v>0</v>
      </c>
      <c r="K53">
        <v>0</v>
      </c>
      <c r="L53" s="8">
        <f>K53/5</f>
        <v>0</v>
      </c>
      <c r="M53">
        <v>0</v>
      </c>
      <c r="N53" s="8">
        <f>M53/3</f>
        <v>0</v>
      </c>
      <c r="O53">
        <v>29</v>
      </c>
      <c r="P53" s="8">
        <f>O53/96</f>
        <v>0.30208333333333331</v>
      </c>
      <c r="Q53">
        <v>103</v>
      </c>
      <c r="R53" s="8">
        <f>Q53/254</f>
        <v>0.40551181102362205</v>
      </c>
      <c r="S53">
        <v>145</v>
      </c>
      <c r="T53" s="8">
        <f>S53/178</f>
        <v>0.8146067415730337</v>
      </c>
      <c r="U53">
        <v>107</v>
      </c>
      <c r="V53" s="8">
        <f>U53/364</f>
        <v>0.29395604395604397</v>
      </c>
      <c r="W53">
        <v>0</v>
      </c>
      <c r="X53" s="8">
        <v>0</v>
      </c>
      <c r="Y53">
        <v>0</v>
      </c>
      <c r="Z53" s="8">
        <v>0</v>
      </c>
      <c r="AA53">
        <v>0</v>
      </c>
      <c r="AB53" s="8">
        <f>AA53/3</f>
        <v>0</v>
      </c>
      <c r="AC53">
        <v>0</v>
      </c>
      <c r="AD53" s="8">
        <v>0</v>
      </c>
      <c r="AE53">
        <v>81</v>
      </c>
      <c r="AF53" s="8">
        <f>AE53/114</f>
        <v>0.71052631578947367</v>
      </c>
      <c r="AG53">
        <v>11</v>
      </c>
      <c r="AH53" s="8">
        <f>AG53/63</f>
        <v>0.17460317460317459</v>
      </c>
      <c r="AI53" s="39">
        <v>1</v>
      </c>
      <c r="AJ53" s="39">
        <v>1</v>
      </c>
      <c r="AK53">
        <f>AI53/'Total Fiber Count'!H$4</f>
        <v>0.14285714285714285</v>
      </c>
      <c r="AL53">
        <f>AJ53/'Total Fiber Count'!O$4</f>
        <v>0.125</v>
      </c>
      <c r="AM53">
        <v>1.5295717199184229</v>
      </c>
      <c r="AN53">
        <v>1.2</v>
      </c>
    </row>
    <row r="54" spans="1:40" ht="16" x14ac:dyDescent="0.2">
      <c r="A54" s="21" t="s">
        <v>53</v>
      </c>
      <c r="B54" s="41">
        <v>82.571428571428569</v>
      </c>
      <c r="C54" s="41">
        <v>1.5879120879120878</v>
      </c>
      <c r="D54" s="27" t="s">
        <v>25</v>
      </c>
      <c r="E54" s="10" t="s">
        <v>36</v>
      </c>
      <c r="F54" s="10" t="s">
        <v>36</v>
      </c>
      <c r="G54" t="s">
        <v>36</v>
      </c>
      <c r="H54" t="s">
        <v>36</v>
      </c>
      <c r="I54" s="36" t="s">
        <v>36</v>
      </c>
      <c r="J54" t="s">
        <v>36</v>
      </c>
      <c r="K54">
        <v>0</v>
      </c>
      <c r="L54" s="8">
        <f>K54/5</f>
        <v>0</v>
      </c>
      <c r="M54">
        <v>0</v>
      </c>
      <c r="N54" s="8">
        <f>M54/3</f>
        <v>0</v>
      </c>
      <c r="O54">
        <v>29</v>
      </c>
      <c r="P54" s="8">
        <f>O54/96</f>
        <v>0.30208333333333331</v>
      </c>
      <c r="Q54">
        <v>105</v>
      </c>
      <c r="R54" s="8">
        <f>Q54/254</f>
        <v>0.41338582677165353</v>
      </c>
      <c r="S54">
        <v>145</v>
      </c>
      <c r="T54" s="8">
        <f>S54/178</f>
        <v>0.8146067415730337</v>
      </c>
      <c r="U54">
        <v>164</v>
      </c>
      <c r="V54" s="8">
        <f>U54/364</f>
        <v>0.45054945054945056</v>
      </c>
      <c r="W54">
        <v>0</v>
      </c>
      <c r="X54" s="8">
        <v>0</v>
      </c>
      <c r="Y54">
        <v>0</v>
      </c>
      <c r="Z54" s="8">
        <v>0</v>
      </c>
      <c r="AA54">
        <v>0</v>
      </c>
      <c r="AB54" s="8">
        <f>AA54/3</f>
        <v>0</v>
      </c>
      <c r="AC54">
        <v>0</v>
      </c>
      <c r="AD54" s="8">
        <v>0</v>
      </c>
      <c r="AE54">
        <v>81</v>
      </c>
      <c r="AF54" s="8">
        <f>AE54/114</f>
        <v>0.71052631578947367</v>
      </c>
      <c r="AG54">
        <v>13</v>
      </c>
      <c r="AH54" s="8">
        <f>AG54/63</f>
        <v>0.20634920634920634</v>
      </c>
      <c r="AI54" s="39">
        <v>1</v>
      </c>
      <c r="AJ54" s="39">
        <v>1</v>
      </c>
      <c r="AK54">
        <f>AI54/'Total Fiber Count'!H$4</f>
        <v>0.14285714285714285</v>
      </c>
      <c r="AL54">
        <f>AJ54/'Total Fiber Count'!O$4</f>
        <v>0.125</v>
      </c>
      <c r="AM54">
        <v>1.5822784810126582</v>
      </c>
      <c r="AN54">
        <v>2.5500000000000003</v>
      </c>
    </row>
    <row r="55" spans="1:40" ht="16" x14ac:dyDescent="0.2">
      <c r="A55" s="21" t="s">
        <v>53</v>
      </c>
      <c r="B55" s="41">
        <v>84.571428571428569</v>
      </c>
      <c r="C55" s="41">
        <v>1.6263736263736264</v>
      </c>
      <c r="D55" s="27" t="s">
        <v>25</v>
      </c>
      <c r="E55" s="10">
        <v>34</v>
      </c>
      <c r="F55" s="10">
        <v>37</v>
      </c>
      <c r="G55">
        <f>(35-E55)/35*100</f>
        <v>2.8571428571428572</v>
      </c>
      <c r="H55">
        <f>(41-F55)/41*100</f>
        <v>9.7560975609756095</v>
      </c>
      <c r="I55" t="b">
        <f>G55&gt;=35</f>
        <v>0</v>
      </c>
      <c r="J55" t="b">
        <f>H55&gt;=50</f>
        <v>0</v>
      </c>
      <c r="K55">
        <v>0</v>
      </c>
      <c r="L55" s="8">
        <f>K55/5</f>
        <v>0</v>
      </c>
      <c r="M55">
        <v>0</v>
      </c>
      <c r="N55" s="8">
        <f>M55/3</f>
        <v>0</v>
      </c>
      <c r="O55">
        <v>29</v>
      </c>
      <c r="P55" s="8">
        <f>O55/96</f>
        <v>0.30208333333333331</v>
      </c>
      <c r="Q55">
        <v>107</v>
      </c>
      <c r="R55" s="8">
        <f>Q55/254</f>
        <v>0.42125984251968501</v>
      </c>
      <c r="S55">
        <v>145</v>
      </c>
      <c r="T55" s="8">
        <f>S55/178</f>
        <v>0.8146067415730337</v>
      </c>
      <c r="U55">
        <v>151</v>
      </c>
      <c r="V55" s="8">
        <f>U55/364</f>
        <v>0.41483516483516486</v>
      </c>
      <c r="W55">
        <v>0</v>
      </c>
      <c r="X55" s="8">
        <v>0</v>
      </c>
      <c r="Y55">
        <v>0</v>
      </c>
      <c r="Z55" s="8">
        <v>0</v>
      </c>
      <c r="AA55">
        <v>0</v>
      </c>
      <c r="AB55" s="8">
        <f>AA55/3</f>
        <v>0</v>
      </c>
      <c r="AC55">
        <v>0</v>
      </c>
      <c r="AD55" s="8">
        <v>0</v>
      </c>
      <c r="AE55">
        <v>81</v>
      </c>
      <c r="AF55" s="8">
        <f>AE55/114</f>
        <v>0.71052631578947367</v>
      </c>
      <c r="AG55">
        <v>12</v>
      </c>
      <c r="AH55" s="8">
        <f>AG55/63</f>
        <v>0.19047619047619047</v>
      </c>
      <c r="AI55" s="39">
        <v>1</v>
      </c>
      <c r="AJ55" s="39">
        <v>1</v>
      </c>
      <c r="AK55">
        <f>AI55/'Total Fiber Count'!H$4</f>
        <v>0.14285714285714285</v>
      </c>
      <c r="AL55">
        <f>AJ55/'Total Fiber Count'!O$4</f>
        <v>0.125</v>
      </c>
      <c r="AM55">
        <v>1.47239263803681</v>
      </c>
      <c r="AN55">
        <v>2.16</v>
      </c>
    </row>
    <row r="56" spans="1:40" ht="16" x14ac:dyDescent="0.2">
      <c r="A56" s="21" t="s">
        <v>53</v>
      </c>
      <c r="B56" s="41">
        <v>88.142857142857139</v>
      </c>
      <c r="C56" s="41">
        <v>1.695054945054945</v>
      </c>
      <c r="D56" s="27" t="s">
        <v>25</v>
      </c>
      <c r="E56" s="10" t="s">
        <v>36</v>
      </c>
      <c r="F56" s="10" t="s">
        <v>36</v>
      </c>
      <c r="G56" t="s">
        <v>36</v>
      </c>
      <c r="H56" t="s">
        <v>36</v>
      </c>
      <c r="I56" t="b">
        <f>G56&gt;=35</f>
        <v>1</v>
      </c>
      <c r="J56" t="s">
        <v>36</v>
      </c>
      <c r="K56">
        <v>0</v>
      </c>
      <c r="L56" s="8">
        <f>K56/5</f>
        <v>0</v>
      </c>
      <c r="M56">
        <v>0</v>
      </c>
      <c r="N56" s="8">
        <f>M56/3</f>
        <v>0</v>
      </c>
      <c r="O56">
        <v>29</v>
      </c>
      <c r="P56" s="8">
        <f>O56/96</f>
        <v>0.30208333333333331</v>
      </c>
      <c r="Q56">
        <v>105</v>
      </c>
      <c r="R56" s="8">
        <f>Q56/254</f>
        <v>0.41338582677165353</v>
      </c>
      <c r="S56">
        <v>140</v>
      </c>
      <c r="T56" s="8">
        <f>S56/178</f>
        <v>0.7865168539325843</v>
      </c>
      <c r="U56">
        <v>176</v>
      </c>
      <c r="V56" s="8">
        <f>U56/364</f>
        <v>0.48351648351648352</v>
      </c>
      <c r="W56">
        <v>0</v>
      </c>
      <c r="X56" s="8">
        <v>0</v>
      </c>
      <c r="Y56">
        <v>0</v>
      </c>
      <c r="Z56" s="8">
        <v>0</v>
      </c>
      <c r="AA56">
        <v>0</v>
      </c>
      <c r="AB56" s="8">
        <f>AA56/3</f>
        <v>0</v>
      </c>
      <c r="AC56">
        <v>0</v>
      </c>
      <c r="AD56" s="8">
        <v>0</v>
      </c>
      <c r="AE56">
        <v>80</v>
      </c>
      <c r="AF56" s="8">
        <f>AE56/114</f>
        <v>0.70175438596491224</v>
      </c>
      <c r="AG56">
        <v>12</v>
      </c>
      <c r="AH56" s="8">
        <f>AG56/63</f>
        <v>0.19047619047619047</v>
      </c>
      <c r="AI56" s="39">
        <v>1</v>
      </c>
      <c r="AJ56" s="39">
        <v>1</v>
      </c>
      <c r="AK56">
        <f>AI56/'Total Fiber Count'!H$4</f>
        <v>0.14285714285714285</v>
      </c>
      <c r="AL56">
        <f>AJ56/'Total Fiber Count'!O$4</f>
        <v>0.125</v>
      </c>
      <c r="AM56">
        <v>1.47239263803681</v>
      </c>
      <c r="AN56">
        <v>2.16</v>
      </c>
    </row>
    <row r="57" spans="1:40" ht="16" x14ac:dyDescent="0.2">
      <c r="A57" s="21" t="s">
        <v>53</v>
      </c>
      <c r="B57" s="41">
        <v>102.57142857142857</v>
      </c>
      <c r="C57" s="41">
        <v>1.9725274725274724</v>
      </c>
      <c r="D57" s="27" t="s">
        <v>25</v>
      </c>
      <c r="E57" s="10" t="s">
        <v>36</v>
      </c>
      <c r="F57" s="10" t="s">
        <v>36</v>
      </c>
      <c r="G57" t="s">
        <v>36</v>
      </c>
      <c r="H57" t="s">
        <v>36</v>
      </c>
      <c r="I57" s="36" t="s">
        <v>36</v>
      </c>
      <c r="J57" t="s">
        <v>36</v>
      </c>
      <c r="K57">
        <v>0</v>
      </c>
      <c r="L57" s="8">
        <f>K57/5</f>
        <v>0</v>
      </c>
      <c r="M57">
        <v>0</v>
      </c>
      <c r="N57" s="8">
        <f>M57/3</f>
        <v>0</v>
      </c>
      <c r="O57">
        <v>29</v>
      </c>
      <c r="P57" s="8">
        <f>O57/96</f>
        <v>0.30208333333333331</v>
      </c>
      <c r="Q57">
        <v>105</v>
      </c>
      <c r="R57" s="8">
        <f>Q57/254</f>
        <v>0.41338582677165353</v>
      </c>
      <c r="S57">
        <v>147</v>
      </c>
      <c r="T57" s="8">
        <f>S57/178</f>
        <v>0.8258426966292135</v>
      </c>
      <c r="U57">
        <v>176</v>
      </c>
      <c r="V57" s="8">
        <f>U57/364</f>
        <v>0.48351648351648352</v>
      </c>
      <c r="W57">
        <v>0</v>
      </c>
      <c r="X57" s="8">
        <v>0</v>
      </c>
      <c r="Y57">
        <v>0</v>
      </c>
      <c r="Z57" s="8">
        <v>0</v>
      </c>
      <c r="AA57">
        <v>0</v>
      </c>
      <c r="AB57" s="8">
        <f>AA57/3</f>
        <v>0</v>
      </c>
      <c r="AC57">
        <v>0</v>
      </c>
      <c r="AD57" s="8">
        <v>0</v>
      </c>
      <c r="AE57">
        <v>86</v>
      </c>
      <c r="AF57" s="8">
        <f>AE57/114</f>
        <v>0.75438596491228072</v>
      </c>
      <c r="AG57">
        <v>12</v>
      </c>
      <c r="AH57" s="8">
        <f>AG57/63</f>
        <v>0.19047619047619047</v>
      </c>
      <c r="AI57" s="39">
        <v>2</v>
      </c>
      <c r="AJ57" s="39">
        <v>1</v>
      </c>
      <c r="AK57">
        <f>AI57/'Total Fiber Count'!H$4</f>
        <v>0.2857142857142857</v>
      </c>
      <c r="AL57">
        <f>AJ57/'Total Fiber Count'!O$4</f>
        <v>0.125</v>
      </c>
      <c r="AM57">
        <v>2.0705521472392636</v>
      </c>
      <c r="AN57">
        <v>2.25</v>
      </c>
    </row>
    <row r="58" spans="1:40" ht="16" x14ac:dyDescent="0.2">
      <c r="A58" s="21" t="s">
        <v>53</v>
      </c>
      <c r="B58" s="41">
        <v>116.14285714285714</v>
      </c>
      <c r="C58" s="41">
        <v>2.2335164835164836</v>
      </c>
      <c r="D58" s="27" t="s">
        <v>25</v>
      </c>
      <c r="E58" s="10">
        <v>32</v>
      </c>
      <c r="F58" s="10">
        <v>40</v>
      </c>
      <c r="G58">
        <f>(35-E58)/35*100</f>
        <v>8.5714285714285712</v>
      </c>
      <c r="H58">
        <f>(41-F58)/41*100</f>
        <v>2.4390243902439024</v>
      </c>
      <c r="I58" t="b">
        <f>G58&gt;=35</f>
        <v>0</v>
      </c>
      <c r="J58" t="b">
        <f>H58&gt;=50</f>
        <v>0</v>
      </c>
      <c r="K58">
        <v>0</v>
      </c>
      <c r="L58" s="8">
        <f>K58/5</f>
        <v>0</v>
      </c>
      <c r="M58">
        <v>0</v>
      </c>
      <c r="N58" s="8">
        <f>M58/3</f>
        <v>0</v>
      </c>
      <c r="O58">
        <v>29</v>
      </c>
      <c r="P58" s="8">
        <f>O58/96</f>
        <v>0.30208333333333331</v>
      </c>
      <c r="Q58">
        <v>108</v>
      </c>
      <c r="R58" s="8">
        <f>Q58/254</f>
        <v>0.42519685039370081</v>
      </c>
      <c r="S58">
        <v>143</v>
      </c>
      <c r="T58" s="8">
        <f>S58/178</f>
        <v>0.8033707865168539</v>
      </c>
      <c r="U58">
        <v>180</v>
      </c>
      <c r="V58" s="8">
        <f>U58/364</f>
        <v>0.49450549450549453</v>
      </c>
      <c r="W58">
        <v>0</v>
      </c>
      <c r="X58" s="8">
        <v>0</v>
      </c>
      <c r="Y58">
        <v>0</v>
      </c>
      <c r="Z58" s="8">
        <v>0</v>
      </c>
      <c r="AA58">
        <v>0</v>
      </c>
      <c r="AB58" s="8">
        <f>AA58/3</f>
        <v>0</v>
      </c>
      <c r="AC58">
        <v>0</v>
      </c>
      <c r="AD58" s="8">
        <v>0</v>
      </c>
      <c r="AE58">
        <v>79</v>
      </c>
      <c r="AF58" s="8">
        <f>AE58/114</f>
        <v>0.69298245614035092</v>
      </c>
      <c r="AG58">
        <v>12</v>
      </c>
      <c r="AH58" s="8">
        <f>AG58/63</f>
        <v>0.19047619047619047</v>
      </c>
      <c r="AI58" s="39">
        <v>2</v>
      </c>
      <c r="AJ58" s="39">
        <v>1</v>
      </c>
      <c r="AK58">
        <f>AI58/'Total Fiber Count'!H$4</f>
        <v>0.2857142857142857</v>
      </c>
      <c r="AL58">
        <f>AJ58/'Total Fiber Count'!O$4</f>
        <v>0.125</v>
      </c>
      <c r="AM58">
        <v>1.5177065767284992</v>
      </c>
      <c r="AN58">
        <v>1.8</v>
      </c>
    </row>
    <row r="59" spans="1:40" ht="16" x14ac:dyDescent="0.2">
      <c r="A59" s="21" t="s">
        <v>53</v>
      </c>
      <c r="B59" s="41">
        <v>121.14285714285714</v>
      </c>
      <c r="C59" s="41">
        <v>2.3296703296703294</v>
      </c>
      <c r="D59" s="27" t="s">
        <v>25</v>
      </c>
      <c r="E59" s="10">
        <v>34</v>
      </c>
      <c r="F59" s="10">
        <v>46</v>
      </c>
      <c r="G59">
        <f>(35-E59)/35*100</f>
        <v>2.8571428571428572</v>
      </c>
      <c r="H59">
        <f>(41-F59)/41*100</f>
        <v>-12.195121951219512</v>
      </c>
      <c r="I59" t="b">
        <f>G59&gt;=35</f>
        <v>0</v>
      </c>
      <c r="J59" t="b">
        <f>H59&gt;=50</f>
        <v>0</v>
      </c>
      <c r="K59">
        <v>0</v>
      </c>
      <c r="L59" s="8">
        <f>K59/5</f>
        <v>0</v>
      </c>
      <c r="M59">
        <v>0</v>
      </c>
      <c r="N59" s="8">
        <f>M59/3</f>
        <v>0</v>
      </c>
      <c r="O59">
        <v>29</v>
      </c>
      <c r="P59" s="8">
        <f>O59/96</f>
        <v>0.30208333333333331</v>
      </c>
      <c r="Q59">
        <v>108</v>
      </c>
      <c r="R59" s="8">
        <f>Q59/254</f>
        <v>0.42519685039370081</v>
      </c>
      <c r="S59">
        <v>143</v>
      </c>
      <c r="T59" s="8">
        <f>S59/178</f>
        <v>0.8033707865168539</v>
      </c>
      <c r="U59">
        <v>180</v>
      </c>
      <c r="V59" s="8">
        <f>U59/364</f>
        <v>0.49450549450549453</v>
      </c>
      <c r="W59">
        <v>0</v>
      </c>
      <c r="X59" s="8">
        <v>0</v>
      </c>
      <c r="Y59">
        <v>0</v>
      </c>
      <c r="Z59" s="8">
        <v>0</v>
      </c>
      <c r="AA59">
        <v>0</v>
      </c>
      <c r="AB59" s="8">
        <f>AA59/3</f>
        <v>0</v>
      </c>
      <c r="AC59">
        <v>0</v>
      </c>
      <c r="AD59" s="8">
        <v>0</v>
      </c>
      <c r="AE59">
        <v>79</v>
      </c>
      <c r="AF59" s="8">
        <f>AE59/114</f>
        <v>0.69298245614035092</v>
      </c>
      <c r="AG59">
        <v>12</v>
      </c>
      <c r="AH59" s="8">
        <f>AG59/63</f>
        <v>0.19047619047619047</v>
      </c>
      <c r="AI59" s="39">
        <v>2</v>
      </c>
      <c r="AJ59" s="39">
        <v>1</v>
      </c>
      <c r="AK59">
        <f>AI59/'Total Fiber Count'!H$4</f>
        <v>0.2857142857142857</v>
      </c>
      <c r="AL59">
        <f>AJ59/'Total Fiber Count'!O$4</f>
        <v>0.125</v>
      </c>
      <c r="AM59">
        <v>1.4827018121911038</v>
      </c>
      <c r="AN59">
        <v>1.8</v>
      </c>
    </row>
    <row r="60" spans="1:40" ht="16" x14ac:dyDescent="0.2">
      <c r="A60" s="21" t="s">
        <v>53</v>
      </c>
      <c r="B60" s="41">
        <v>125.14285714285714</v>
      </c>
      <c r="C60" s="41">
        <v>2.4065934065934065</v>
      </c>
      <c r="D60" s="27" t="s">
        <v>25</v>
      </c>
      <c r="E60" s="10" t="s">
        <v>36</v>
      </c>
      <c r="F60" s="10" t="s">
        <v>36</v>
      </c>
      <c r="G60" t="s">
        <v>36</v>
      </c>
      <c r="H60" t="s">
        <v>36</v>
      </c>
      <c r="I60" s="36" t="s">
        <v>36</v>
      </c>
      <c r="J60" t="s">
        <v>36</v>
      </c>
      <c r="K60">
        <v>0</v>
      </c>
      <c r="L60" s="8">
        <f>K60/5</f>
        <v>0</v>
      </c>
      <c r="M60">
        <v>0</v>
      </c>
      <c r="N60" s="8">
        <f>M60/3</f>
        <v>0</v>
      </c>
      <c r="O60">
        <v>29</v>
      </c>
      <c r="P60" s="8">
        <f>O60/96</f>
        <v>0.30208333333333331</v>
      </c>
      <c r="Q60">
        <v>109</v>
      </c>
      <c r="R60" s="8">
        <f>Q60/254</f>
        <v>0.42913385826771655</v>
      </c>
      <c r="S60">
        <v>143</v>
      </c>
      <c r="T60" s="8">
        <f>S60/178</f>
        <v>0.8033707865168539</v>
      </c>
      <c r="U60">
        <v>199</v>
      </c>
      <c r="V60" s="8">
        <f>U60/364</f>
        <v>0.54670329670329665</v>
      </c>
      <c r="W60">
        <v>0</v>
      </c>
      <c r="X60" s="8">
        <v>0</v>
      </c>
      <c r="Y60">
        <v>0</v>
      </c>
      <c r="Z60" s="8">
        <v>0</v>
      </c>
      <c r="AA60">
        <v>0</v>
      </c>
      <c r="AB60" s="8">
        <f>AA60/3</f>
        <v>0</v>
      </c>
      <c r="AC60">
        <v>0</v>
      </c>
      <c r="AD60" s="8">
        <v>0</v>
      </c>
      <c r="AE60">
        <v>79</v>
      </c>
      <c r="AF60" s="8">
        <f>AE60/114</f>
        <v>0.69298245614035092</v>
      </c>
      <c r="AG60">
        <v>12</v>
      </c>
      <c r="AH60" s="8">
        <f>AG60/63</f>
        <v>0.19047619047619047</v>
      </c>
      <c r="AI60" s="39">
        <v>2</v>
      </c>
      <c r="AJ60" s="39">
        <v>1</v>
      </c>
      <c r="AK60">
        <f>AI60/'Total Fiber Count'!H$4</f>
        <v>0.2857142857142857</v>
      </c>
      <c r="AL60">
        <f>AJ60/'Total Fiber Count'!O$4</f>
        <v>0.125</v>
      </c>
      <c r="AM60">
        <v>1.4634146341463414</v>
      </c>
      <c r="AN60">
        <v>2.4</v>
      </c>
    </row>
    <row r="61" spans="1:40" ht="16" x14ac:dyDescent="0.2">
      <c r="A61" s="21" t="s">
        <v>53</v>
      </c>
      <c r="B61" s="41">
        <v>133.85714285714286</v>
      </c>
      <c r="C61" s="41">
        <v>2.5741758241758244</v>
      </c>
      <c r="D61" s="27" t="s">
        <v>25</v>
      </c>
      <c r="E61" s="10" t="s">
        <v>36</v>
      </c>
      <c r="F61" s="10" t="s">
        <v>36</v>
      </c>
      <c r="G61" t="s">
        <v>36</v>
      </c>
      <c r="H61" t="s">
        <v>36</v>
      </c>
      <c r="I61" s="36" t="s">
        <v>36</v>
      </c>
      <c r="J61" t="s">
        <v>36</v>
      </c>
      <c r="K61">
        <v>0</v>
      </c>
      <c r="L61" s="8">
        <f>K61/5</f>
        <v>0</v>
      </c>
      <c r="M61">
        <v>0</v>
      </c>
      <c r="N61" s="8">
        <f>M61/3</f>
        <v>0</v>
      </c>
      <c r="O61">
        <v>29</v>
      </c>
      <c r="P61" s="8">
        <f>O61/96</f>
        <v>0.30208333333333331</v>
      </c>
      <c r="Q61">
        <v>109</v>
      </c>
      <c r="R61" s="8">
        <f>Q61/254</f>
        <v>0.42913385826771655</v>
      </c>
      <c r="S61">
        <v>141</v>
      </c>
      <c r="T61" s="8">
        <f>S61/178</f>
        <v>0.7921348314606742</v>
      </c>
      <c r="U61">
        <v>199</v>
      </c>
      <c r="V61" s="8">
        <f>U61/364</f>
        <v>0.54670329670329665</v>
      </c>
      <c r="W61">
        <v>0</v>
      </c>
      <c r="X61" s="8">
        <v>0</v>
      </c>
      <c r="Y61">
        <v>0</v>
      </c>
      <c r="Z61" s="8">
        <v>0</v>
      </c>
      <c r="AA61">
        <v>0</v>
      </c>
      <c r="AB61" s="8">
        <f>AA61/3</f>
        <v>0</v>
      </c>
      <c r="AC61">
        <v>0</v>
      </c>
      <c r="AD61" s="8">
        <v>0</v>
      </c>
      <c r="AE61">
        <v>78</v>
      </c>
      <c r="AF61" s="8">
        <f>AE61/114</f>
        <v>0.68421052631578949</v>
      </c>
      <c r="AG61">
        <v>12</v>
      </c>
      <c r="AH61" s="8">
        <f>AG61/63</f>
        <v>0.19047619047619047</v>
      </c>
      <c r="AI61" s="39">
        <v>1</v>
      </c>
      <c r="AJ61" s="39">
        <v>1</v>
      </c>
      <c r="AK61">
        <f>AI61/'Total Fiber Count'!H$4</f>
        <v>0.14285714285714285</v>
      </c>
      <c r="AL61">
        <f>AJ61/'Total Fiber Count'!O$4</f>
        <v>0.125</v>
      </c>
      <c r="AM61">
        <v>1.2810559006211182</v>
      </c>
      <c r="AN61">
        <v>2.4</v>
      </c>
    </row>
    <row r="62" spans="1:40" ht="16" x14ac:dyDescent="0.2">
      <c r="A62" s="21" t="s">
        <v>53</v>
      </c>
      <c r="B62" s="41">
        <v>140.85714285714286</v>
      </c>
      <c r="C62" s="41">
        <v>2.7087912087912089</v>
      </c>
      <c r="D62" s="27" t="s">
        <v>25</v>
      </c>
      <c r="E62" s="10" t="s">
        <v>36</v>
      </c>
      <c r="F62" s="10" t="s">
        <v>36</v>
      </c>
      <c r="G62" t="s">
        <v>36</v>
      </c>
      <c r="H62" t="s">
        <v>36</v>
      </c>
      <c r="I62" s="36" t="s">
        <v>36</v>
      </c>
      <c r="J62" t="s">
        <v>36</v>
      </c>
      <c r="K62">
        <v>0</v>
      </c>
      <c r="L62" s="8">
        <f>K62/5</f>
        <v>0</v>
      </c>
      <c r="M62">
        <v>0</v>
      </c>
      <c r="N62" s="8">
        <f>M62/3</f>
        <v>0</v>
      </c>
      <c r="O62">
        <v>29</v>
      </c>
      <c r="P62" s="8">
        <f>O62/96</f>
        <v>0.30208333333333331</v>
      </c>
      <c r="Q62">
        <v>109</v>
      </c>
      <c r="R62" s="8">
        <f>Q62/254</f>
        <v>0.42913385826771655</v>
      </c>
      <c r="S62">
        <v>146</v>
      </c>
      <c r="T62" s="8">
        <f>S62/178</f>
        <v>0.8202247191011236</v>
      </c>
      <c r="U62">
        <v>199</v>
      </c>
      <c r="V62" s="8">
        <f>U62/364</f>
        <v>0.54670329670329665</v>
      </c>
      <c r="W62">
        <v>0</v>
      </c>
      <c r="X62" s="8">
        <v>0</v>
      </c>
      <c r="Y62">
        <v>0</v>
      </c>
      <c r="Z62" s="8">
        <v>0</v>
      </c>
      <c r="AA62">
        <v>0</v>
      </c>
      <c r="AB62" s="8">
        <f>AA62/3</f>
        <v>0</v>
      </c>
      <c r="AC62">
        <v>0</v>
      </c>
      <c r="AD62" s="8">
        <v>0</v>
      </c>
      <c r="AE62">
        <v>81</v>
      </c>
      <c r="AF62" s="8">
        <f>AE62/114</f>
        <v>0.71052631578947367</v>
      </c>
      <c r="AG62">
        <v>12</v>
      </c>
      <c r="AH62" s="8">
        <f>AG62/63</f>
        <v>0.19047619047619047</v>
      </c>
      <c r="AI62" s="39">
        <v>2</v>
      </c>
      <c r="AJ62" s="39">
        <v>1</v>
      </c>
      <c r="AK62">
        <f>AI62/'Total Fiber Count'!H$4</f>
        <v>0.2857142857142857</v>
      </c>
      <c r="AL62">
        <f>AJ62/'Total Fiber Count'!O$4</f>
        <v>0.125</v>
      </c>
      <c r="AM62">
        <v>1.600985221674877</v>
      </c>
      <c r="AN62">
        <v>2.4</v>
      </c>
    </row>
    <row r="63" spans="1:40" ht="16" x14ac:dyDescent="0.2">
      <c r="A63" s="21" t="s">
        <v>53</v>
      </c>
      <c r="B63" s="41">
        <v>157.57142857142858</v>
      </c>
      <c r="C63" s="41">
        <v>3.0302197802197806</v>
      </c>
      <c r="D63" s="27" t="s">
        <v>25</v>
      </c>
      <c r="E63" s="10" t="s">
        <v>36</v>
      </c>
      <c r="F63" s="10" t="s">
        <v>36</v>
      </c>
      <c r="G63" t="s">
        <v>36</v>
      </c>
      <c r="H63" t="s">
        <v>36</v>
      </c>
      <c r="I63" s="36" t="s">
        <v>36</v>
      </c>
      <c r="J63" t="s">
        <v>36</v>
      </c>
      <c r="K63">
        <v>0</v>
      </c>
      <c r="L63" s="8">
        <f>K63/5</f>
        <v>0</v>
      </c>
      <c r="M63">
        <v>0</v>
      </c>
      <c r="N63" s="8">
        <f>M63/3</f>
        <v>0</v>
      </c>
      <c r="O63">
        <v>29</v>
      </c>
      <c r="P63" s="8">
        <f>O63/96</f>
        <v>0.30208333333333331</v>
      </c>
      <c r="Q63">
        <v>109</v>
      </c>
      <c r="R63" s="8">
        <f>Q63/254</f>
        <v>0.42913385826771655</v>
      </c>
      <c r="S63">
        <v>143</v>
      </c>
      <c r="T63" s="8">
        <f>S63/178</f>
        <v>0.8033707865168539</v>
      </c>
      <c r="U63">
        <v>199</v>
      </c>
      <c r="V63" s="8">
        <f>U63/364</f>
        <v>0.54670329670329665</v>
      </c>
      <c r="W63">
        <v>0</v>
      </c>
      <c r="X63" s="8">
        <v>0</v>
      </c>
      <c r="Y63">
        <v>0</v>
      </c>
      <c r="Z63" s="8">
        <v>0</v>
      </c>
      <c r="AA63">
        <v>0</v>
      </c>
      <c r="AB63" s="8">
        <f>AA63/3</f>
        <v>0</v>
      </c>
      <c r="AC63">
        <v>0</v>
      </c>
      <c r="AD63" s="8">
        <v>0</v>
      </c>
      <c r="AE63">
        <v>79</v>
      </c>
      <c r="AF63" s="8">
        <f>AE63/114</f>
        <v>0.69298245614035092</v>
      </c>
      <c r="AG63">
        <v>12</v>
      </c>
      <c r="AH63" s="8">
        <f>AG63/63</f>
        <v>0.19047619047619047</v>
      </c>
      <c r="AI63" s="39">
        <v>2</v>
      </c>
      <c r="AJ63" s="39">
        <v>1</v>
      </c>
      <c r="AK63">
        <f>AI63/'Total Fiber Count'!H$4</f>
        <v>0.2857142857142857</v>
      </c>
      <c r="AL63">
        <f>AJ63/'Total Fiber Count'!O$4</f>
        <v>0.125</v>
      </c>
      <c r="AM63">
        <v>1.8</v>
      </c>
      <c r="AN63">
        <v>2.4</v>
      </c>
    </row>
    <row r="64" spans="1:40" ht="16" x14ac:dyDescent="0.2">
      <c r="A64" s="21" t="s">
        <v>53</v>
      </c>
      <c r="B64" s="41">
        <v>168.85714285714286</v>
      </c>
      <c r="C64" s="41">
        <v>3.2472527472527473</v>
      </c>
      <c r="D64" s="27" t="s">
        <v>25</v>
      </c>
      <c r="E64" s="10">
        <v>34</v>
      </c>
      <c r="F64" s="10">
        <v>43</v>
      </c>
      <c r="G64">
        <f>(35-E64)/35*100</f>
        <v>2.8571428571428572</v>
      </c>
      <c r="H64">
        <f>(41-F64)/41*100</f>
        <v>-4.8780487804878048</v>
      </c>
      <c r="I64" t="b">
        <f>G64&gt;=35</f>
        <v>0</v>
      </c>
      <c r="J64" t="b">
        <f>H64&gt;=50</f>
        <v>0</v>
      </c>
      <c r="K64">
        <v>0</v>
      </c>
      <c r="L64" s="8">
        <f>K64/5</f>
        <v>0</v>
      </c>
      <c r="M64">
        <v>0</v>
      </c>
      <c r="N64" s="8">
        <f>M64/3</f>
        <v>0</v>
      </c>
      <c r="O64">
        <v>29</v>
      </c>
      <c r="P64" s="8">
        <f>O64/96</f>
        <v>0.30208333333333331</v>
      </c>
      <c r="Q64">
        <v>109</v>
      </c>
      <c r="R64" s="8">
        <f>Q64/254</f>
        <v>0.42913385826771655</v>
      </c>
      <c r="S64">
        <v>143</v>
      </c>
      <c r="T64" s="8">
        <f>S64/178</f>
        <v>0.8033707865168539</v>
      </c>
      <c r="U64">
        <v>199</v>
      </c>
      <c r="V64" s="8">
        <f>U64/364</f>
        <v>0.54670329670329665</v>
      </c>
      <c r="W64">
        <v>0</v>
      </c>
      <c r="X64" s="8">
        <v>0</v>
      </c>
      <c r="Y64">
        <v>0</v>
      </c>
      <c r="Z64" s="8">
        <v>0</v>
      </c>
      <c r="AA64">
        <v>0</v>
      </c>
      <c r="AB64" s="8">
        <f>AA64/3</f>
        <v>0</v>
      </c>
      <c r="AC64">
        <v>0</v>
      </c>
      <c r="AD64" s="8">
        <v>0</v>
      </c>
      <c r="AE64">
        <v>79</v>
      </c>
      <c r="AF64" s="8">
        <f>AE64/114</f>
        <v>0.69298245614035092</v>
      </c>
      <c r="AG64">
        <v>12</v>
      </c>
      <c r="AH64" s="8">
        <f>AG64/63</f>
        <v>0.19047619047619047</v>
      </c>
      <c r="AI64" s="39">
        <v>2</v>
      </c>
      <c r="AJ64" s="39">
        <v>1</v>
      </c>
      <c r="AK64">
        <f>AI64/'Total Fiber Count'!H$4</f>
        <v>0.2857142857142857</v>
      </c>
      <c r="AL64">
        <f>AJ64/'Total Fiber Count'!O$4</f>
        <v>0.125</v>
      </c>
      <c r="AM64">
        <v>1.8</v>
      </c>
      <c r="AN64">
        <v>2.4</v>
      </c>
    </row>
    <row r="65" spans="1:40" ht="16" x14ac:dyDescent="0.2">
      <c r="A65" s="21" t="s">
        <v>53</v>
      </c>
      <c r="B65" s="41">
        <v>177.57142857142858</v>
      </c>
      <c r="C65" s="41">
        <v>3.4148351648351651</v>
      </c>
      <c r="D65" s="27" t="s">
        <v>25</v>
      </c>
      <c r="E65" s="10">
        <v>30</v>
      </c>
      <c r="F65" s="10">
        <v>32</v>
      </c>
      <c r="G65">
        <f>(35-E65)/35*100</f>
        <v>14.285714285714285</v>
      </c>
      <c r="H65">
        <f>(41-F65)/41*100</f>
        <v>21.951219512195124</v>
      </c>
      <c r="I65" t="b">
        <f>G65&gt;=35</f>
        <v>0</v>
      </c>
      <c r="J65" t="b">
        <f>H65&gt;=50</f>
        <v>0</v>
      </c>
      <c r="K65">
        <v>0</v>
      </c>
      <c r="L65" s="8">
        <f>K65/5</f>
        <v>0</v>
      </c>
      <c r="M65">
        <v>0</v>
      </c>
      <c r="N65" s="8">
        <f>M65/3</f>
        <v>0</v>
      </c>
      <c r="O65">
        <v>29</v>
      </c>
      <c r="P65" s="8">
        <f>O65/96</f>
        <v>0.30208333333333331</v>
      </c>
      <c r="Q65">
        <v>109</v>
      </c>
      <c r="R65" s="8">
        <f>Q65/254</f>
        <v>0.42913385826771655</v>
      </c>
      <c r="S65">
        <v>143</v>
      </c>
      <c r="T65" s="8">
        <f>S65/178</f>
        <v>0.8033707865168539</v>
      </c>
      <c r="U65">
        <v>194</v>
      </c>
      <c r="V65" s="8">
        <f>U65/364</f>
        <v>0.53296703296703296</v>
      </c>
      <c r="W65">
        <v>0</v>
      </c>
      <c r="X65" s="8">
        <v>0</v>
      </c>
      <c r="Y65">
        <v>0</v>
      </c>
      <c r="Z65" s="8">
        <v>0</v>
      </c>
      <c r="AA65">
        <v>0</v>
      </c>
      <c r="AB65" s="8">
        <f>AA65/3</f>
        <v>0</v>
      </c>
      <c r="AC65">
        <v>0</v>
      </c>
      <c r="AD65" s="8">
        <v>0</v>
      </c>
      <c r="AE65">
        <v>79</v>
      </c>
      <c r="AF65" s="8">
        <f>AE65/114</f>
        <v>0.69298245614035092</v>
      </c>
      <c r="AG65">
        <v>12</v>
      </c>
      <c r="AH65" s="8">
        <f>AG65/63</f>
        <v>0.19047619047619047</v>
      </c>
      <c r="AI65" s="39">
        <v>2</v>
      </c>
      <c r="AJ65" s="39">
        <v>1</v>
      </c>
      <c r="AK65">
        <f>AI65/'Total Fiber Count'!H$4</f>
        <v>0.2857142857142857</v>
      </c>
      <c r="AL65">
        <f>AJ65/'Total Fiber Count'!O$4</f>
        <v>0.125</v>
      </c>
      <c r="AM65">
        <v>1.8</v>
      </c>
      <c r="AN65">
        <v>2.25</v>
      </c>
    </row>
    <row r="66" spans="1:40" ht="16" x14ac:dyDescent="0.2">
      <c r="A66" s="21" t="s">
        <v>53</v>
      </c>
      <c r="B66" s="41">
        <v>198</v>
      </c>
      <c r="C66" s="41">
        <v>3.8076923076923075</v>
      </c>
      <c r="D66" s="27" t="s">
        <v>25</v>
      </c>
      <c r="E66" s="10">
        <v>35</v>
      </c>
      <c r="F66" s="10">
        <v>40</v>
      </c>
      <c r="G66">
        <f>(35-E66)/35*100</f>
        <v>0</v>
      </c>
      <c r="H66">
        <f>(41-F66)/41*100</f>
        <v>2.4390243902439024</v>
      </c>
      <c r="I66" t="b">
        <f>G66&gt;=35</f>
        <v>0</v>
      </c>
      <c r="J66" t="b">
        <f>H66&gt;=50</f>
        <v>0</v>
      </c>
      <c r="K66">
        <v>0</v>
      </c>
      <c r="L66" s="8">
        <f>K66/5</f>
        <v>0</v>
      </c>
      <c r="M66">
        <v>0</v>
      </c>
      <c r="N66" s="8">
        <f>M66/3</f>
        <v>0</v>
      </c>
      <c r="O66">
        <v>29</v>
      </c>
      <c r="P66" s="8">
        <f>O66/96</f>
        <v>0.30208333333333331</v>
      </c>
      <c r="Q66">
        <v>108</v>
      </c>
      <c r="R66" s="8">
        <f>Q66/254</f>
        <v>0.42519685039370081</v>
      </c>
      <c r="S66">
        <v>147</v>
      </c>
      <c r="T66" s="8">
        <f>S66/178</f>
        <v>0.8258426966292135</v>
      </c>
      <c r="U66">
        <v>192</v>
      </c>
      <c r="V66" s="8">
        <f>U66/364</f>
        <v>0.52747252747252749</v>
      </c>
      <c r="W66">
        <v>0</v>
      </c>
      <c r="X66" s="8">
        <v>0</v>
      </c>
      <c r="Y66">
        <v>0</v>
      </c>
      <c r="Z66" s="8">
        <v>0</v>
      </c>
      <c r="AA66">
        <v>0</v>
      </c>
      <c r="AB66" s="8">
        <f>AA66/3</f>
        <v>0</v>
      </c>
      <c r="AC66">
        <v>0</v>
      </c>
      <c r="AD66" s="8">
        <v>0</v>
      </c>
      <c r="AE66">
        <v>83</v>
      </c>
      <c r="AF66" s="8">
        <f>AE66/114</f>
        <v>0.72807017543859653</v>
      </c>
      <c r="AG66">
        <v>12</v>
      </c>
      <c r="AH66" s="8">
        <f>AG66/63</f>
        <v>0.19047619047619047</v>
      </c>
      <c r="AI66" s="39">
        <v>3</v>
      </c>
      <c r="AJ66" s="39">
        <v>1</v>
      </c>
      <c r="AK66">
        <f>AI66/'Total Fiber Count'!H$4</f>
        <v>0.42857142857142855</v>
      </c>
      <c r="AL66">
        <f>AJ66/'Total Fiber Count'!O$4</f>
        <v>0.125</v>
      </c>
      <c r="AM66">
        <v>2.1</v>
      </c>
      <c r="AN66">
        <v>2.1</v>
      </c>
    </row>
    <row r="67" spans="1:40" ht="16" x14ac:dyDescent="0.2">
      <c r="A67" s="16" t="s">
        <v>54</v>
      </c>
      <c r="B67" s="41">
        <v>0</v>
      </c>
      <c r="C67" s="41">
        <v>0</v>
      </c>
      <c r="D67" s="12" t="s">
        <v>29</v>
      </c>
      <c r="E67" s="18" t="s">
        <v>36</v>
      </c>
      <c r="F67" s="10" t="s">
        <v>36</v>
      </c>
      <c r="G67" s="12" t="s">
        <v>36</v>
      </c>
      <c r="H67" s="12" t="s">
        <v>36</v>
      </c>
      <c r="I67" s="36" t="s">
        <v>36</v>
      </c>
      <c r="J67" t="s">
        <v>36</v>
      </c>
      <c r="K67" s="17">
        <v>146</v>
      </c>
      <c r="L67" s="20">
        <f>K67/413</f>
        <v>0.35351089588377727</v>
      </c>
      <c r="M67" s="17">
        <v>87</v>
      </c>
      <c r="N67" s="20">
        <f>M67/310</f>
        <v>0.28064516129032258</v>
      </c>
      <c r="O67" s="11">
        <v>0</v>
      </c>
      <c r="P67" s="20">
        <f>O67/538</f>
        <v>0</v>
      </c>
      <c r="Q67" s="12">
        <v>3</v>
      </c>
      <c r="R67" s="20">
        <f>Q67/505</f>
        <v>5.9405940594059407E-3</v>
      </c>
      <c r="S67" s="11">
        <v>0</v>
      </c>
      <c r="T67" s="20">
        <f>S67/987</f>
        <v>0</v>
      </c>
      <c r="U67" s="11">
        <v>9</v>
      </c>
      <c r="V67" s="20">
        <f>U67/868</f>
        <v>1.0368663594470046E-2</v>
      </c>
      <c r="W67" s="17">
        <v>30</v>
      </c>
      <c r="X67" s="20">
        <f>W67/119</f>
        <v>0.25210084033613445</v>
      </c>
      <c r="Y67" s="17">
        <v>20</v>
      </c>
      <c r="Z67" s="20">
        <f>Y67/84</f>
        <v>0.23809523809523808</v>
      </c>
      <c r="AA67" s="17">
        <v>57</v>
      </c>
      <c r="AB67" s="20">
        <f>AA67/118</f>
        <v>0.48305084745762711</v>
      </c>
      <c r="AC67" s="17">
        <v>12</v>
      </c>
      <c r="AD67" s="20">
        <f>AC67/34</f>
        <v>0.35294117647058826</v>
      </c>
      <c r="AE67" s="11">
        <v>0</v>
      </c>
      <c r="AF67" s="20">
        <f>AE67/698</f>
        <v>0</v>
      </c>
      <c r="AG67" s="17">
        <v>1</v>
      </c>
      <c r="AH67" s="19">
        <f>AG67/250</f>
        <v>4.0000000000000001E-3</v>
      </c>
      <c r="AI67" s="39">
        <v>2</v>
      </c>
      <c r="AJ67" s="39">
        <v>7</v>
      </c>
      <c r="AK67">
        <f>AI67/'Total Fiber Count'!H$5</f>
        <v>1.4598540145985401E-2</v>
      </c>
      <c r="AL67">
        <f>AJ67/'Total Fiber Count'!O$5</f>
        <v>4.6357615894039736E-2</v>
      </c>
      <c r="AM67">
        <v>0.45</v>
      </c>
      <c r="AN67">
        <v>0.51311288483466366</v>
      </c>
    </row>
    <row r="68" spans="1:40" ht="16" x14ac:dyDescent="0.2">
      <c r="A68" s="16" t="s">
        <v>54</v>
      </c>
      <c r="B68" s="41">
        <v>4</v>
      </c>
      <c r="C68" s="41">
        <v>7.6923076923076927E-2</v>
      </c>
      <c r="D68" s="9" t="s">
        <v>25</v>
      </c>
      <c r="E68" s="10">
        <v>17</v>
      </c>
      <c r="F68" s="10">
        <v>22</v>
      </c>
      <c r="G68" s="12">
        <f>(34-E68)/34*100</f>
        <v>50</v>
      </c>
      <c r="H68" s="12">
        <f>(34-F68)/34*100</f>
        <v>35.294117647058826</v>
      </c>
      <c r="I68" t="b">
        <f>G68&gt;=35</f>
        <v>1</v>
      </c>
      <c r="J68" t="b">
        <f>H68&gt;=50</f>
        <v>0</v>
      </c>
      <c r="K68" s="17">
        <v>94</v>
      </c>
      <c r="L68" s="20">
        <f>K68/413</f>
        <v>0.22760290556900725</v>
      </c>
      <c r="M68" s="17">
        <v>67</v>
      </c>
      <c r="N68" s="20">
        <f>M68/310</f>
        <v>0.21612903225806451</v>
      </c>
      <c r="O68" s="17">
        <v>0</v>
      </c>
      <c r="P68" s="20">
        <f>O68/538</f>
        <v>0</v>
      </c>
      <c r="Q68" s="12">
        <v>3</v>
      </c>
      <c r="R68" s="20">
        <f>Q68/505</f>
        <v>5.9405940594059407E-3</v>
      </c>
      <c r="S68" s="11">
        <v>0</v>
      </c>
      <c r="T68" s="20">
        <f>S68/987</f>
        <v>0</v>
      </c>
      <c r="U68" s="11">
        <v>1</v>
      </c>
      <c r="V68" s="20">
        <f>U68/868</f>
        <v>1.152073732718894E-3</v>
      </c>
      <c r="W68" s="17">
        <v>25</v>
      </c>
      <c r="X68" s="20">
        <f>W68/119</f>
        <v>0.21008403361344538</v>
      </c>
      <c r="Y68" s="17">
        <v>8</v>
      </c>
      <c r="Z68" s="20">
        <f>Y68/84</f>
        <v>9.5238095238095233E-2</v>
      </c>
      <c r="AA68" s="17">
        <v>6</v>
      </c>
      <c r="AB68" s="20">
        <f>AA68/118</f>
        <v>5.0847457627118647E-2</v>
      </c>
      <c r="AC68" s="17">
        <v>10</v>
      </c>
      <c r="AD68" s="20">
        <f>AC68/34</f>
        <v>0.29411764705882354</v>
      </c>
      <c r="AE68" s="11">
        <v>0</v>
      </c>
      <c r="AF68" s="20">
        <f>AE68/698</f>
        <v>0</v>
      </c>
      <c r="AG68" s="17">
        <v>0</v>
      </c>
      <c r="AH68" s="19">
        <f>AG68/250</f>
        <v>0</v>
      </c>
      <c r="AI68" s="39">
        <v>2</v>
      </c>
      <c r="AJ68" s="39">
        <v>2</v>
      </c>
      <c r="AK68">
        <f>AI68/'Total Fiber Count'!H$5</f>
        <v>1.4598540145985401E-2</v>
      </c>
      <c r="AL68">
        <f>AJ68/'Total Fiber Count'!O$5</f>
        <v>1.3245033112582781E-2</v>
      </c>
      <c r="AM68">
        <v>0.15</v>
      </c>
      <c r="AN68">
        <v>0.15353121801432959</v>
      </c>
    </row>
    <row r="69" spans="1:40" ht="16" x14ac:dyDescent="0.2">
      <c r="A69" s="16" t="s">
        <v>54</v>
      </c>
      <c r="B69" s="41">
        <v>10.285714285714285</v>
      </c>
      <c r="C69" s="41">
        <v>0.19780219780219779</v>
      </c>
      <c r="D69" s="9" t="s">
        <v>25</v>
      </c>
      <c r="E69" s="10">
        <v>12</v>
      </c>
      <c r="F69" s="10">
        <v>11</v>
      </c>
      <c r="G69" s="12">
        <f>(34-E69)/34*100</f>
        <v>64.705882352941174</v>
      </c>
      <c r="H69" s="12">
        <f>(34-F69)/34*100</f>
        <v>67.64705882352942</v>
      </c>
      <c r="I69" t="b">
        <f>G69&gt;=35</f>
        <v>1</v>
      </c>
      <c r="J69" t="b">
        <f>H69&gt;=50</f>
        <v>1</v>
      </c>
      <c r="K69" s="17">
        <v>94</v>
      </c>
      <c r="L69" s="20">
        <f>K69/413</f>
        <v>0.22760290556900725</v>
      </c>
      <c r="M69" s="17">
        <v>67</v>
      </c>
      <c r="N69" s="20">
        <f>M69/310</f>
        <v>0.21612903225806451</v>
      </c>
      <c r="O69" s="11">
        <v>0</v>
      </c>
      <c r="P69" s="20">
        <f>O69/538</f>
        <v>0</v>
      </c>
      <c r="Q69" s="12">
        <v>3</v>
      </c>
      <c r="R69" s="20">
        <f>Q69/505</f>
        <v>5.9405940594059407E-3</v>
      </c>
      <c r="S69" s="17">
        <v>0</v>
      </c>
      <c r="T69" s="20">
        <f>S69/987</f>
        <v>0</v>
      </c>
      <c r="U69" s="11">
        <v>1</v>
      </c>
      <c r="V69" s="20">
        <f>U69/868</f>
        <v>1.152073732718894E-3</v>
      </c>
      <c r="W69" s="17">
        <v>25</v>
      </c>
      <c r="X69" s="20">
        <f>W69/119</f>
        <v>0.21008403361344538</v>
      </c>
      <c r="Y69" s="17">
        <v>8</v>
      </c>
      <c r="Z69" s="20">
        <f>Y69/84</f>
        <v>9.5238095238095233E-2</v>
      </c>
      <c r="AA69" s="17">
        <v>6</v>
      </c>
      <c r="AB69" s="20">
        <f>AA69/118</f>
        <v>5.0847457627118647E-2</v>
      </c>
      <c r="AC69" s="17">
        <v>10</v>
      </c>
      <c r="AD69" s="20">
        <f>AC69/34</f>
        <v>0.29411764705882354</v>
      </c>
      <c r="AE69" s="11">
        <v>0</v>
      </c>
      <c r="AF69" s="20">
        <f>AE69/698</f>
        <v>0</v>
      </c>
      <c r="AG69" s="17">
        <v>0</v>
      </c>
      <c r="AH69" s="19">
        <f>AG69/250</f>
        <v>0</v>
      </c>
      <c r="AI69" s="39">
        <v>2</v>
      </c>
      <c r="AJ69" s="39">
        <v>2</v>
      </c>
      <c r="AK69">
        <f>AI69/'Total Fiber Count'!H$5</f>
        <v>1.4598540145985401E-2</v>
      </c>
      <c r="AL69">
        <f>AJ69/'Total Fiber Count'!O$5</f>
        <v>1.3245033112582781E-2</v>
      </c>
      <c r="AM69">
        <v>0.19499999999999998</v>
      </c>
      <c r="AN69">
        <v>0.19959058341862848</v>
      </c>
    </row>
    <row r="70" spans="1:40" ht="16" x14ac:dyDescent="0.2">
      <c r="A70" s="16" t="s">
        <v>54</v>
      </c>
      <c r="B70" s="41">
        <v>15</v>
      </c>
      <c r="C70" s="41">
        <v>0.28846153846153844</v>
      </c>
      <c r="D70" s="9" t="s">
        <v>25</v>
      </c>
      <c r="E70" s="10">
        <v>13</v>
      </c>
      <c r="F70" s="10">
        <v>18</v>
      </c>
      <c r="G70" s="12">
        <f>(34-E70)/34*100</f>
        <v>61.764705882352942</v>
      </c>
      <c r="H70" s="12">
        <f>(34-F70)/34*100</f>
        <v>47.058823529411761</v>
      </c>
      <c r="I70" t="b">
        <f>G70&gt;=35</f>
        <v>1</v>
      </c>
      <c r="J70" t="b">
        <f>H70&gt;=50</f>
        <v>0</v>
      </c>
      <c r="K70" s="17">
        <v>97</v>
      </c>
      <c r="L70" s="20">
        <f>K70/413</f>
        <v>0.23486682808716708</v>
      </c>
      <c r="M70" s="17">
        <v>70</v>
      </c>
      <c r="N70" s="20">
        <f>M70/310</f>
        <v>0.22580645161290322</v>
      </c>
      <c r="O70" s="11">
        <v>0</v>
      </c>
      <c r="P70" s="20">
        <f>O70/538</f>
        <v>0</v>
      </c>
      <c r="Q70" s="12">
        <v>3</v>
      </c>
      <c r="R70" s="20">
        <f>Q70/505</f>
        <v>5.9405940594059407E-3</v>
      </c>
      <c r="S70" s="11">
        <v>1</v>
      </c>
      <c r="T70" s="20">
        <f>S70/987</f>
        <v>1.0131712259371835E-3</v>
      </c>
      <c r="U70" s="11">
        <v>1</v>
      </c>
      <c r="V70" s="20">
        <f>U70/868</f>
        <v>1.152073732718894E-3</v>
      </c>
      <c r="W70" s="17">
        <v>25</v>
      </c>
      <c r="X70" s="20">
        <f>W70/119</f>
        <v>0.21008403361344538</v>
      </c>
      <c r="Y70" s="17">
        <v>8</v>
      </c>
      <c r="Z70" s="20">
        <f>Y70/84</f>
        <v>9.5238095238095233E-2</v>
      </c>
      <c r="AA70" s="17">
        <v>9</v>
      </c>
      <c r="AB70" s="20">
        <f>AA70/118</f>
        <v>7.6271186440677971E-2</v>
      </c>
      <c r="AC70" s="17">
        <v>11</v>
      </c>
      <c r="AD70" s="20">
        <f>AC70/34</f>
        <v>0.3235294117647059</v>
      </c>
      <c r="AE70" s="11">
        <v>0</v>
      </c>
      <c r="AF70" s="20">
        <f>AE70/698</f>
        <v>0</v>
      </c>
      <c r="AG70" s="17">
        <v>0</v>
      </c>
      <c r="AH70" s="19">
        <f>AG70/250</f>
        <v>0</v>
      </c>
      <c r="AI70" s="39">
        <v>2</v>
      </c>
      <c r="AJ70" s="39">
        <v>2</v>
      </c>
      <c r="AK70">
        <f>AI70/'Total Fiber Count'!H$5</f>
        <v>1.4598540145985401E-2</v>
      </c>
      <c r="AL70">
        <f>AJ70/'Total Fiber Count'!O$5</f>
        <v>1.3245033112582781E-2</v>
      </c>
      <c r="AM70">
        <v>0.19499999999999998</v>
      </c>
      <c r="AN70">
        <v>0.19716885743174925</v>
      </c>
    </row>
    <row r="71" spans="1:40" ht="16" x14ac:dyDescent="0.2">
      <c r="A71" s="16" t="s">
        <v>54</v>
      </c>
      <c r="B71" s="41">
        <v>27.285714285714285</v>
      </c>
      <c r="C71" s="41">
        <v>0.52472527472527475</v>
      </c>
      <c r="D71" s="9" t="s">
        <v>25</v>
      </c>
      <c r="E71" s="10">
        <v>18</v>
      </c>
      <c r="F71" s="10">
        <v>18</v>
      </c>
      <c r="G71" s="12">
        <f>(34-E71)/34*100</f>
        <v>47.058823529411761</v>
      </c>
      <c r="H71" s="12">
        <f>(34-F71)/34*100</f>
        <v>47.058823529411761</v>
      </c>
      <c r="I71" t="b">
        <f>G71&gt;=35</f>
        <v>1</v>
      </c>
      <c r="J71" t="b">
        <f>H71&gt;=50</f>
        <v>0</v>
      </c>
      <c r="K71" s="17">
        <v>97</v>
      </c>
      <c r="L71" s="20">
        <f>K71/413</f>
        <v>0.23486682808716708</v>
      </c>
      <c r="M71" s="17">
        <v>70</v>
      </c>
      <c r="N71" s="20">
        <f>M71/310</f>
        <v>0.22580645161290322</v>
      </c>
      <c r="O71" s="11">
        <v>0</v>
      </c>
      <c r="P71" s="20">
        <f>O71/538</f>
        <v>0</v>
      </c>
      <c r="Q71" s="12">
        <v>3</v>
      </c>
      <c r="R71" s="20">
        <f>Q71/505</f>
        <v>5.9405940594059407E-3</v>
      </c>
      <c r="S71" s="17">
        <v>1</v>
      </c>
      <c r="T71" s="20">
        <f>S71/987</f>
        <v>1.0131712259371835E-3</v>
      </c>
      <c r="U71" s="11">
        <v>1</v>
      </c>
      <c r="V71" s="20">
        <f>U71/868</f>
        <v>1.152073732718894E-3</v>
      </c>
      <c r="W71" s="17">
        <v>25</v>
      </c>
      <c r="X71" s="20">
        <f>W71/119</f>
        <v>0.21008403361344538</v>
      </c>
      <c r="Y71" s="17">
        <v>8</v>
      </c>
      <c r="Z71" s="20">
        <f>Y71/84</f>
        <v>9.5238095238095233E-2</v>
      </c>
      <c r="AA71" s="17">
        <v>9</v>
      </c>
      <c r="AB71" s="20">
        <f>AA71/118</f>
        <v>7.6271186440677971E-2</v>
      </c>
      <c r="AC71" s="17">
        <v>11</v>
      </c>
      <c r="AD71" s="20">
        <f>AC71/34</f>
        <v>0.3235294117647059</v>
      </c>
      <c r="AE71" s="11">
        <v>0</v>
      </c>
      <c r="AF71" s="20">
        <f>AE71/698</f>
        <v>0</v>
      </c>
      <c r="AG71" s="17">
        <v>0</v>
      </c>
      <c r="AH71" s="19">
        <f>AG71/250</f>
        <v>0</v>
      </c>
      <c r="AI71" s="39">
        <v>2</v>
      </c>
      <c r="AJ71" s="39">
        <v>2</v>
      </c>
      <c r="AK71">
        <f>AI71/'Total Fiber Count'!H$5</f>
        <v>1.4598540145985401E-2</v>
      </c>
      <c r="AL71">
        <f>AJ71/'Total Fiber Count'!O$5</f>
        <v>1.3245033112582781E-2</v>
      </c>
      <c r="AM71">
        <v>0.19499999999999998</v>
      </c>
      <c r="AN71">
        <v>0.2037617554858934</v>
      </c>
    </row>
    <row r="72" spans="1:40" ht="16" x14ac:dyDescent="0.2">
      <c r="A72" s="16" t="s">
        <v>54</v>
      </c>
      <c r="B72" s="41">
        <v>41.714285714285715</v>
      </c>
      <c r="C72" s="41">
        <v>0.80219780219780223</v>
      </c>
      <c r="D72" s="9" t="s">
        <v>25</v>
      </c>
      <c r="E72" s="10">
        <v>22</v>
      </c>
      <c r="F72" s="10">
        <v>25</v>
      </c>
      <c r="G72" s="12">
        <f>(34-E72)/34*100</f>
        <v>35.294117647058826</v>
      </c>
      <c r="H72" s="12">
        <f>(34-F72)/34*100</f>
        <v>26.47058823529412</v>
      </c>
      <c r="I72" t="b">
        <f>G72&gt;=35</f>
        <v>1</v>
      </c>
      <c r="J72" t="b">
        <f>H72&gt;=50</f>
        <v>0</v>
      </c>
      <c r="K72" s="17">
        <v>97</v>
      </c>
      <c r="L72" s="20">
        <f>K72/413</f>
        <v>0.23486682808716708</v>
      </c>
      <c r="M72" s="17">
        <v>70</v>
      </c>
      <c r="N72" s="20">
        <f>M72/310</f>
        <v>0.22580645161290322</v>
      </c>
      <c r="O72" s="11">
        <v>0</v>
      </c>
      <c r="P72" s="20">
        <f>O72/538</f>
        <v>0</v>
      </c>
      <c r="Q72" s="12">
        <v>3</v>
      </c>
      <c r="R72" s="20">
        <f>Q72/505</f>
        <v>5.9405940594059407E-3</v>
      </c>
      <c r="S72" s="11">
        <v>1</v>
      </c>
      <c r="T72" s="20">
        <f>S72/987</f>
        <v>1.0131712259371835E-3</v>
      </c>
      <c r="U72" s="11">
        <v>1</v>
      </c>
      <c r="V72" s="20">
        <f>U72/868</f>
        <v>1.152073732718894E-3</v>
      </c>
      <c r="W72" s="17">
        <v>25</v>
      </c>
      <c r="X72" s="20">
        <f>W72/119</f>
        <v>0.21008403361344538</v>
      </c>
      <c r="Y72" s="17">
        <v>8</v>
      </c>
      <c r="Z72" s="20">
        <f>Y72/84</f>
        <v>9.5238095238095233E-2</v>
      </c>
      <c r="AA72" s="17">
        <v>9</v>
      </c>
      <c r="AB72" s="20">
        <f>AA72/118</f>
        <v>7.6271186440677971E-2</v>
      </c>
      <c r="AC72" s="17">
        <v>11</v>
      </c>
      <c r="AD72" s="20">
        <f>AC72/34</f>
        <v>0.3235294117647059</v>
      </c>
      <c r="AE72" s="11">
        <v>0</v>
      </c>
      <c r="AF72" s="20">
        <f>AE72/698</f>
        <v>0</v>
      </c>
      <c r="AG72" s="17">
        <v>0</v>
      </c>
      <c r="AH72" s="19">
        <f>AG72/250</f>
        <v>0</v>
      </c>
      <c r="AI72" s="39">
        <v>2</v>
      </c>
      <c r="AJ72" s="39">
        <v>2</v>
      </c>
      <c r="AK72">
        <f>AI72/'Total Fiber Count'!H$5</f>
        <v>1.4598540145985401E-2</v>
      </c>
      <c r="AL72">
        <f>AJ72/'Total Fiber Count'!O$5</f>
        <v>1.3245033112582781E-2</v>
      </c>
      <c r="AM72">
        <v>0.19499999999999998</v>
      </c>
      <c r="AN72">
        <v>0.21642619311875694</v>
      </c>
    </row>
    <row r="73" spans="1:40" ht="16" x14ac:dyDescent="0.2">
      <c r="A73" s="16" t="s">
        <v>54</v>
      </c>
      <c r="B73" s="41">
        <v>68</v>
      </c>
      <c r="C73" s="41">
        <v>1.3076923076923077</v>
      </c>
      <c r="D73" s="9" t="s">
        <v>25</v>
      </c>
      <c r="E73" s="10">
        <v>22</v>
      </c>
      <c r="F73" s="10">
        <v>38</v>
      </c>
      <c r="G73" s="12">
        <f>(34-E73)/34*100</f>
        <v>35.294117647058826</v>
      </c>
      <c r="H73" s="12">
        <f>(34-F73)/34*100</f>
        <v>-11.76470588235294</v>
      </c>
      <c r="I73" t="b">
        <f>G73&gt;=35</f>
        <v>1</v>
      </c>
      <c r="J73" t="b">
        <f>H73&gt;=50</f>
        <v>0</v>
      </c>
      <c r="K73" s="17">
        <v>105</v>
      </c>
      <c r="L73" s="20">
        <f>K73/413</f>
        <v>0.25423728813559321</v>
      </c>
      <c r="M73" s="17">
        <v>73</v>
      </c>
      <c r="N73" s="20">
        <f>M73/310</f>
        <v>0.23548387096774193</v>
      </c>
      <c r="O73" s="12">
        <v>0</v>
      </c>
      <c r="P73" s="20">
        <f>O73/538</f>
        <v>0</v>
      </c>
      <c r="Q73" s="12">
        <v>3</v>
      </c>
      <c r="R73" s="20">
        <f>Q73/505</f>
        <v>5.9405940594059407E-3</v>
      </c>
      <c r="S73" s="11">
        <v>1</v>
      </c>
      <c r="T73" s="20">
        <f>S73/987</f>
        <v>1.0131712259371835E-3</v>
      </c>
      <c r="U73" s="11">
        <v>1</v>
      </c>
      <c r="V73" s="20">
        <f>U73/868</f>
        <v>1.152073732718894E-3</v>
      </c>
      <c r="W73" s="17">
        <v>26</v>
      </c>
      <c r="X73" s="20">
        <f>W73/119</f>
        <v>0.21848739495798319</v>
      </c>
      <c r="Y73" s="17">
        <v>8</v>
      </c>
      <c r="Z73" s="20">
        <f>Y73/84</f>
        <v>9.5238095238095233E-2</v>
      </c>
      <c r="AA73" s="17">
        <v>13</v>
      </c>
      <c r="AB73" s="20">
        <f>AA73/118</f>
        <v>0.11016949152542373</v>
      </c>
      <c r="AC73" s="17">
        <v>11</v>
      </c>
      <c r="AD73" s="20">
        <f>AC73/34</f>
        <v>0.3235294117647059</v>
      </c>
      <c r="AE73" s="11">
        <v>0</v>
      </c>
      <c r="AF73" s="20">
        <f>AE73/698</f>
        <v>0</v>
      </c>
      <c r="AG73" s="17">
        <v>0</v>
      </c>
      <c r="AH73" s="19">
        <f>AG73/250</f>
        <v>0</v>
      </c>
      <c r="AI73" s="39">
        <v>2</v>
      </c>
      <c r="AJ73" s="39">
        <v>2</v>
      </c>
      <c r="AK73">
        <f>AI73/'Total Fiber Count'!H$5</f>
        <v>1.4598540145985401E-2</v>
      </c>
      <c r="AL73">
        <f>AJ73/'Total Fiber Count'!O$5</f>
        <v>1.3245033112582781E-2</v>
      </c>
      <c r="AM73">
        <v>0.22500000000000001</v>
      </c>
      <c r="AN73">
        <v>0.22500000000000001</v>
      </c>
    </row>
    <row r="74" spans="1:40" ht="16" x14ac:dyDescent="0.2">
      <c r="A74" s="16" t="s">
        <v>54</v>
      </c>
      <c r="B74" s="41">
        <v>96.285714285714278</v>
      </c>
      <c r="C74" s="41">
        <v>1.8516483516483515</v>
      </c>
      <c r="D74" s="9" t="s">
        <v>25</v>
      </c>
      <c r="E74" s="10">
        <v>18</v>
      </c>
      <c r="F74" s="10">
        <v>19</v>
      </c>
      <c r="G74" s="12">
        <f>(34-E74)/34*100</f>
        <v>47.058823529411761</v>
      </c>
      <c r="H74" s="12">
        <f>(34-F74)/34*100</f>
        <v>44.117647058823529</v>
      </c>
      <c r="I74" t="b">
        <f>G74&gt;=35</f>
        <v>1</v>
      </c>
      <c r="J74" t="b">
        <f>H74&gt;=50</f>
        <v>0</v>
      </c>
      <c r="K74" s="17">
        <v>223</v>
      </c>
      <c r="L74" s="20">
        <f>K74/413</f>
        <v>0.53995157384987891</v>
      </c>
      <c r="M74" s="17">
        <v>155</v>
      </c>
      <c r="N74" s="20">
        <f>M74/310</f>
        <v>0.5</v>
      </c>
      <c r="O74" s="11">
        <v>11</v>
      </c>
      <c r="P74" s="20">
        <f>O74/538</f>
        <v>2.0446096654275093E-2</v>
      </c>
      <c r="Q74" s="12">
        <v>17</v>
      </c>
      <c r="R74" s="20">
        <f>Q74/505</f>
        <v>3.3663366336633666E-2</v>
      </c>
      <c r="S74" s="11">
        <v>11</v>
      </c>
      <c r="T74" s="20">
        <f>S74/987</f>
        <v>1.1144883485309016E-2</v>
      </c>
      <c r="U74" s="11">
        <v>7</v>
      </c>
      <c r="V74" s="20">
        <f>U74/868</f>
        <v>8.0645161290322578E-3</v>
      </c>
      <c r="W74" s="17">
        <v>85</v>
      </c>
      <c r="X74" s="20">
        <f>W74/119</f>
        <v>0.7142857142857143</v>
      </c>
      <c r="Y74" s="17">
        <v>35</v>
      </c>
      <c r="Z74" s="20">
        <f>Y74/84</f>
        <v>0.41666666666666669</v>
      </c>
      <c r="AA74" s="17">
        <v>88</v>
      </c>
      <c r="AB74" s="20">
        <f>AA74/118</f>
        <v>0.74576271186440679</v>
      </c>
      <c r="AC74" s="17">
        <v>12</v>
      </c>
      <c r="AD74" s="20">
        <f>AC74/34</f>
        <v>0.35294117647058826</v>
      </c>
      <c r="AE74" s="11">
        <v>0</v>
      </c>
      <c r="AF74" s="20">
        <f>AE74/698</f>
        <v>0</v>
      </c>
      <c r="AG74" s="17">
        <v>3</v>
      </c>
      <c r="AH74" s="19">
        <f>AG74/250</f>
        <v>1.2E-2</v>
      </c>
      <c r="AI74" s="39">
        <v>3</v>
      </c>
      <c r="AJ74" s="39">
        <v>2</v>
      </c>
      <c r="AK74">
        <f>AI74/'Total Fiber Count'!H$5</f>
        <v>2.1897810218978103E-2</v>
      </c>
      <c r="AL74">
        <f>AJ74/'Total Fiber Count'!O$5</f>
        <v>1.3245033112582781E-2</v>
      </c>
      <c r="AM74">
        <v>0.46499999999999997</v>
      </c>
      <c r="AN74">
        <v>0.8438709677419356</v>
      </c>
    </row>
    <row r="75" spans="1:40" ht="16" x14ac:dyDescent="0.2">
      <c r="A75" s="16" t="s">
        <v>54</v>
      </c>
      <c r="B75" s="41">
        <v>209</v>
      </c>
      <c r="C75" s="41">
        <v>4.0192307692307692</v>
      </c>
      <c r="D75" s="9" t="s">
        <v>25</v>
      </c>
      <c r="E75" s="10">
        <v>13</v>
      </c>
      <c r="F75" s="10">
        <v>8</v>
      </c>
      <c r="G75" s="12">
        <f>(34-E75)/34*100</f>
        <v>61.764705882352942</v>
      </c>
      <c r="H75" s="12">
        <f>(34-F75)/34*100</f>
        <v>76.470588235294116</v>
      </c>
      <c r="I75" t="b">
        <f>G75&gt;=35</f>
        <v>1</v>
      </c>
      <c r="J75" t="b">
        <f>H75&gt;=50</f>
        <v>1</v>
      </c>
      <c r="K75" s="17">
        <v>193</v>
      </c>
      <c r="L75" s="20">
        <f>K75/413</f>
        <v>0.46731234866828086</v>
      </c>
      <c r="M75" s="17">
        <v>173</v>
      </c>
      <c r="N75" s="20">
        <f>M75/310</f>
        <v>0.5580645161290323</v>
      </c>
      <c r="O75" s="11">
        <v>6</v>
      </c>
      <c r="P75" s="20">
        <f>O75/538</f>
        <v>1.1152416356877323E-2</v>
      </c>
      <c r="Q75" s="12">
        <v>36</v>
      </c>
      <c r="R75" s="20">
        <f>Q75/505</f>
        <v>7.1287128712871281E-2</v>
      </c>
      <c r="S75" s="11">
        <v>7</v>
      </c>
      <c r="T75" s="20">
        <f>S75/987</f>
        <v>7.0921985815602835E-3</v>
      </c>
      <c r="U75" s="11">
        <v>11</v>
      </c>
      <c r="V75" s="20">
        <f>U75/868</f>
        <v>1.2672811059907835E-2</v>
      </c>
      <c r="W75" s="17">
        <v>76</v>
      </c>
      <c r="X75" s="20">
        <f>W75/119</f>
        <v>0.6386554621848739</v>
      </c>
      <c r="Y75" s="17">
        <v>41</v>
      </c>
      <c r="Z75" s="20">
        <f>Y75/84</f>
        <v>0.48809523809523808</v>
      </c>
      <c r="AA75" s="17">
        <v>70</v>
      </c>
      <c r="AB75" s="20">
        <f>AA75/118</f>
        <v>0.59322033898305082</v>
      </c>
      <c r="AC75" s="17">
        <v>13</v>
      </c>
      <c r="AD75" s="20">
        <f>AC75/34</f>
        <v>0.38235294117647056</v>
      </c>
      <c r="AE75" s="11">
        <v>0</v>
      </c>
      <c r="AF75" s="20">
        <f>AE75/698</f>
        <v>0</v>
      </c>
      <c r="AG75" s="17">
        <v>0</v>
      </c>
      <c r="AH75" s="19">
        <f>AG75/250</f>
        <v>0</v>
      </c>
      <c r="AI75" s="39">
        <v>3</v>
      </c>
      <c r="AJ75" s="39">
        <v>4</v>
      </c>
      <c r="AK75">
        <f>AI75/'Total Fiber Count'!H$5</f>
        <v>2.1897810218978103E-2</v>
      </c>
      <c r="AL75">
        <f>AJ75/'Total Fiber Count'!O$5</f>
        <v>2.6490066225165563E-2</v>
      </c>
      <c r="AM75">
        <v>0.71760000000000002</v>
      </c>
      <c r="AN75">
        <v>0.67887931034482762</v>
      </c>
    </row>
    <row r="76" spans="1:40" ht="16" x14ac:dyDescent="0.2">
      <c r="A76" s="16" t="s">
        <v>54</v>
      </c>
      <c r="B76" s="41">
        <v>223.28571428571428</v>
      </c>
      <c r="C76" s="41">
        <v>4.2939560439560438</v>
      </c>
      <c r="D76" s="9" t="s">
        <v>25</v>
      </c>
      <c r="E76" s="10">
        <v>25</v>
      </c>
      <c r="F76" s="10">
        <v>26</v>
      </c>
      <c r="G76" s="12">
        <f>(34-E76)/34*100</f>
        <v>26.47058823529412</v>
      </c>
      <c r="H76" s="12">
        <f>(34-F76)/34*100</f>
        <v>23.52941176470588</v>
      </c>
      <c r="I76" t="b">
        <f>G76&gt;=35</f>
        <v>0</v>
      </c>
      <c r="J76" t="b">
        <f>H76&gt;=50</f>
        <v>0</v>
      </c>
      <c r="K76" s="17">
        <v>210</v>
      </c>
      <c r="L76" s="20">
        <f>K76/413</f>
        <v>0.50847457627118642</v>
      </c>
      <c r="M76" s="17">
        <v>179</v>
      </c>
      <c r="N76" s="20">
        <f>M76/310</f>
        <v>0.57741935483870965</v>
      </c>
      <c r="O76" s="11">
        <v>7</v>
      </c>
      <c r="P76" s="20">
        <f>O76/538</f>
        <v>1.3011152416356878E-2</v>
      </c>
      <c r="Q76" s="12">
        <v>49</v>
      </c>
      <c r="R76" s="20">
        <f>Q76/505</f>
        <v>9.7029702970297033E-2</v>
      </c>
      <c r="S76" s="11">
        <v>8</v>
      </c>
      <c r="T76" s="20">
        <f>S76/987</f>
        <v>8.1053698074974676E-3</v>
      </c>
      <c r="U76" s="11">
        <v>14</v>
      </c>
      <c r="V76" s="20">
        <f>U76/868</f>
        <v>1.6129032258064516E-2</v>
      </c>
      <c r="W76" s="17">
        <v>84</v>
      </c>
      <c r="X76" s="20">
        <f>W76/119</f>
        <v>0.70588235294117652</v>
      </c>
      <c r="Y76" s="17">
        <v>47</v>
      </c>
      <c r="Z76" s="20">
        <f>Y76/84</f>
        <v>0.55952380952380953</v>
      </c>
      <c r="AA76" s="17">
        <v>83</v>
      </c>
      <c r="AB76" s="20">
        <f>AA76/118</f>
        <v>0.70338983050847459</v>
      </c>
      <c r="AC76" s="17">
        <v>14</v>
      </c>
      <c r="AD76" s="20">
        <f>AC76/34</f>
        <v>0.41176470588235292</v>
      </c>
      <c r="AE76" s="11">
        <v>0</v>
      </c>
      <c r="AF76" s="20">
        <f>AE76/698</f>
        <v>0</v>
      </c>
      <c r="AG76" s="11">
        <v>6</v>
      </c>
      <c r="AH76" s="19">
        <f>AG76/250</f>
        <v>2.4E-2</v>
      </c>
      <c r="AI76" s="39">
        <v>3</v>
      </c>
      <c r="AJ76" s="39">
        <v>4</v>
      </c>
      <c r="AK76">
        <f>AI76/'Total Fiber Count'!H$5</f>
        <v>2.1897810218978103E-2</v>
      </c>
      <c r="AL76">
        <f>AJ76/'Total Fiber Count'!O$5</f>
        <v>2.6490066225165563E-2</v>
      </c>
      <c r="AM76">
        <v>0.80400000000000005</v>
      </c>
      <c r="AN76">
        <v>0.81042654028436012</v>
      </c>
    </row>
    <row r="77" spans="1:40" ht="16" x14ac:dyDescent="0.2">
      <c r="A77" s="16" t="s">
        <v>54</v>
      </c>
      <c r="B77" s="41">
        <v>242.42857142857142</v>
      </c>
      <c r="C77" s="41">
        <v>4.6620879120879115</v>
      </c>
      <c r="D77" s="9" t="s">
        <v>25</v>
      </c>
      <c r="E77" s="10" t="s">
        <v>36</v>
      </c>
      <c r="F77" s="10" t="s">
        <v>36</v>
      </c>
      <c r="G77" s="12" t="s">
        <v>36</v>
      </c>
      <c r="H77" s="12" t="s">
        <v>36</v>
      </c>
      <c r="I77" s="36" t="s">
        <v>36</v>
      </c>
      <c r="J77" t="s">
        <v>36</v>
      </c>
      <c r="K77" s="17" t="s">
        <v>28</v>
      </c>
      <c r="L77" s="19">
        <v>0</v>
      </c>
      <c r="M77" s="17">
        <v>187</v>
      </c>
      <c r="N77" s="20">
        <f>M77/310</f>
        <v>0.60322580645161294</v>
      </c>
      <c r="O77" s="17" t="s">
        <v>28</v>
      </c>
      <c r="P77" s="19">
        <v>0</v>
      </c>
      <c r="Q77" s="12">
        <v>59</v>
      </c>
      <c r="R77" s="20">
        <f>Q77/505</f>
        <v>0.11683168316831684</v>
      </c>
      <c r="S77" s="17" t="s">
        <v>28</v>
      </c>
      <c r="T77" s="20">
        <v>0</v>
      </c>
      <c r="U77" s="11">
        <v>21</v>
      </c>
      <c r="V77" s="20">
        <f>U77/868</f>
        <v>2.4193548387096774E-2</v>
      </c>
      <c r="W77" s="17" t="s">
        <v>28</v>
      </c>
      <c r="X77" s="20">
        <v>0</v>
      </c>
      <c r="Y77" s="17">
        <v>50</v>
      </c>
      <c r="Z77" s="20">
        <f>Y77/84</f>
        <v>0.59523809523809523</v>
      </c>
      <c r="AA77" s="17" t="s">
        <v>28</v>
      </c>
      <c r="AB77" s="20">
        <v>0</v>
      </c>
      <c r="AC77" s="17">
        <v>14</v>
      </c>
      <c r="AD77" s="20">
        <f>AC77/34</f>
        <v>0.41176470588235292</v>
      </c>
      <c r="AE77" s="17" t="s">
        <v>28</v>
      </c>
      <c r="AF77" s="19">
        <v>0</v>
      </c>
      <c r="AG77" s="17">
        <v>11</v>
      </c>
      <c r="AH77" s="19">
        <f>AG77/250</f>
        <v>4.3999999999999997E-2</v>
      </c>
      <c r="AI77" s="39" t="s">
        <v>28</v>
      </c>
      <c r="AJ77" s="39">
        <v>4</v>
      </c>
      <c r="AK77">
        <v>0</v>
      </c>
      <c r="AL77">
        <f>AJ77/'Total Fiber Count'!O$5</f>
        <v>2.6490066225165563E-2</v>
      </c>
      <c r="AM77">
        <v>0</v>
      </c>
      <c r="AN77">
        <v>0.82908458864426426</v>
      </c>
    </row>
    <row r="78" spans="1:40" ht="16" x14ac:dyDescent="0.2">
      <c r="A78" s="21" t="s">
        <v>55</v>
      </c>
      <c r="B78" s="41">
        <v>0</v>
      </c>
      <c r="C78" s="41">
        <v>0</v>
      </c>
      <c r="D78" s="27" t="s">
        <v>25</v>
      </c>
      <c r="E78" s="10">
        <v>23</v>
      </c>
      <c r="F78" s="10">
        <v>40</v>
      </c>
      <c r="G78">
        <f>(32-E78)/32*100</f>
        <v>28.125</v>
      </c>
      <c r="H78">
        <f>(36-F78)/36*100</f>
        <v>-11.111111111111111</v>
      </c>
      <c r="I78" t="b">
        <f>G78&gt;=35</f>
        <v>0</v>
      </c>
      <c r="J78" t="b">
        <f>H78&gt;=50</f>
        <v>0</v>
      </c>
      <c r="K78" s="23">
        <v>147</v>
      </c>
      <c r="L78" s="8">
        <f>K78/224</f>
        <v>0.65625</v>
      </c>
      <c r="M78" s="23" t="s">
        <v>28</v>
      </c>
      <c r="N78" s="8">
        <v>0</v>
      </c>
      <c r="O78">
        <v>35</v>
      </c>
      <c r="P78" s="8">
        <f>O78/713</f>
        <v>4.9088359046283309E-2</v>
      </c>
      <c r="Q78" s="23" t="s">
        <v>28</v>
      </c>
      <c r="R78" s="8">
        <v>0</v>
      </c>
      <c r="S78">
        <v>129</v>
      </c>
      <c r="T78" s="8">
        <f>S78/1264</f>
        <v>0.10205696202531646</v>
      </c>
      <c r="U78" s="23" t="s">
        <v>28</v>
      </c>
      <c r="V78" s="8">
        <v>0</v>
      </c>
      <c r="W78">
        <v>28</v>
      </c>
      <c r="X78" s="8">
        <f>W78/65</f>
        <v>0.43076923076923079</v>
      </c>
      <c r="Y78" s="23" t="s">
        <v>28</v>
      </c>
      <c r="Z78" s="8">
        <v>0</v>
      </c>
      <c r="AA78">
        <v>56</v>
      </c>
      <c r="AB78" s="8">
        <f>AA78/135</f>
        <v>0.4148148148148148</v>
      </c>
      <c r="AC78" s="23" t="s">
        <v>28</v>
      </c>
      <c r="AD78" s="8">
        <v>0</v>
      </c>
      <c r="AE78">
        <v>4</v>
      </c>
      <c r="AF78" s="8">
        <f>AE78/87</f>
        <v>4.5977011494252873E-2</v>
      </c>
      <c r="AG78">
        <v>0</v>
      </c>
      <c r="AH78" s="8">
        <f>AG78/633</f>
        <v>0</v>
      </c>
      <c r="AI78" s="39">
        <v>3</v>
      </c>
      <c r="AJ78" s="39" t="s">
        <v>28</v>
      </c>
      <c r="AK78">
        <f>AI78/'Total Fiber Count'!H$6</f>
        <v>1.8867924528301886E-2</v>
      </c>
      <c r="AL78">
        <v>0</v>
      </c>
      <c r="AM78" s="10">
        <v>0.9</v>
      </c>
      <c r="AN78">
        <v>0</v>
      </c>
    </row>
    <row r="79" spans="1:40" ht="16" x14ac:dyDescent="0.2">
      <c r="A79" s="21" t="s">
        <v>55</v>
      </c>
      <c r="B79" s="41">
        <v>0.5714285714285714</v>
      </c>
      <c r="C79" s="41">
        <v>1.0989010989010988E-2</v>
      </c>
      <c r="D79" s="27" t="s">
        <v>25</v>
      </c>
      <c r="E79" s="10">
        <v>22</v>
      </c>
      <c r="F79" s="10">
        <v>27</v>
      </c>
      <c r="G79">
        <f>(32-E79)/32*100</f>
        <v>31.25</v>
      </c>
      <c r="H79">
        <f>(36-F79)/36*100</f>
        <v>25</v>
      </c>
      <c r="I79" t="b">
        <f>G79&gt;=35</f>
        <v>0</v>
      </c>
      <c r="J79" t="b">
        <f>H79&gt;=50</f>
        <v>0</v>
      </c>
      <c r="K79" s="23">
        <v>147</v>
      </c>
      <c r="L79" s="8">
        <f>K79/224</f>
        <v>0.65625</v>
      </c>
      <c r="M79">
        <v>10</v>
      </c>
      <c r="N79" s="8">
        <f>M79/448</f>
        <v>2.2321428571428572E-2</v>
      </c>
      <c r="O79">
        <v>35</v>
      </c>
      <c r="P79" s="8">
        <f>O79/713</f>
        <v>4.9088359046283309E-2</v>
      </c>
      <c r="Q79">
        <v>4</v>
      </c>
      <c r="R79" s="8">
        <f>Q79/1636</f>
        <v>2.4449877750611247E-3</v>
      </c>
      <c r="S79">
        <v>129</v>
      </c>
      <c r="T79" s="8">
        <f>S79/1264</f>
        <v>0.10205696202531646</v>
      </c>
      <c r="U79">
        <v>0</v>
      </c>
      <c r="V79" s="8">
        <f>U79/1505</f>
        <v>0</v>
      </c>
      <c r="W79">
        <v>28</v>
      </c>
      <c r="X79" s="8">
        <f>W79/65</f>
        <v>0.43076923076923079</v>
      </c>
      <c r="Y79">
        <v>0</v>
      </c>
      <c r="Z79" s="8">
        <f>Y79/12</f>
        <v>0</v>
      </c>
      <c r="AA79">
        <v>56</v>
      </c>
      <c r="AB79" s="8">
        <f>AA79/135</f>
        <v>0.4148148148148148</v>
      </c>
      <c r="AC79">
        <v>0</v>
      </c>
      <c r="AD79" s="8">
        <f>AC79/17</f>
        <v>0</v>
      </c>
      <c r="AE79">
        <v>4</v>
      </c>
      <c r="AF79" s="8">
        <f>AE79/87</f>
        <v>4.5977011494252873E-2</v>
      </c>
      <c r="AG79">
        <v>0</v>
      </c>
      <c r="AH79" s="8">
        <f>AG79/633</f>
        <v>0</v>
      </c>
      <c r="AI79" s="39">
        <v>3</v>
      </c>
      <c r="AJ79" s="39">
        <v>0</v>
      </c>
      <c r="AK79">
        <f>AI79/'Total Fiber Count'!H$6</f>
        <v>1.8867924528301886E-2</v>
      </c>
      <c r="AL79">
        <f>AJ79/'Total Fiber Count'!O$6</f>
        <v>0</v>
      </c>
      <c r="AM79" s="10">
        <v>0.9</v>
      </c>
      <c r="AN79">
        <v>1.0285714285714285</v>
      </c>
    </row>
    <row r="80" spans="1:40" ht="16" x14ac:dyDescent="0.2">
      <c r="A80" s="21" t="s">
        <v>55</v>
      </c>
      <c r="B80" s="41">
        <v>5</v>
      </c>
      <c r="C80" s="41">
        <v>9.6153846153846159E-2</v>
      </c>
      <c r="D80" s="27" t="s">
        <v>25</v>
      </c>
      <c r="E80" s="10">
        <v>18</v>
      </c>
      <c r="F80" s="10">
        <v>26</v>
      </c>
      <c r="G80">
        <f>(32-E80)/32*100</f>
        <v>43.75</v>
      </c>
      <c r="H80">
        <f>(36-F80)/36*100</f>
        <v>27.777777777777779</v>
      </c>
      <c r="I80" t="b">
        <f>G80&gt;=35</f>
        <v>1</v>
      </c>
      <c r="J80" t="b">
        <f>H80&gt;=50</f>
        <v>0</v>
      </c>
      <c r="K80" s="23">
        <v>134</v>
      </c>
      <c r="L80" s="8">
        <f>K80/224</f>
        <v>0.5982142857142857</v>
      </c>
      <c r="M80">
        <v>7</v>
      </c>
      <c r="N80" s="8">
        <f>M80/448</f>
        <v>1.5625E-2</v>
      </c>
      <c r="O80">
        <v>33</v>
      </c>
      <c r="P80" s="8">
        <f>O80/713</f>
        <v>4.6283309957924262E-2</v>
      </c>
      <c r="Q80">
        <v>4</v>
      </c>
      <c r="R80" s="8">
        <f>Q80/1636</f>
        <v>2.4449877750611247E-3</v>
      </c>
      <c r="S80">
        <v>120</v>
      </c>
      <c r="T80" s="8">
        <f>S80/1264</f>
        <v>9.49367088607595E-2</v>
      </c>
      <c r="U80">
        <v>0</v>
      </c>
      <c r="V80" s="8">
        <f>U80/1505</f>
        <v>0</v>
      </c>
      <c r="W80">
        <v>22</v>
      </c>
      <c r="X80" s="8">
        <f>W80/65</f>
        <v>0.33846153846153848</v>
      </c>
      <c r="Y80">
        <v>0</v>
      </c>
      <c r="Z80" s="8">
        <f>Y80/12</f>
        <v>0</v>
      </c>
      <c r="AA80">
        <v>44</v>
      </c>
      <c r="AB80" s="8">
        <f>AA80/135</f>
        <v>0.32592592592592595</v>
      </c>
      <c r="AC80">
        <v>0</v>
      </c>
      <c r="AD80" s="8">
        <f>AC80/17</f>
        <v>0</v>
      </c>
      <c r="AE80">
        <v>4</v>
      </c>
      <c r="AF80" s="8">
        <f>AE80/87</f>
        <v>4.5977011494252873E-2</v>
      </c>
      <c r="AG80">
        <v>0</v>
      </c>
      <c r="AH80" s="8">
        <f>AG80/633</f>
        <v>0</v>
      </c>
      <c r="AI80" s="39">
        <v>3</v>
      </c>
      <c r="AJ80" s="39">
        <v>0</v>
      </c>
      <c r="AK80">
        <f>AI80/'Total Fiber Count'!H$6</f>
        <v>1.8867924528301886E-2</v>
      </c>
      <c r="AL80">
        <f>AJ80/'Total Fiber Count'!O$6</f>
        <v>0</v>
      </c>
      <c r="AM80" s="10">
        <v>0.75</v>
      </c>
      <c r="AN80">
        <v>0.59429477020602217</v>
      </c>
    </row>
    <row r="81" spans="1:40" ht="16" x14ac:dyDescent="0.2">
      <c r="A81" s="21" t="s">
        <v>55</v>
      </c>
      <c r="B81" s="41">
        <v>6.2857142857142856</v>
      </c>
      <c r="C81" s="41">
        <v>0.12087912087912088</v>
      </c>
      <c r="D81" s="27" t="s">
        <v>25</v>
      </c>
      <c r="E81" s="10">
        <v>17</v>
      </c>
      <c r="F81" s="10">
        <v>35</v>
      </c>
      <c r="G81">
        <f>(32-E81)/32*100</f>
        <v>46.875</v>
      </c>
      <c r="H81">
        <f>(36-F81)/36*100</f>
        <v>2.7777777777777777</v>
      </c>
      <c r="I81" t="b">
        <f>G81&gt;=35</f>
        <v>1</v>
      </c>
      <c r="J81" t="b">
        <f>H81&gt;=50</f>
        <v>0</v>
      </c>
      <c r="K81" s="23">
        <v>140</v>
      </c>
      <c r="L81" s="8">
        <f>K81/224</f>
        <v>0.625</v>
      </c>
      <c r="M81">
        <v>8</v>
      </c>
      <c r="N81" s="8">
        <f>M81/448</f>
        <v>1.7857142857142856E-2</v>
      </c>
      <c r="O81">
        <v>35</v>
      </c>
      <c r="P81" s="8">
        <f>O81/713</f>
        <v>4.9088359046283309E-2</v>
      </c>
      <c r="Q81">
        <v>4</v>
      </c>
      <c r="R81" s="8">
        <f>Q81/1636</f>
        <v>2.4449877750611247E-3</v>
      </c>
      <c r="S81">
        <v>127</v>
      </c>
      <c r="T81" s="8">
        <f>S81/1264</f>
        <v>0.10047468354430379</v>
      </c>
      <c r="U81">
        <v>0</v>
      </c>
      <c r="V81" s="8">
        <f>U81/1505</f>
        <v>0</v>
      </c>
      <c r="W81">
        <v>28</v>
      </c>
      <c r="X81" s="8">
        <f>W81/65</f>
        <v>0.43076923076923079</v>
      </c>
      <c r="Y81">
        <v>0</v>
      </c>
      <c r="Z81" s="8">
        <f>Y81/12</f>
        <v>0</v>
      </c>
      <c r="AA81">
        <v>50</v>
      </c>
      <c r="AB81" s="8">
        <f>AA81/135</f>
        <v>0.37037037037037035</v>
      </c>
      <c r="AC81">
        <v>0</v>
      </c>
      <c r="AD81" s="8">
        <f>AC81/17</f>
        <v>0</v>
      </c>
      <c r="AE81">
        <v>4</v>
      </c>
      <c r="AF81" s="8">
        <f>AE81/87</f>
        <v>4.5977011494252873E-2</v>
      </c>
      <c r="AG81">
        <v>0</v>
      </c>
      <c r="AH81" s="8">
        <f>AG81/633</f>
        <v>0</v>
      </c>
      <c r="AI81" s="39">
        <v>3</v>
      </c>
      <c r="AJ81" s="39">
        <v>0</v>
      </c>
      <c r="AK81">
        <f>AI81/'Total Fiber Count'!H$6</f>
        <v>1.8867924528301886E-2</v>
      </c>
      <c r="AL81">
        <f>AJ81/'Total Fiber Count'!O$6</f>
        <v>0</v>
      </c>
      <c r="AM81" s="10">
        <v>0.82499999999999996</v>
      </c>
      <c r="AN81">
        <v>0.6696428571428571</v>
      </c>
    </row>
    <row r="82" spans="1:40" ht="16" x14ac:dyDescent="0.2">
      <c r="A82" s="21" t="s">
        <v>55</v>
      </c>
      <c r="B82" s="41">
        <v>7.5714285714285712</v>
      </c>
      <c r="C82" s="41">
        <v>0.14560439560439559</v>
      </c>
      <c r="D82" s="27" t="s">
        <v>25</v>
      </c>
      <c r="E82" s="10">
        <v>22</v>
      </c>
      <c r="F82" s="10">
        <v>33</v>
      </c>
      <c r="G82">
        <f>(32-E82)/32*100</f>
        <v>31.25</v>
      </c>
      <c r="H82">
        <f>(36-F82)/36*100</f>
        <v>8.3333333333333321</v>
      </c>
      <c r="I82" t="b">
        <f>G82&gt;=35</f>
        <v>0</v>
      </c>
      <c r="J82" t="b">
        <f>H82&gt;=50</f>
        <v>0</v>
      </c>
      <c r="K82" s="23">
        <v>147</v>
      </c>
      <c r="L82" s="8">
        <f>K82/224</f>
        <v>0.65625</v>
      </c>
      <c r="M82">
        <v>10</v>
      </c>
      <c r="N82" s="8">
        <f>M82/448</f>
        <v>2.2321428571428572E-2</v>
      </c>
      <c r="O82">
        <v>35</v>
      </c>
      <c r="P82" s="8">
        <f>O82/713</f>
        <v>4.9088359046283309E-2</v>
      </c>
      <c r="Q82">
        <v>4</v>
      </c>
      <c r="R82" s="8">
        <f>Q82/1636</f>
        <v>2.4449877750611247E-3</v>
      </c>
      <c r="S82">
        <v>129</v>
      </c>
      <c r="T82" s="8">
        <f>S82/1264</f>
        <v>0.10205696202531646</v>
      </c>
      <c r="U82">
        <v>0</v>
      </c>
      <c r="V82" s="8">
        <f>U82/1505</f>
        <v>0</v>
      </c>
      <c r="W82">
        <v>28</v>
      </c>
      <c r="X82" s="8">
        <f>W82/65</f>
        <v>0.43076923076923079</v>
      </c>
      <c r="Y82">
        <v>0</v>
      </c>
      <c r="Z82" s="8">
        <f>Y82/12</f>
        <v>0</v>
      </c>
      <c r="AA82">
        <v>56</v>
      </c>
      <c r="AB82" s="8">
        <f>AA82/135</f>
        <v>0.4148148148148148</v>
      </c>
      <c r="AC82">
        <v>0</v>
      </c>
      <c r="AD82" s="8">
        <f>AC82/17</f>
        <v>0</v>
      </c>
      <c r="AE82">
        <v>4</v>
      </c>
      <c r="AF82" s="8">
        <f>AE82/87</f>
        <v>4.5977011494252873E-2</v>
      </c>
      <c r="AG82">
        <v>0</v>
      </c>
      <c r="AH82" s="8">
        <f>AG82/633</f>
        <v>0</v>
      </c>
      <c r="AI82" s="39">
        <v>3</v>
      </c>
      <c r="AJ82" s="39">
        <v>0</v>
      </c>
      <c r="AK82">
        <f>AI82/'Total Fiber Count'!H$6</f>
        <v>1.8867924528301886E-2</v>
      </c>
      <c r="AL82">
        <f>AJ82/'Total Fiber Count'!O$6</f>
        <v>0</v>
      </c>
      <c r="AM82" s="10">
        <v>0.9</v>
      </c>
      <c r="AN82">
        <v>0.73051948051948046</v>
      </c>
    </row>
    <row r="83" spans="1:40" ht="16" x14ac:dyDescent="0.2">
      <c r="A83" s="21" t="s">
        <v>55</v>
      </c>
      <c r="B83" s="41">
        <v>9.5714285714285712</v>
      </c>
      <c r="C83" s="41">
        <v>0.18406593406593405</v>
      </c>
      <c r="D83" s="27" t="s">
        <v>25</v>
      </c>
      <c r="E83" s="10">
        <v>17</v>
      </c>
      <c r="F83" s="10">
        <v>45</v>
      </c>
      <c r="G83">
        <f>(32-E83)/32*100</f>
        <v>46.875</v>
      </c>
      <c r="H83">
        <f>(36-F83)/36*100</f>
        <v>-25</v>
      </c>
      <c r="I83" t="b">
        <f>G83&gt;=35</f>
        <v>1</v>
      </c>
      <c r="J83" t="b">
        <f>H83&gt;=50</f>
        <v>0</v>
      </c>
      <c r="K83" s="23">
        <v>147</v>
      </c>
      <c r="L83" s="8">
        <f>K83/224</f>
        <v>0.65625</v>
      </c>
      <c r="M83">
        <v>10</v>
      </c>
      <c r="N83" s="8">
        <f>M83/448</f>
        <v>2.2321428571428572E-2</v>
      </c>
      <c r="O83">
        <v>35</v>
      </c>
      <c r="P83" s="8">
        <f>O83/713</f>
        <v>4.9088359046283309E-2</v>
      </c>
      <c r="Q83">
        <v>4</v>
      </c>
      <c r="R83" s="8">
        <f>Q83/1636</f>
        <v>2.4449877750611247E-3</v>
      </c>
      <c r="S83">
        <v>129</v>
      </c>
      <c r="T83" s="8">
        <f>S83/1264</f>
        <v>0.10205696202531646</v>
      </c>
      <c r="U83">
        <v>0</v>
      </c>
      <c r="V83" s="8">
        <f>U83/1505</f>
        <v>0</v>
      </c>
      <c r="W83">
        <v>28</v>
      </c>
      <c r="X83" s="8">
        <f>W83/65</f>
        <v>0.43076923076923079</v>
      </c>
      <c r="Y83">
        <v>0</v>
      </c>
      <c r="Z83" s="8">
        <f>Y83/12</f>
        <v>0</v>
      </c>
      <c r="AA83">
        <v>56</v>
      </c>
      <c r="AB83" s="8">
        <f>AA83/135</f>
        <v>0.4148148148148148</v>
      </c>
      <c r="AC83">
        <v>0</v>
      </c>
      <c r="AD83" s="8">
        <f>AC83/17</f>
        <v>0</v>
      </c>
      <c r="AE83">
        <v>4</v>
      </c>
      <c r="AF83" s="8">
        <f>AE83/87</f>
        <v>4.5977011494252873E-2</v>
      </c>
      <c r="AG83">
        <v>0</v>
      </c>
      <c r="AH83" s="8">
        <f>AG83/633</f>
        <v>0</v>
      </c>
      <c r="AI83" s="39">
        <v>3</v>
      </c>
      <c r="AJ83" s="39">
        <v>0</v>
      </c>
      <c r="AK83">
        <f>AI83/'Total Fiber Count'!H$6</f>
        <v>1.8867924528301886E-2</v>
      </c>
      <c r="AL83">
        <f>AJ83/'Total Fiber Count'!O$6</f>
        <v>0</v>
      </c>
      <c r="AM83" s="10">
        <v>0.9</v>
      </c>
      <c r="AN83">
        <v>0.9</v>
      </c>
    </row>
    <row r="84" spans="1:40" ht="16" x14ac:dyDescent="0.2">
      <c r="A84" s="21" t="s">
        <v>55</v>
      </c>
      <c r="B84" s="41">
        <v>14.142857142857142</v>
      </c>
      <c r="C84" s="41">
        <v>0.27197802197802196</v>
      </c>
      <c r="D84" s="27" t="s">
        <v>25</v>
      </c>
      <c r="E84" s="10">
        <v>11</v>
      </c>
      <c r="F84" s="10">
        <v>44</v>
      </c>
      <c r="G84">
        <f>(32-E84)/32*100</f>
        <v>65.625</v>
      </c>
      <c r="H84">
        <f>(36-F84)/36*100</f>
        <v>-22.222222222222221</v>
      </c>
      <c r="I84" t="b">
        <f>G84&gt;=35</f>
        <v>1</v>
      </c>
      <c r="J84" t="b">
        <f>H84&gt;=50</f>
        <v>0</v>
      </c>
      <c r="K84" s="23">
        <v>147</v>
      </c>
      <c r="L84" s="8">
        <f>K84/224</f>
        <v>0.65625</v>
      </c>
      <c r="M84">
        <v>10</v>
      </c>
      <c r="N84" s="8">
        <f>M84/448</f>
        <v>2.2321428571428572E-2</v>
      </c>
      <c r="O84">
        <v>35</v>
      </c>
      <c r="P84" s="8">
        <f>O84/713</f>
        <v>4.9088359046283309E-2</v>
      </c>
      <c r="Q84">
        <v>4</v>
      </c>
      <c r="R84" s="8">
        <f>Q84/1636</f>
        <v>2.4449877750611247E-3</v>
      </c>
      <c r="S84">
        <v>129</v>
      </c>
      <c r="T84" s="8">
        <f>S84/1264</f>
        <v>0.10205696202531646</v>
      </c>
      <c r="U84">
        <v>0</v>
      </c>
      <c r="V84" s="8">
        <f>U84/1505</f>
        <v>0</v>
      </c>
      <c r="W84">
        <v>28</v>
      </c>
      <c r="X84" s="8">
        <f>W84/65</f>
        <v>0.43076923076923079</v>
      </c>
      <c r="Y84">
        <v>0</v>
      </c>
      <c r="Z84" s="8">
        <f>Y84/12</f>
        <v>0</v>
      </c>
      <c r="AA84">
        <v>56</v>
      </c>
      <c r="AB84" s="8">
        <f>AA84/135</f>
        <v>0.4148148148148148</v>
      </c>
      <c r="AC84">
        <v>0</v>
      </c>
      <c r="AD84" s="8">
        <f>AC84/17</f>
        <v>0</v>
      </c>
      <c r="AE84">
        <v>4</v>
      </c>
      <c r="AF84" s="8">
        <f>AE84/87</f>
        <v>4.5977011494252873E-2</v>
      </c>
      <c r="AG84">
        <v>0</v>
      </c>
      <c r="AH84" s="8">
        <f>AG84/633</f>
        <v>0</v>
      </c>
      <c r="AI84" s="39">
        <v>3</v>
      </c>
      <c r="AJ84" s="39">
        <v>0</v>
      </c>
      <c r="AK84">
        <f>AI84/'Total Fiber Count'!H$6</f>
        <v>1.8867924528301886E-2</v>
      </c>
      <c r="AL84">
        <f>AJ84/'Total Fiber Count'!O$6</f>
        <v>0</v>
      </c>
      <c r="AM84" s="10">
        <v>0.9</v>
      </c>
      <c r="AN84">
        <v>0.9</v>
      </c>
    </row>
    <row r="85" spans="1:40" ht="16" x14ac:dyDescent="0.2">
      <c r="A85" s="21" t="s">
        <v>55</v>
      </c>
      <c r="B85" s="41">
        <v>14.285714285714285</v>
      </c>
      <c r="C85" s="41">
        <v>0.27472527472527469</v>
      </c>
      <c r="D85" s="27" t="s">
        <v>25</v>
      </c>
      <c r="E85" s="10">
        <v>11</v>
      </c>
      <c r="F85" s="10">
        <v>44</v>
      </c>
      <c r="G85">
        <f>(32-E85)/32*100</f>
        <v>65.625</v>
      </c>
      <c r="H85">
        <f>(36-F85)/36*100</f>
        <v>-22.222222222222221</v>
      </c>
      <c r="I85" t="b">
        <f>G85&gt;=35</f>
        <v>1</v>
      </c>
      <c r="J85" t="b">
        <f>H85&gt;=50</f>
        <v>0</v>
      </c>
      <c r="K85" s="23">
        <v>65</v>
      </c>
      <c r="L85" s="8">
        <f>K85/224</f>
        <v>0.29017857142857145</v>
      </c>
      <c r="M85">
        <v>3</v>
      </c>
      <c r="N85" s="8">
        <f>M85/448</f>
        <v>6.6964285714285711E-3</v>
      </c>
      <c r="O85">
        <v>3</v>
      </c>
      <c r="P85" s="8">
        <f>O85/713</f>
        <v>4.2075736325385693E-3</v>
      </c>
      <c r="Q85">
        <v>3</v>
      </c>
      <c r="R85" s="8">
        <f>Q85/1636</f>
        <v>1.8337408312958435E-3</v>
      </c>
      <c r="S85">
        <v>13</v>
      </c>
      <c r="T85" s="8">
        <f>S85/1264</f>
        <v>1.0284810126582278E-2</v>
      </c>
      <c r="U85">
        <v>0</v>
      </c>
      <c r="V85" s="8">
        <f>U85/1505</f>
        <v>0</v>
      </c>
      <c r="W85">
        <v>4</v>
      </c>
      <c r="X85" s="8">
        <f>W85/65</f>
        <v>6.1538461538461542E-2</v>
      </c>
      <c r="Y85">
        <v>0</v>
      </c>
      <c r="Z85" s="8">
        <f>Y85/12</f>
        <v>0</v>
      </c>
      <c r="AA85">
        <v>13</v>
      </c>
      <c r="AB85" s="8">
        <f>AA85/135</f>
        <v>9.6296296296296297E-2</v>
      </c>
      <c r="AC85">
        <v>0</v>
      </c>
      <c r="AD85" s="8">
        <f>AC85/17</f>
        <v>0</v>
      </c>
      <c r="AE85">
        <v>0</v>
      </c>
      <c r="AF85" s="8">
        <f>AE85/87</f>
        <v>0</v>
      </c>
      <c r="AG85">
        <v>0</v>
      </c>
      <c r="AH85" s="8">
        <f>AG85/633</f>
        <v>0</v>
      </c>
      <c r="AI85" s="39">
        <v>2</v>
      </c>
      <c r="AJ85" s="39">
        <v>0</v>
      </c>
      <c r="AK85">
        <f>AI85/'Total Fiber Count'!H$6</f>
        <v>1.2578616352201259E-2</v>
      </c>
      <c r="AL85">
        <f>AJ85/'Total Fiber Count'!O$6</f>
        <v>0</v>
      </c>
      <c r="AM85" s="10">
        <v>0.45</v>
      </c>
      <c r="AN85">
        <v>0.31380753138075312</v>
      </c>
    </row>
    <row r="86" spans="1:40" ht="16" x14ac:dyDescent="0.2">
      <c r="A86" s="21" t="s">
        <v>55</v>
      </c>
      <c r="B86" s="41">
        <v>18.571428571428569</v>
      </c>
      <c r="C86" s="41">
        <v>0.3571428571428571</v>
      </c>
      <c r="D86" s="27" t="s">
        <v>25</v>
      </c>
      <c r="E86" s="10">
        <v>25</v>
      </c>
      <c r="F86" s="10">
        <v>54</v>
      </c>
      <c r="G86">
        <f>(32-E86)/32*100</f>
        <v>21.875</v>
      </c>
      <c r="H86">
        <f>(36-F86)/36*100</f>
        <v>-50</v>
      </c>
      <c r="I86" t="b">
        <f>G86&gt;=35</f>
        <v>0</v>
      </c>
      <c r="J86" t="b">
        <f>H86&gt;=50</f>
        <v>0</v>
      </c>
      <c r="K86" s="23">
        <v>54</v>
      </c>
      <c r="L86" s="8">
        <f>K86/224</f>
        <v>0.24107142857142858</v>
      </c>
      <c r="M86">
        <v>3</v>
      </c>
      <c r="N86" s="8">
        <f>M86/448</f>
        <v>6.6964285714285711E-3</v>
      </c>
      <c r="O86">
        <v>1</v>
      </c>
      <c r="P86" s="8">
        <f>O86/713</f>
        <v>1.4025245441795231E-3</v>
      </c>
      <c r="Q86">
        <v>3</v>
      </c>
      <c r="R86" s="8">
        <f>Q86/1636</f>
        <v>1.8337408312958435E-3</v>
      </c>
      <c r="S86">
        <v>8</v>
      </c>
      <c r="T86" s="8">
        <f>S86/1264</f>
        <v>6.3291139240506328E-3</v>
      </c>
      <c r="U86">
        <v>0</v>
      </c>
      <c r="V86" s="8">
        <f>U86/1505</f>
        <v>0</v>
      </c>
      <c r="W86">
        <v>2</v>
      </c>
      <c r="X86" s="8">
        <f>W86/65</f>
        <v>3.0769230769230771E-2</v>
      </c>
      <c r="Y86">
        <v>0</v>
      </c>
      <c r="Z86" s="8">
        <f>Y86/12</f>
        <v>0</v>
      </c>
      <c r="AA86">
        <v>13</v>
      </c>
      <c r="AB86" s="8">
        <f>AA86/135</f>
        <v>9.6296296296296297E-2</v>
      </c>
      <c r="AC86">
        <v>0</v>
      </c>
      <c r="AD86" s="8">
        <f>AC86/17</f>
        <v>0</v>
      </c>
      <c r="AE86">
        <v>0</v>
      </c>
      <c r="AF86" s="8">
        <f>AE86/87</f>
        <v>0</v>
      </c>
      <c r="AG86">
        <v>0</v>
      </c>
      <c r="AH86" s="8">
        <f>AG86/633</f>
        <v>0</v>
      </c>
      <c r="AI86" s="39">
        <v>2</v>
      </c>
      <c r="AJ86" s="39">
        <v>0</v>
      </c>
      <c r="AK86">
        <f>AI86/'Total Fiber Count'!H$6</f>
        <v>1.2578616352201259E-2</v>
      </c>
      <c r="AL86">
        <f>AJ86/'Total Fiber Count'!O$6</f>
        <v>0</v>
      </c>
      <c r="AM86" s="10">
        <v>0.3</v>
      </c>
      <c r="AN86">
        <v>0.3</v>
      </c>
    </row>
    <row r="87" spans="1:40" ht="16" x14ac:dyDescent="0.2">
      <c r="A87" s="21" t="s">
        <v>55</v>
      </c>
      <c r="B87" s="41">
        <v>27.142857142857139</v>
      </c>
      <c r="C87" s="41">
        <v>0.5219780219780219</v>
      </c>
      <c r="D87" s="27" t="s">
        <v>25</v>
      </c>
      <c r="E87" s="10">
        <v>19</v>
      </c>
      <c r="F87" s="10">
        <v>41</v>
      </c>
      <c r="G87">
        <f>(32-E87)/32*100</f>
        <v>40.625</v>
      </c>
      <c r="H87">
        <f>(36-F87)/36*100</f>
        <v>-13.888888888888889</v>
      </c>
      <c r="I87" t="b">
        <f>G87&gt;=35</f>
        <v>1</v>
      </c>
      <c r="J87" t="b">
        <f>H87&gt;=50</f>
        <v>0</v>
      </c>
      <c r="K87" s="23">
        <v>54</v>
      </c>
      <c r="L87" s="8">
        <f>K87/224</f>
        <v>0.24107142857142858</v>
      </c>
      <c r="M87">
        <v>3</v>
      </c>
      <c r="N87" s="8">
        <f>M87/448</f>
        <v>6.6964285714285711E-3</v>
      </c>
      <c r="O87">
        <v>1</v>
      </c>
      <c r="P87" s="8">
        <f>O87/713</f>
        <v>1.4025245441795231E-3</v>
      </c>
      <c r="Q87">
        <v>3</v>
      </c>
      <c r="R87" s="8">
        <f>Q87/1636</f>
        <v>1.8337408312958435E-3</v>
      </c>
      <c r="S87">
        <v>8</v>
      </c>
      <c r="T87" s="8">
        <f>S87/1264</f>
        <v>6.3291139240506328E-3</v>
      </c>
      <c r="U87">
        <v>0</v>
      </c>
      <c r="V87" s="8">
        <f>U87/1505</f>
        <v>0</v>
      </c>
      <c r="W87">
        <v>2</v>
      </c>
      <c r="X87" s="8">
        <f>W87/65</f>
        <v>3.0769230769230771E-2</v>
      </c>
      <c r="Y87">
        <v>0</v>
      </c>
      <c r="Z87" s="8">
        <f>Y87/12</f>
        <v>0</v>
      </c>
      <c r="AA87">
        <v>13</v>
      </c>
      <c r="AB87" s="8">
        <f>AA87/135</f>
        <v>9.6296296296296297E-2</v>
      </c>
      <c r="AC87">
        <v>0</v>
      </c>
      <c r="AD87" s="8">
        <f>AC87/17</f>
        <v>0</v>
      </c>
      <c r="AE87">
        <v>0</v>
      </c>
      <c r="AF87" s="8">
        <f>AE87/87</f>
        <v>0</v>
      </c>
      <c r="AG87">
        <v>0</v>
      </c>
      <c r="AH87" s="8">
        <f>AG87/633</f>
        <v>0</v>
      </c>
      <c r="AI87" s="39">
        <v>2</v>
      </c>
      <c r="AJ87" s="39">
        <v>0</v>
      </c>
      <c r="AK87">
        <f>AI87/'Total Fiber Count'!H$6</f>
        <v>1.2578616352201259E-2</v>
      </c>
      <c r="AL87">
        <f>AJ87/'Total Fiber Count'!O$6</f>
        <v>0</v>
      </c>
      <c r="AM87" s="10">
        <v>0.42</v>
      </c>
      <c r="AN87">
        <v>0.26674570243034973</v>
      </c>
    </row>
    <row r="88" spans="1:40" ht="16" x14ac:dyDescent="0.2">
      <c r="A88" s="21" t="s">
        <v>55</v>
      </c>
      <c r="B88" s="41">
        <v>39.857142857142854</v>
      </c>
      <c r="C88" s="41">
        <v>0.76648351648351642</v>
      </c>
      <c r="D88" s="27" t="s">
        <v>25</v>
      </c>
      <c r="E88" s="10">
        <v>24</v>
      </c>
      <c r="F88" s="10">
        <v>45</v>
      </c>
      <c r="G88">
        <f>(32-E88)/32*100</f>
        <v>25</v>
      </c>
      <c r="H88">
        <f>(36-F88)/36*100</f>
        <v>-25</v>
      </c>
      <c r="I88" t="b">
        <f>G88&gt;=35</f>
        <v>0</v>
      </c>
      <c r="J88" t="b">
        <f>H88&gt;=50</f>
        <v>0</v>
      </c>
      <c r="K88" s="23">
        <v>54</v>
      </c>
      <c r="L88" s="8">
        <f>K88/224</f>
        <v>0.24107142857142858</v>
      </c>
      <c r="M88">
        <v>3</v>
      </c>
      <c r="N88" s="8">
        <f>M88/448</f>
        <v>6.6964285714285711E-3</v>
      </c>
      <c r="O88">
        <v>1</v>
      </c>
      <c r="P88" s="8">
        <f>O88/713</f>
        <v>1.4025245441795231E-3</v>
      </c>
      <c r="Q88">
        <v>3</v>
      </c>
      <c r="R88" s="8">
        <f>Q88/1636</f>
        <v>1.8337408312958435E-3</v>
      </c>
      <c r="S88">
        <v>8</v>
      </c>
      <c r="T88" s="8">
        <f>S88/1264</f>
        <v>6.3291139240506328E-3</v>
      </c>
      <c r="U88">
        <v>0</v>
      </c>
      <c r="V88" s="8">
        <f>U88/1505</f>
        <v>0</v>
      </c>
      <c r="W88">
        <v>2</v>
      </c>
      <c r="X88" s="8">
        <f>W88/65</f>
        <v>3.0769230769230771E-2</v>
      </c>
      <c r="Y88">
        <v>0</v>
      </c>
      <c r="Z88" s="8">
        <f>Y88/12</f>
        <v>0</v>
      </c>
      <c r="AA88">
        <v>13</v>
      </c>
      <c r="AB88" s="8">
        <f>AA88/135</f>
        <v>9.6296296296296297E-2</v>
      </c>
      <c r="AC88">
        <v>0</v>
      </c>
      <c r="AD88" s="8">
        <f>AC88/17</f>
        <v>0</v>
      </c>
      <c r="AE88">
        <v>0</v>
      </c>
      <c r="AF88" s="8">
        <f>AE88/87</f>
        <v>0</v>
      </c>
      <c r="AG88">
        <v>0</v>
      </c>
      <c r="AH88" s="8">
        <f>AG88/633</f>
        <v>0</v>
      </c>
      <c r="AI88" s="39">
        <v>2</v>
      </c>
      <c r="AJ88" s="39">
        <v>0</v>
      </c>
      <c r="AK88">
        <f>AI88/'Total Fiber Count'!H$6</f>
        <v>1.2578616352201259E-2</v>
      </c>
      <c r="AL88">
        <f>AJ88/'Total Fiber Count'!O$6</f>
        <v>0</v>
      </c>
      <c r="AM88" s="10">
        <v>0.42</v>
      </c>
      <c r="AN88">
        <v>0.3</v>
      </c>
    </row>
    <row r="89" spans="1:40" ht="16" x14ac:dyDescent="0.2">
      <c r="A89" s="21" t="s">
        <v>55</v>
      </c>
      <c r="B89" s="41">
        <v>57.714285714285708</v>
      </c>
      <c r="C89" s="41">
        <v>1.1098901098901097</v>
      </c>
      <c r="D89" s="27" t="s">
        <v>25</v>
      </c>
      <c r="E89" s="10">
        <v>27</v>
      </c>
      <c r="F89" s="10">
        <v>43</v>
      </c>
      <c r="G89">
        <f>(32-E89)/32*100</f>
        <v>15.625</v>
      </c>
      <c r="H89">
        <f>(36-F89)/36*100</f>
        <v>-19.444444444444446</v>
      </c>
      <c r="I89" t="b">
        <f>G89&gt;=35</f>
        <v>0</v>
      </c>
      <c r="J89" t="b">
        <f>H89&gt;=50</f>
        <v>0</v>
      </c>
      <c r="K89" s="23">
        <v>88</v>
      </c>
      <c r="L89" s="8">
        <f>K89/224</f>
        <v>0.39285714285714285</v>
      </c>
      <c r="M89" s="23" t="s">
        <v>28</v>
      </c>
      <c r="N89" s="8">
        <v>0</v>
      </c>
      <c r="O89">
        <v>6</v>
      </c>
      <c r="P89" s="8">
        <f>O89/713</f>
        <v>8.4151472650771386E-3</v>
      </c>
      <c r="Q89" s="23" t="s">
        <v>28</v>
      </c>
      <c r="R89" s="8">
        <v>0</v>
      </c>
      <c r="S89">
        <v>19</v>
      </c>
      <c r="T89" s="8">
        <f>S89/1264</f>
        <v>1.5031645569620253E-2</v>
      </c>
      <c r="U89" s="23" t="s">
        <v>28</v>
      </c>
      <c r="V89" s="8">
        <v>0</v>
      </c>
      <c r="W89">
        <v>10</v>
      </c>
      <c r="X89" s="8">
        <f>W89/65</f>
        <v>0.15384615384615385</v>
      </c>
      <c r="Y89" s="23" t="s">
        <v>28</v>
      </c>
      <c r="Z89" s="8">
        <v>0</v>
      </c>
      <c r="AA89">
        <v>26</v>
      </c>
      <c r="AB89" s="8">
        <f>AA89/135</f>
        <v>0.19259259259259259</v>
      </c>
      <c r="AC89" s="23" t="s">
        <v>28</v>
      </c>
      <c r="AD89" s="8">
        <v>0</v>
      </c>
      <c r="AE89">
        <v>0</v>
      </c>
      <c r="AF89" s="8">
        <f>AE89/87</f>
        <v>0</v>
      </c>
      <c r="AG89">
        <v>0</v>
      </c>
      <c r="AH89" s="8">
        <f>AG89/633</f>
        <v>0</v>
      </c>
      <c r="AI89" s="39">
        <v>3</v>
      </c>
      <c r="AJ89" s="39" t="s">
        <v>28</v>
      </c>
      <c r="AK89">
        <f>AI89/'Total Fiber Count'!H$6</f>
        <v>1.8867924528301886E-2</v>
      </c>
      <c r="AL89">
        <v>0</v>
      </c>
      <c r="AM89" s="10">
        <v>0.54</v>
      </c>
      <c r="AN89">
        <v>0</v>
      </c>
    </row>
    <row r="90" spans="1:40" ht="16" x14ac:dyDescent="0.2">
      <c r="A90" s="21" t="s">
        <v>55</v>
      </c>
      <c r="B90" s="41">
        <v>59.999999999999993</v>
      </c>
      <c r="C90" s="41">
        <v>1.1538461538461537</v>
      </c>
      <c r="D90" s="27" t="s">
        <v>25</v>
      </c>
      <c r="E90" s="10">
        <v>27</v>
      </c>
      <c r="F90" s="10">
        <v>43</v>
      </c>
      <c r="G90">
        <f>(32-E90)/32*100</f>
        <v>15.625</v>
      </c>
      <c r="H90">
        <f>(36-F90)/36*100</f>
        <v>-19.444444444444446</v>
      </c>
      <c r="I90" t="b">
        <f>G90&gt;=35</f>
        <v>0</v>
      </c>
      <c r="J90" t="b">
        <f>H90&gt;=50</f>
        <v>0</v>
      </c>
      <c r="K90" s="23">
        <v>48</v>
      </c>
      <c r="L90" s="8">
        <f>K90/224</f>
        <v>0.21428571428571427</v>
      </c>
      <c r="M90" s="23" t="s">
        <v>28</v>
      </c>
      <c r="N90" s="8">
        <v>0</v>
      </c>
      <c r="O90">
        <v>0</v>
      </c>
      <c r="P90" s="8">
        <f>O90/713</f>
        <v>0</v>
      </c>
      <c r="Q90" s="23" t="s">
        <v>28</v>
      </c>
      <c r="R90" s="8">
        <v>0</v>
      </c>
      <c r="S90">
        <v>1</v>
      </c>
      <c r="T90" s="8">
        <f>S90/1264</f>
        <v>7.911392405063291E-4</v>
      </c>
      <c r="U90" s="23" t="s">
        <v>28</v>
      </c>
      <c r="V90" s="8">
        <v>0</v>
      </c>
      <c r="W90">
        <v>2</v>
      </c>
      <c r="X90" s="8">
        <f>W90/65</f>
        <v>3.0769230769230771E-2</v>
      </c>
      <c r="Y90" s="23" t="s">
        <v>28</v>
      </c>
      <c r="Z90" s="8">
        <v>0</v>
      </c>
      <c r="AA90">
        <v>14</v>
      </c>
      <c r="AB90" s="8">
        <f>AA90/135</f>
        <v>0.1037037037037037</v>
      </c>
      <c r="AC90" s="23" t="s">
        <v>28</v>
      </c>
      <c r="AD90" s="8">
        <v>0</v>
      </c>
      <c r="AE90">
        <v>0</v>
      </c>
      <c r="AF90" s="8">
        <f>AE90/87</f>
        <v>0</v>
      </c>
      <c r="AG90">
        <v>0</v>
      </c>
      <c r="AH90" s="8">
        <f>AG90/633</f>
        <v>0</v>
      </c>
      <c r="AI90" s="39">
        <v>2</v>
      </c>
      <c r="AJ90" s="39" t="s">
        <v>28</v>
      </c>
      <c r="AK90">
        <f>AI90/'Total Fiber Count'!H$6</f>
        <v>1.2578616352201259E-2</v>
      </c>
      <c r="AL90">
        <v>0</v>
      </c>
      <c r="AM90" s="10">
        <v>0.48</v>
      </c>
      <c r="AN90">
        <v>0</v>
      </c>
    </row>
    <row r="91" spans="1:40" ht="16" x14ac:dyDescent="0.2">
      <c r="A91" s="21" t="s">
        <v>55</v>
      </c>
      <c r="B91" s="41">
        <v>60.142857142857139</v>
      </c>
      <c r="C91" s="41">
        <v>1.1565934065934065</v>
      </c>
      <c r="D91" s="27" t="s">
        <v>25</v>
      </c>
      <c r="E91" s="10">
        <v>22</v>
      </c>
      <c r="F91" s="10">
        <v>46</v>
      </c>
      <c r="G91">
        <f>(32-E91)/32*100</f>
        <v>31.25</v>
      </c>
      <c r="H91">
        <f>(36-F91)/36*100</f>
        <v>-27.777777777777779</v>
      </c>
      <c r="I91" t="b">
        <f>G91&gt;=35</f>
        <v>0</v>
      </c>
      <c r="J91" t="b">
        <f>H91&gt;=50</f>
        <v>0</v>
      </c>
      <c r="K91" s="23">
        <v>48</v>
      </c>
      <c r="L91" s="8">
        <f>K91/224</f>
        <v>0.21428571428571427</v>
      </c>
      <c r="M91">
        <v>123</v>
      </c>
      <c r="N91" s="8">
        <f>M91/448</f>
        <v>0.27455357142857145</v>
      </c>
      <c r="O91">
        <v>0</v>
      </c>
      <c r="P91" s="8">
        <f>O91/713</f>
        <v>0</v>
      </c>
      <c r="Q91">
        <v>14</v>
      </c>
      <c r="R91" s="8">
        <f>Q91/1636</f>
        <v>8.557457212713936E-3</v>
      </c>
      <c r="S91">
        <v>1</v>
      </c>
      <c r="T91" s="8">
        <f>S91/1264</f>
        <v>7.911392405063291E-4</v>
      </c>
      <c r="U91">
        <v>2</v>
      </c>
      <c r="V91" s="8">
        <f>U91/1505</f>
        <v>1.3289036544850499E-3</v>
      </c>
      <c r="W91">
        <v>2</v>
      </c>
      <c r="X91" s="8">
        <f>W91/65</f>
        <v>3.0769230769230771E-2</v>
      </c>
      <c r="Y91">
        <v>4</v>
      </c>
      <c r="Z91" s="8">
        <f>Y91/12</f>
        <v>0.33333333333333331</v>
      </c>
      <c r="AA91">
        <v>14</v>
      </c>
      <c r="AB91" s="8">
        <f>AA91/135</f>
        <v>0.1037037037037037</v>
      </c>
      <c r="AC91">
        <v>7</v>
      </c>
      <c r="AD91" s="8">
        <f>AC91/17</f>
        <v>0.41176470588235292</v>
      </c>
      <c r="AE91">
        <v>0</v>
      </c>
      <c r="AF91" s="8">
        <f>AE91/87</f>
        <v>0</v>
      </c>
      <c r="AG91">
        <v>0</v>
      </c>
      <c r="AH91" s="8">
        <f>AG91/633</f>
        <v>0</v>
      </c>
      <c r="AI91" s="39">
        <v>2</v>
      </c>
      <c r="AJ91" s="39">
        <v>1</v>
      </c>
      <c r="AK91">
        <f>AI91/'Total Fiber Count'!H$6</f>
        <v>1.2578616352201259E-2</v>
      </c>
      <c r="AL91">
        <f>AJ91/'Total Fiber Count'!O$6</f>
        <v>6.3291139240506328E-3</v>
      </c>
      <c r="AM91" s="10">
        <v>0.48</v>
      </c>
      <c r="AN91">
        <v>0.18</v>
      </c>
    </row>
    <row r="92" spans="1:40" ht="16" x14ac:dyDescent="0.2">
      <c r="A92" s="21" t="s">
        <v>55</v>
      </c>
      <c r="B92" s="41">
        <v>73</v>
      </c>
      <c r="C92" s="41">
        <v>1.4038461538461537</v>
      </c>
      <c r="D92" s="27" t="s">
        <v>25</v>
      </c>
      <c r="E92" s="10">
        <v>22</v>
      </c>
      <c r="F92" s="10">
        <v>12</v>
      </c>
      <c r="G92">
        <f>(32-E92)/32*100</f>
        <v>31.25</v>
      </c>
      <c r="H92">
        <f>(36-F92)/36*100</f>
        <v>66.666666666666657</v>
      </c>
      <c r="I92" t="b">
        <f>G92&gt;=35</f>
        <v>0</v>
      </c>
      <c r="J92" t="b">
        <f>H92&gt;=50</f>
        <v>1</v>
      </c>
      <c r="K92" s="23">
        <v>48</v>
      </c>
      <c r="L92" s="8">
        <f>K92/224</f>
        <v>0.21428571428571427</v>
      </c>
      <c r="M92">
        <v>100</v>
      </c>
      <c r="N92" s="8">
        <f>M92/448</f>
        <v>0.22321428571428573</v>
      </c>
      <c r="O92">
        <v>0</v>
      </c>
      <c r="P92" s="8">
        <f>O92/713</f>
        <v>0</v>
      </c>
      <c r="Q92">
        <v>9</v>
      </c>
      <c r="R92" s="8">
        <f>Q92/1636</f>
        <v>5.5012224938875308E-3</v>
      </c>
      <c r="S92">
        <v>1</v>
      </c>
      <c r="T92" s="8">
        <f>S92/1264</f>
        <v>7.911392405063291E-4</v>
      </c>
      <c r="U92">
        <v>2</v>
      </c>
      <c r="V92" s="8">
        <f>U92/1505</f>
        <v>1.3289036544850499E-3</v>
      </c>
      <c r="W92">
        <v>2</v>
      </c>
      <c r="X92" s="8">
        <f>W92/65</f>
        <v>3.0769230769230771E-2</v>
      </c>
      <c r="Y92">
        <v>4</v>
      </c>
      <c r="Z92" s="8">
        <f>Y92/12</f>
        <v>0.33333333333333331</v>
      </c>
      <c r="AA92">
        <v>14</v>
      </c>
      <c r="AB92" s="8">
        <f>AA92/135</f>
        <v>0.1037037037037037</v>
      </c>
      <c r="AC92">
        <v>6</v>
      </c>
      <c r="AD92" s="8">
        <f>AC92/17</f>
        <v>0.35294117647058826</v>
      </c>
      <c r="AE92">
        <v>0</v>
      </c>
      <c r="AF92" s="8">
        <f>AE92/87</f>
        <v>0</v>
      </c>
      <c r="AG92">
        <v>0</v>
      </c>
      <c r="AH92" s="8">
        <f>AG92/633</f>
        <v>0</v>
      </c>
      <c r="AI92" s="39">
        <v>2</v>
      </c>
      <c r="AJ92" s="39">
        <v>1</v>
      </c>
      <c r="AK92">
        <f>AI92/'Total Fiber Count'!H$6</f>
        <v>1.2578616352201259E-2</v>
      </c>
      <c r="AL92">
        <f>AJ92/'Total Fiber Count'!O$6</f>
        <v>6.3291139240506328E-3</v>
      </c>
      <c r="AM92" s="10">
        <v>0.48</v>
      </c>
      <c r="AN92">
        <v>0.16028495102404275</v>
      </c>
    </row>
    <row r="93" spans="1:40" ht="16" x14ac:dyDescent="0.2">
      <c r="A93" s="21" t="s">
        <v>55</v>
      </c>
      <c r="B93" s="41">
        <v>95.428571428571431</v>
      </c>
      <c r="C93" s="41">
        <v>1.8351648351648353</v>
      </c>
      <c r="D93" s="27" t="s">
        <v>25</v>
      </c>
      <c r="E93" s="10">
        <v>27</v>
      </c>
      <c r="F93" s="10">
        <v>45</v>
      </c>
      <c r="G93">
        <f>(32-E93)/32*100</f>
        <v>15.625</v>
      </c>
      <c r="H93">
        <f>(36-F93)/36*100</f>
        <v>-25</v>
      </c>
      <c r="I93" t="b">
        <f>G93&gt;=35</f>
        <v>0</v>
      </c>
      <c r="J93" t="b">
        <f>H93&gt;=50</f>
        <v>0</v>
      </c>
      <c r="K93" s="23">
        <v>48</v>
      </c>
      <c r="L93" s="8">
        <f>K93/224</f>
        <v>0.21428571428571427</v>
      </c>
      <c r="M93">
        <v>100</v>
      </c>
      <c r="N93" s="8">
        <f>M93/448</f>
        <v>0.22321428571428573</v>
      </c>
      <c r="O93">
        <v>0</v>
      </c>
      <c r="P93" s="8">
        <f>O93/713</f>
        <v>0</v>
      </c>
      <c r="Q93">
        <v>9</v>
      </c>
      <c r="R93" s="8">
        <f>Q93/1636</f>
        <v>5.5012224938875308E-3</v>
      </c>
      <c r="S93">
        <v>1</v>
      </c>
      <c r="T93" s="8">
        <f>S93/1264</f>
        <v>7.911392405063291E-4</v>
      </c>
      <c r="U93">
        <v>2</v>
      </c>
      <c r="V93" s="8">
        <f>U93/1505</f>
        <v>1.3289036544850499E-3</v>
      </c>
      <c r="W93">
        <v>2</v>
      </c>
      <c r="X93" s="8">
        <f>W93/65</f>
        <v>3.0769230769230771E-2</v>
      </c>
      <c r="Y93">
        <v>4</v>
      </c>
      <c r="Z93" s="8">
        <f>Y93/12</f>
        <v>0.33333333333333331</v>
      </c>
      <c r="AA93">
        <v>14</v>
      </c>
      <c r="AB93" s="8">
        <f>AA93/135</f>
        <v>0.1037037037037037</v>
      </c>
      <c r="AC93">
        <v>6</v>
      </c>
      <c r="AD93" s="8">
        <f>AC93/17</f>
        <v>0.35294117647058826</v>
      </c>
      <c r="AE93">
        <v>0</v>
      </c>
      <c r="AF93" s="8">
        <f>AE93/87</f>
        <v>0</v>
      </c>
      <c r="AG93">
        <v>0</v>
      </c>
      <c r="AH93" s="8">
        <f>AG93/633</f>
        <v>0</v>
      </c>
      <c r="AI93" s="39">
        <v>2</v>
      </c>
      <c r="AJ93" s="39">
        <v>1</v>
      </c>
      <c r="AK93">
        <f>AI93/'Total Fiber Count'!H$6</f>
        <v>1.2578616352201259E-2</v>
      </c>
      <c r="AL93">
        <f>AJ93/'Total Fiber Count'!O$6</f>
        <v>6.3291139240506328E-3</v>
      </c>
      <c r="AM93" s="10">
        <v>0.72</v>
      </c>
      <c r="AN93">
        <v>0.15280135823429541</v>
      </c>
    </row>
    <row r="94" spans="1:40" ht="16" x14ac:dyDescent="0.2">
      <c r="A94" s="21" t="s">
        <v>55</v>
      </c>
      <c r="B94" s="41">
        <v>98.857142857142861</v>
      </c>
      <c r="C94" s="41">
        <v>1.9010989010989012</v>
      </c>
      <c r="D94" s="27" t="s">
        <v>25</v>
      </c>
      <c r="E94" s="10">
        <v>26</v>
      </c>
      <c r="F94" s="10">
        <v>45</v>
      </c>
      <c r="G94">
        <f>(32-E94)/32*100</f>
        <v>18.75</v>
      </c>
      <c r="H94">
        <f>(36-F94)/36*100</f>
        <v>-25</v>
      </c>
      <c r="I94" t="b">
        <f>G94&gt;=35</f>
        <v>0</v>
      </c>
      <c r="J94" t="b">
        <f>H94&gt;=50</f>
        <v>0</v>
      </c>
      <c r="K94" s="23">
        <v>48</v>
      </c>
      <c r="L94" s="8">
        <f>K94/224</f>
        <v>0.21428571428571427</v>
      </c>
      <c r="M94">
        <v>101</v>
      </c>
      <c r="N94" s="8">
        <f>M94/448</f>
        <v>0.22544642857142858</v>
      </c>
      <c r="O94">
        <v>0</v>
      </c>
      <c r="P94" s="8">
        <f>O94/713</f>
        <v>0</v>
      </c>
      <c r="Q94">
        <v>9</v>
      </c>
      <c r="R94" s="8">
        <f>Q94/1636</f>
        <v>5.5012224938875308E-3</v>
      </c>
      <c r="S94">
        <v>1</v>
      </c>
      <c r="T94" s="8">
        <f>S94/1264</f>
        <v>7.911392405063291E-4</v>
      </c>
      <c r="U94">
        <v>2</v>
      </c>
      <c r="V94" s="8">
        <f>U94/1505</f>
        <v>1.3289036544850499E-3</v>
      </c>
      <c r="W94">
        <v>2</v>
      </c>
      <c r="X94" s="8">
        <f>W94/65</f>
        <v>3.0769230769230771E-2</v>
      </c>
      <c r="Y94">
        <v>4</v>
      </c>
      <c r="Z94" s="8">
        <f>Y94/12</f>
        <v>0.33333333333333331</v>
      </c>
      <c r="AA94">
        <v>14</v>
      </c>
      <c r="AB94" s="8">
        <f>AA94/135</f>
        <v>0.1037037037037037</v>
      </c>
      <c r="AC94">
        <v>6</v>
      </c>
      <c r="AD94" s="8">
        <f>AC94/17</f>
        <v>0.35294117647058826</v>
      </c>
      <c r="AE94">
        <v>0</v>
      </c>
      <c r="AF94" s="8">
        <f>AE94/87</f>
        <v>0</v>
      </c>
      <c r="AG94">
        <v>0</v>
      </c>
      <c r="AH94" s="8">
        <f>AG94/633</f>
        <v>0</v>
      </c>
      <c r="AI94" s="39">
        <v>2</v>
      </c>
      <c r="AJ94" s="39">
        <v>1</v>
      </c>
      <c r="AK94">
        <f>AI94/'Total Fiber Count'!H$6</f>
        <v>1.2578616352201259E-2</v>
      </c>
      <c r="AL94">
        <f>AJ94/'Total Fiber Count'!O$6</f>
        <v>6.3291139240506328E-3</v>
      </c>
      <c r="AM94" s="10">
        <v>0.72</v>
      </c>
      <c r="AN94">
        <v>0.15000000000000002</v>
      </c>
    </row>
    <row r="95" spans="1:40" ht="16" x14ac:dyDescent="0.2">
      <c r="A95" s="21" t="s">
        <v>55</v>
      </c>
      <c r="B95" s="41">
        <v>110.71428571428572</v>
      </c>
      <c r="C95" s="41">
        <v>2.1291208791208791</v>
      </c>
      <c r="D95" s="27" t="s">
        <v>25</v>
      </c>
      <c r="E95" s="10" t="s">
        <v>36</v>
      </c>
      <c r="F95" s="10" t="s">
        <v>36</v>
      </c>
      <c r="G95" t="s">
        <v>36</v>
      </c>
      <c r="H95" t="s">
        <v>36</v>
      </c>
      <c r="I95" s="36" t="s">
        <v>36</v>
      </c>
      <c r="J95" t="s">
        <v>36</v>
      </c>
      <c r="K95" s="23">
        <v>48</v>
      </c>
      <c r="L95" s="8">
        <f>K95/224</f>
        <v>0.21428571428571427</v>
      </c>
      <c r="M95">
        <v>101</v>
      </c>
      <c r="N95" s="8">
        <f>M95/448</f>
        <v>0.22544642857142858</v>
      </c>
      <c r="O95">
        <v>0</v>
      </c>
      <c r="P95" s="8">
        <f>O95/713</f>
        <v>0</v>
      </c>
      <c r="Q95">
        <v>9</v>
      </c>
      <c r="R95" s="8">
        <f>Q95/1636</f>
        <v>5.5012224938875308E-3</v>
      </c>
      <c r="S95">
        <v>1</v>
      </c>
      <c r="T95" s="8">
        <f>S95/1264</f>
        <v>7.911392405063291E-4</v>
      </c>
      <c r="U95">
        <v>2</v>
      </c>
      <c r="V95" s="8">
        <f>U95/1505</f>
        <v>1.3289036544850499E-3</v>
      </c>
      <c r="W95">
        <v>2</v>
      </c>
      <c r="X95" s="8">
        <f>W95/65</f>
        <v>3.0769230769230771E-2</v>
      </c>
      <c r="Y95">
        <v>4</v>
      </c>
      <c r="Z95" s="8">
        <f>Y95/12</f>
        <v>0.33333333333333331</v>
      </c>
      <c r="AA95">
        <v>14</v>
      </c>
      <c r="AB95" s="8">
        <f>AA95/135</f>
        <v>0.1037037037037037</v>
      </c>
      <c r="AC95">
        <v>6</v>
      </c>
      <c r="AD95" s="8">
        <f>AC95/17</f>
        <v>0.35294117647058826</v>
      </c>
      <c r="AE95">
        <v>0</v>
      </c>
      <c r="AF95" s="8">
        <f>AE95/87</f>
        <v>0</v>
      </c>
      <c r="AG95">
        <v>0</v>
      </c>
      <c r="AH95" s="8">
        <f>AG95/633</f>
        <v>0</v>
      </c>
      <c r="AI95" s="39">
        <v>2</v>
      </c>
      <c r="AJ95" s="39">
        <v>1</v>
      </c>
      <c r="AK95">
        <f>AI95/'Total Fiber Count'!H$6</f>
        <v>1.2578616352201259E-2</v>
      </c>
      <c r="AL95">
        <f>AJ95/'Total Fiber Count'!O$6</f>
        <v>6.3291139240506328E-3</v>
      </c>
      <c r="AM95" s="10">
        <v>0.72</v>
      </c>
      <c r="AN95">
        <v>0.1676602086438152</v>
      </c>
    </row>
    <row r="96" spans="1:40" ht="16" x14ac:dyDescent="0.2">
      <c r="A96" s="16" t="s">
        <v>56</v>
      </c>
      <c r="B96" s="41">
        <v>0</v>
      </c>
      <c r="C96" s="41">
        <v>0</v>
      </c>
      <c r="D96" s="9" t="s">
        <v>25</v>
      </c>
      <c r="E96" s="10">
        <v>36</v>
      </c>
      <c r="F96" s="10">
        <v>43</v>
      </c>
      <c r="G96" s="12">
        <f>(38-E96)/38*100</f>
        <v>5.2631578947368416</v>
      </c>
      <c r="H96" s="12">
        <f>(40-F96)/40*100</f>
        <v>-7.5</v>
      </c>
      <c r="I96" t="b">
        <f>G96&gt;=35</f>
        <v>0</v>
      </c>
      <c r="J96" t="b">
        <f>H96&gt;=50</f>
        <v>0</v>
      </c>
      <c r="K96" s="17">
        <v>110</v>
      </c>
      <c r="L96" s="19">
        <f>K96/381</f>
        <v>0.28871391076115488</v>
      </c>
      <c r="M96" s="17">
        <v>61</v>
      </c>
      <c r="N96" s="19">
        <f>M96/516</f>
        <v>0.11821705426356589</v>
      </c>
      <c r="O96" s="17">
        <v>1</v>
      </c>
      <c r="P96" s="19">
        <f>O96/780</f>
        <v>1.2820512820512821E-3</v>
      </c>
      <c r="Q96" s="17">
        <v>0</v>
      </c>
      <c r="R96" s="20">
        <f>Q96/592</f>
        <v>0</v>
      </c>
      <c r="S96" s="17">
        <v>1</v>
      </c>
      <c r="T96" s="20">
        <f>S96/1709</f>
        <v>5.8513750731421885E-4</v>
      </c>
      <c r="U96" s="17">
        <v>1</v>
      </c>
      <c r="V96" s="20">
        <f>U96/2365</f>
        <v>4.2283298097251583E-4</v>
      </c>
      <c r="W96" s="17">
        <v>14</v>
      </c>
      <c r="X96" s="20">
        <f>W96/75</f>
        <v>0.18666666666666668</v>
      </c>
      <c r="Y96" s="17">
        <v>42</v>
      </c>
      <c r="Z96" s="20">
        <f>Y96/101</f>
        <v>0.41584158415841582</v>
      </c>
      <c r="AA96" s="17">
        <v>49</v>
      </c>
      <c r="AB96" s="20">
        <f>AA96/180</f>
        <v>0.2722222222222222</v>
      </c>
      <c r="AC96" s="17">
        <v>39</v>
      </c>
      <c r="AD96" s="19">
        <f>AC96/248</f>
        <v>0.15725806451612903</v>
      </c>
      <c r="AE96" s="17">
        <v>0</v>
      </c>
      <c r="AF96" s="20">
        <f>AE96/443</f>
        <v>0</v>
      </c>
      <c r="AG96" s="17">
        <v>2</v>
      </c>
      <c r="AH96" s="20">
        <f>AG96/1350</f>
        <v>1.4814814814814814E-3</v>
      </c>
      <c r="AI96" s="39">
        <v>3</v>
      </c>
      <c r="AJ96" s="39">
        <v>0</v>
      </c>
      <c r="AK96">
        <f>AI96/'Total Fiber Count'!H$7</f>
        <v>2.8301886792452831E-2</v>
      </c>
      <c r="AL96">
        <f>AJ96/'Total Fiber Count'!O$7</f>
        <v>0</v>
      </c>
      <c r="AM96">
        <v>0.12959999999999999</v>
      </c>
      <c r="AN96">
        <v>0.12145414486367391</v>
      </c>
    </row>
    <row r="97" spans="1:40" ht="16" x14ac:dyDescent="0.2">
      <c r="A97" s="16" t="s">
        <v>56</v>
      </c>
      <c r="B97" s="41">
        <v>0.14285714285714285</v>
      </c>
      <c r="C97" s="41">
        <v>2.747252747252747E-3</v>
      </c>
      <c r="D97" s="9" t="s">
        <v>25</v>
      </c>
      <c r="E97" s="10">
        <v>27</v>
      </c>
      <c r="F97" s="10">
        <v>27</v>
      </c>
      <c r="G97" s="12">
        <f>(38-E97)/38*100</f>
        <v>28.947368421052634</v>
      </c>
      <c r="H97" s="12">
        <f>(40-F97)/40*100</f>
        <v>32.5</v>
      </c>
      <c r="I97" t="b">
        <f>G97&gt;=35</f>
        <v>0</v>
      </c>
      <c r="J97" t="b">
        <f>H97&gt;=50</f>
        <v>0</v>
      </c>
      <c r="K97" s="17">
        <v>163</v>
      </c>
      <c r="L97" s="19">
        <f>K97/381</f>
        <v>0.42782152230971127</v>
      </c>
      <c r="M97" s="17">
        <v>61</v>
      </c>
      <c r="N97" s="19">
        <f>M97/516</f>
        <v>0.11821705426356589</v>
      </c>
      <c r="O97" s="17">
        <v>9</v>
      </c>
      <c r="P97" s="19">
        <f>O97/780</f>
        <v>1.1538461538461539E-2</v>
      </c>
      <c r="Q97" s="17">
        <v>0</v>
      </c>
      <c r="R97" s="20">
        <f>Q97/592</f>
        <v>0</v>
      </c>
      <c r="S97" s="17">
        <v>1</v>
      </c>
      <c r="T97" s="20">
        <f>S97/1709</f>
        <v>5.8513750731421885E-4</v>
      </c>
      <c r="U97" s="17">
        <v>1</v>
      </c>
      <c r="V97" s="20">
        <f>U97/2365</f>
        <v>4.2283298097251583E-4</v>
      </c>
      <c r="W97" s="17">
        <v>22</v>
      </c>
      <c r="X97" s="20">
        <f>W97/75</f>
        <v>0.29333333333333333</v>
      </c>
      <c r="Y97" s="17">
        <v>42</v>
      </c>
      <c r="Z97" s="20">
        <f>Y97/101</f>
        <v>0.41584158415841582</v>
      </c>
      <c r="AA97" s="17">
        <v>77</v>
      </c>
      <c r="AB97" s="20">
        <f>AA97/180</f>
        <v>0.42777777777777776</v>
      </c>
      <c r="AC97" s="17">
        <v>39</v>
      </c>
      <c r="AD97" s="19">
        <f>AC97/248</f>
        <v>0.15725806451612903</v>
      </c>
      <c r="AE97" s="17">
        <v>0</v>
      </c>
      <c r="AF97" s="20">
        <f>AE97/443</f>
        <v>0</v>
      </c>
      <c r="AG97" s="17">
        <v>2</v>
      </c>
      <c r="AH97" s="20">
        <f>AG97/1350</f>
        <v>1.4814814814814814E-3</v>
      </c>
      <c r="AI97" s="39">
        <v>5</v>
      </c>
      <c r="AJ97" s="39">
        <v>0</v>
      </c>
      <c r="AK97">
        <f>AI97/'Total Fiber Count'!H$7</f>
        <v>4.716981132075472E-2</v>
      </c>
      <c r="AL97">
        <f>AJ97/'Total Fiber Count'!O$7</f>
        <v>0</v>
      </c>
      <c r="AM97">
        <v>0.17729999999999999</v>
      </c>
      <c r="AN97">
        <v>0.34153846153846157</v>
      </c>
    </row>
    <row r="98" spans="1:40" ht="16" x14ac:dyDescent="0.2">
      <c r="A98" s="16" t="s">
        <v>56</v>
      </c>
      <c r="B98" s="41">
        <v>4</v>
      </c>
      <c r="C98" s="41">
        <v>7.6923076923076927E-2</v>
      </c>
      <c r="D98" s="9" t="s">
        <v>25</v>
      </c>
      <c r="E98" s="10">
        <v>28</v>
      </c>
      <c r="F98" s="10">
        <v>25</v>
      </c>
      <c r="G98" s="12">
        <f>(38-E98)/38*100</f>
        <v>26.315789473684209</v>
      </c>
      <c r="H98" s="12">
        <f>(40-F98)/40*100</f>
        <v>37.5</v>
      </c>
      <c r="I98" t="b">
        <f>G98&gt;=35</f>
        <v>0</v>
      </c>
      <c r="J98" t="b">
        <f>H98&gt;=50</f>
        <v>0</v>
      </c>
      <c r="K98" s="17">
        <v>169</v>
      </c>
      <c r="L98" s="19">
        <f>K98/381</f>
        <v>0.44356955380577429</v>
      </c>
      <c r="M98" s="17">
        <v>74</v>
      </c>
      <c r="N98" s="19">
        <f>M98/516</f>
        <v>0.1434108527131783</v>
      </c>
      <c r="O98" s="17">
        <v>9</v>
      </c>
      <c r="P98" s="19">
        <f>O98/780</f>
        <v>1.1538461538461539E-2</v>
      </c>
      <c r="Q98" s="17">
        <v>1</v>
      </c>
      <c r="R98" s="20">
        <f>Q98/592</f>
        <v>1.6891891891891893E-3</v>
      </c>
      <c r="S98" s="17">
        <v>1</v>
      </c>
      <c r="T98" s="20">
        <f>S98/1709</f>
        <v>5.8513750731421885E-4</v>
      </c>
      <c r="U98" s="17">
        <v>1</v>
      </c>
      <c r="V98" s="20">
        <f>U98/2365</f>
        <v>4.2283298097251583E-4</v>
      </c>
      <c r="W98" s="17">
        <v>22</v>
      </c>
      <c r="X98" s="20">
        <f>W98/75</f>
        <v>0.29333333333333333</v>
      </c>
      <c r="Y98" s="17">
        <v>56</v>
      </c>
      <c r="Z98" s="20">
        <f>Y98/101</f>
        <v>0.5544554455445545</v>
      </c>
      <c r="AA98" s="17">
        <v>82</v>
      </c>
      <c r="AB98" s="20">
        <f>AA98/180</f>
        <v>0.45555555555555555</v>
      </c>
      <c r="AC98" s="17">
        <v>47</v>
      </c>
      <c r="AD98" s="19">
        <f>AC98/248</f>
        <v>0.18951612903225806</v>
      </c>
      <c r="AE98" s="17">
        <v>0</v>
      </c>
      <c r="AF98" s="20">
        <f>AE98/443</f>
        <v>0</v>
      </c>
      <c r="AG98" s="17">
        <v>3</v>
      </c>
      <c r="AH98" s="20">
        <f>AG98/1350</f>
        <v>2.2222222222222222E-3</v>
      </c>
      <c r="AI98" s="39">
        <v>5</v>
      </c>
      <c r="AJ98" s="39">
        <v>0</v>
      </c>
      <c r="AK98">
        <f>AI98/'Total Fiber Count'!H$7</f>
        <v>4.716981132075472E-2</v>
      </c>
      <c r="AL98">
        <f>AJ98/'Total Fiber Count'!O$7</f>
        <v>0</v>
      </c>
      <c r="AM98">
        <v>0.29549999999999998</v>
      </c>
      <c r="AN98">
        <v>0.34153846153846157</v>
      </c>
    </row>
    <row r="99" spans="1:40" ht="16" x14ac:dyDescent="0.2">
      <c r="A99" s="16" t="s">
        <v>56</v>
      </c>
      <c r="B99" s="41">
        <v>10</v>
      </c>
      <c r="C99" s="41">
        <v>0.19230769230769232</v>
      </c>
      <c r="D99" s="12" t="s">
        <v>29</v>
      </c>
      <c r="E99" s="10">
        <v>28</v>
      </c>
      <c r="F99" s="10">
        <v>25</v>
      </c>
      <c r="G99" s="12">
        <f>(38-E99)/38*100</f>
        <v>26.315789473684209</v>
      </c>
      <c r="H99" s="12">
        <f>(40-F99)/40*100</f>
        <v>37.5</v>
      </c>
      <c r="I99" t="b">
        <f>G99&gt;=35</f>
        <v>0</v>
      </c>
      <c r="J99" t="b">
        <f>H99&gt;=50</f>
        <v>0</v>
      </c>
      <c r="K99" s="17">
        <v>195</v>
      </c>
      <c r="L99" s="19">
        <f>K99/381</f>
        <v>0.51181102362204722</v>
      </c>
      <c r="M99" s="17">
        <v>63</v>
      </c>
      <c r="N99" s="19">
        <f>M99/516</f>
        <v>0.12209302325581395</v>
      </c>
      <c r="O99" s="17">
        <v>10</v>
      </c>
      <c r="P99" s="19">
        <f>O99/780</f>
        <v>1.282051282051282E-2</v>
      </c>
      <c r="Q99" s="17">
        <v>1</v>
      </c>
      <c r="R99" s="20">
        <f>Q99/592</f>
        <v>1.6891891891891893E-3</v>
      </c>
      <c r="S99" s="17">
        <v>1</v>
      </c>
      <c r="T99" s="20">
        <f>S99/1709</f>
        <v>5.8513750731421885E-4</v>
      </c>
      <c r="U99" s="17">
        <v>1</v>
      </c>
      <c r="V99" s="20">
        <f>U99/2365</f>
        <v>4.2283298097251583E-4</v>
      </c>
      <c r="W99" s="17">
        <v>31</v>
      </c>
      <c r="X99" s="20">
        <f>W99/75</f>
        <v>0.41333333333333333</v>
      </c>
      <c r="Y99" s="17">
        <v>48</v>
      </c>
      <c r="Z99" s="20">
        <f>Y99/101</f>
        <v>0.47524752475247523</v>
      </c>
      <c r="AA99" s="17">
        <v>92</v>
      </c>
      <c r="AB99" s="20">
        <f>AA99/180</f>
        <v>0.51111111111111107</v>
      </c>
      <c r="AC99" s="17">
        <v>43</v>
      </c>
      <c r="AD99" s="19">
        <f>AC99/248</f>
        <v>0.17338709677419356</v>
      </c>
      <c r="AE99" s="17">
        <v>0</v>
      </c>
      <c r="AF99" s="20">
        <f>AE99/443</f>
        <v>0</v>
      </c>
      <c r="AG99" s="17">
        <v>2</v>
      </c>
      <c r="AH99" s="20">
        <f>AG99/1350</f>
        <v>1.4814814814814814E-3</v>
      </c>
      <c r="AI99" s="39">
        <v>5</v>
      </c>
      <c r="AJ99" s="39">
        <v>0</v>
      </c>
      <c r="AK99">
        <f>AI99/'Total Fiber Count'!H$7</f>
        <v>4.716981132075472E-2</v>
      </c>
      <c r="AL99">
        <f>AJ99/'Total Fiber Count'!O$7</f>
        <v>0</v>
      </c>
      <c r="AM99">
        <v>0.34950000000000003</v>
      </c>
      <c r="AN99">
        <v>0.43179122182680901</v>
      </c>
    </row>
    <row r="100" spans="1:40" ht="16" x14ac:dyDescent="0.2">
      <c r="A100" s="16" t="s">
        <v>56</v>
      </c>
      <c r="B100" s="41">
        <v>10.285714285714286</v>
      </c>
      <c r="C100" s="41">
        <v>0.19780219780219782</v>
      </c>
      <c r="D100" s="12" t="s">
        <v>29</v>
      </c>
      <c r="E100" s="10">
        <v>28</v>
      </c>
      <c r="F100" s="10">
        <v>24</v>
      </c>
      <c r="G100" s="12">
        <f>(38-E100)/38*100</f>
        <v>26.315789473684209</v>
      </c>
      <c r="H100" s="12">
        <f>(40-F100)/40*100</f>
        <v>40</v>
      </c>
      <c r="I100" t="b">
        <f>G100&gt;=35</f>
        <v>0</v>
      </c>
      <c r="J100" t="b">
        <f>H100&gt;=50</f>
        <v>0</v>
      </c>
      <c r="K100" s="17">
        <v>176</v>
      </c>
      <c r="L100" s="19">
        <f>K100/381</f>
        <v>0.46194225721784776</v>
      </c>
      <c r="M100" s="17">
        <v>84</v>
      </c>
      <c r="N100" s="19">
        <f>M100/516</f>
        <v>0.16279069767441862</v>
      </c>
      <c r="O100" s="17">
        <v>9</v>
      </c>
      <c r="P100" s="19">
        <f>O100/780</f>
        <v>1.1538461538461539E-2</v>
      </c>
      <c r="Q100" s="17">
        <v>3</v>
      </c>
      <c r="R100" s="20">
        <f>Q100/592</f>
        <v>5.0675675675675678E-3</v>
      </c>
      <c r="S100" s="17">
        <v>1</v>
      </c>
      <c r="T100" s="20">
        <f>S100/1709</f>
        <v>5.8513750731421885E-4</v>
      </c>
      <c r="U100" s="17">
        <v>2</v>
      </c>
      <c r="V100" s="20">
        <f>U100/2365</f>
        <v>8.4566596194503166E-4</v>
      </c>
      <c r="W100" s="17">
        <v>26</v>
      </c>
      <c r="X100" s="20">
        <f>W100/75</f>
        <v>0.34666666666666668</v>
      </c>
      <c r="Y100" s="17">
        <v>66</v>
      </c>
      <c r="Z100" s="20">
        <f>Y100/101</f>
        <v>0.65346534653465349</v>
      </c>
      <c r="AA100" s="17">
        <v>85</v>
      </c>
      <c r="AB100" s="20">
        <f>AA100/180</f>
        <v>0.47222222222222221</v>
      </c>
      <c r="AC100" s="17">
        <v>53</v>
      </c>
      <c r="AD100" s="19">
        <f>AC100/248</f>
        <v>0.21370967741935484</v>
      </c>
      <c r="AE100" s="17">
        <v>0</v>
      </c>
      <c r="AF100" s="20">
        <f>AE100/443</f>
        <v>0</v>
      </c>
      <c r="AG100" s="17">
        <v>4</v>
      </c>
      <c r="AH100" s="20">
        <f>AG100/1350</f>
        <v>2.9629629629629628E-3</v>
      </c>
      <c r="AI100" s="39">
        <v>5</v>
      </c>
      <c r="AJ100" s="39">
        <v>0</v>
      </c>
      <c r="AK100">
        <f>AI100/'Total Fiber Count'!H$7</f>
        <v>4.716981132075472E-2</v>
      </c>
      <c r="AL100">
        <f>AJ100/'Total Fiber Count'!O$7</f>
        <v>0</v>
      </c>
      <c r="AM100">
        <v>0.43499999999999994</v>
      </c>
      <c r="AN100">
        <v>0.51749389747762409</v>
      </c>
    </row>
    <row r="101" spans="1:40" ht="16" x14ac:dyDescent="0.2">
      <c r="A101" s="16" t="s">
        <v>56</v>
      </c>
      <c r="B101" s="41">
        <v>15.142857142857142</v>
      </c>
      <c r="C101" s="41">
        <v>0.29120879120879117</v>
      </c>
      <c r="D101" s="9" t="s">
        <v>25</v>
      </c>
      <c r="E101" s="10">
        <v>28</v>
      </c>
      <c r="F101" s="10">
        <v>25</v>
      </c>
      <c r="G101" s="12">
        <f>(38-E101)/38*100</f>
        <v>26.315789473684209</v>
      </c>
      <c r="H101" s="12">
        <f>(40-F101)/40*100</f>
        <v>37.5</v>
      </c>
      <c r="I101" t="b">
        <f>G101&gt;=35</f>
        <v>0</v>
      </c>
      <c r="J101" t="b">
        <f>H101&gt;=50</f>
        <v>0</v>
      </c>
      <c r="K101" s="17">
        <v>176</v>
      </c>
      <c r="L101" s="19">
        <f>K101/381</f>
        <v>0.46194225721784776</v>
      </c>
      <c r="M101" s="17">
        <v>84</v>
      </c>
      <c r="N101" s="19">
        <f>M101/516</f>
        <v>0.16279069767441862</v>
      </c>
      <c r="O101" s="17">
        <v>9</v>
      </c>
      <c r="P101" s="19">
        <f>O101/780</f>
        <v>1.1538461538461539E-2</v>
      </c>
      <c r="Q101" s="17">
        <v>3</v>
      </c>
      <c r="R101" s="20">
        <f>Q101/592</f>
        <v>5.0675675675675678E-3</v>
      </c>
      <c r="S101" s="17">
        <v>1</v>
      </c>
      <c r="T101" s="20">
        <f>S101/1709</f>
        <v>5.8513750731421885E-4</v>
      </c>
      <c r="U101" s="17">
        <v>2</v>
      </c>
      <c r="V101" s="20">
        <f>U101/2365</f>
        <v>8.4566596194503166E-4</v>
      </c>
      <c r="W101" s="17">
        <v>26</v>
      </c>
      <c r="X101" s="20">
        <f>W101/75</f>
        <v>0.34666666666666668</v>
      </c>
      <c r="Y101" s="17">
        <v>66</v>
      </c>
      <c r="Z101" s="20">
        <f>Y101/101</f>
        <v>0.65346534653465349</v>
      </c>
      <c r="AA101" s="17">
        <v>85</v>
      </c>
      <c r="AB101" s="20">
        <f>AA101/180</f>
        <v>0.47222222222222221</v>
      </c>
      <c r="AC101" s="17">
        <v>53</v>
      </c>
      <c r="AD101" s="19">
        <f>AC101/248</f>
        <v>0.21370967741935484</v>
      </c>
      <c r="AE101" s="17">
        <v>0</v>
      </c>
      <c r="AF101" s="20">
        <f>AE101/443</f>
        <v>0</v>
      </c>
      <c r="AG101" s="17">
        <v>4</v>
      </c>
      <c r="AH101" s="20">
        <f>AG101/1350</f>
        <v>2.9629629629629628E-3</v>
      </c>
      <c r="AI101" s="39">
        <v>5</v>
      </c>
      <c r="AJ101" s="39">
        <v>0</v>
      </c>
      <c r="AK101">
        <f>AI101/'Total Fiber Count'!H$7</f>
        <v>4.716981132075472E-2</v>
      </c>
      <c r="AL101">
        <f>AJ101/'Total Fiber Count'!O$7</f>
        <v>0</v>
      </c>
      <c r="AM101">
        <v>0.43499999999999994</v>
      </c>
      <c r="AN101">
        <v>0.51749389747762409</v>
      </c>
    </row>
    <row r="102" spans="1:40" ht="16" x14ac:dyDescent="0.2">
      <c r="A102" s="16" t="s">
        <v>56</v>
      </c>
      <c r="B102" s="41">
        <v>20.714285714285715</v>
      </c>
      <c r="C102" s="41">
        <v>0.39835164835164838</v>
      </c>
      <c r="D102" s="9" t="s">
        <v>25</v>
      </c>
      <c r="E102" s="10">
        <v>27</v>
      </c>
      <c r="F102" s="10">
        <v>26</v>
      </c>
      <c r="G102" s="12">
        <f>(38-E102)/38*100</f>
        <v>28.947368421052634</v>
      </c>
      <c r="H102" s="12">
        <f>(40-F102)/40*100</f>
        <v>35</v>
      </c>
      <c r="I102" t="b">
        <f>G102&gt;=35</f>
        <v>0</v>
      </c>
      <c r="J102" t="b">
        <f>H102&gt;=50</f>
        <v>0</v>
      </c>
      <c r="K102" s="17">
        <v>175</v>
      </c>
      <c r="L102" s="19">
        <f>K102/381</f>
        <v>0.45931758530183725</v>
      </c>
      <c r="M102" s="17">
        <v>78</v>
      </c>
      <c r="N102" s="19">
        <f>M102/516</f>
        <v>0.15116279069767441</v>
      </c>
      <c r="O102" s="17">
        <v>9</v>
      </c>
      <c r="P102" s="19">
        <f>O102/780</f>
        <v>1.1538461538461539E-2</v>
      </c>
      <c r="Q102" s="17">
        <v>1</v>
      </c>
      <c r="R102" s="20">
        <f>Q102/592</f>
        <v>1.6891891891891893E-3</v>
      </c>
      <c r="S102" s="17">
        <v>1</v>
      </c>
      <c r="T102" s="20">
        <f>S102/1709</f>
        <v>5.8513750731421885E-4</v>
      </c>
      <c r="U102" s="17">
        <v>1</v>
      </c>
      <c r="V102" s="20">
        <f>U102/2365</f>
        <v>4.2283298097251583E-4</v>
      </c>
      <c r="W102" s="17">
        <v>26</v>
      </c>
      <c r="X102" s="20">
        <f>W102/75</f>
        <v>0.34666666666666668</v>
      </c>
      <c r="Y102" s="17">
        <v>63</v>
      </c>
      <c r="Z102" s="20">
        <f>Y102/101</f>
        <v>0.62376237623762376</v>
      </c>
      <c r="AA102" s="17">
        <v>84</v>
      </c>
      <c r="AB102" s="20">
        <f>AA102/180</f>
        <v>0.46666666666666667</v>
      </c>
      <c r="AC102" s="17">
        <v>51</v>
      </c>
      <c r="AD102" s="19">
        <f>AC102/248</f>
        <v>0.20564516129032259</v>
      </c>
      <c r="AE102" s="17">
        <v>0</v>
      </c>
      <c r="AF102" s="20">
        <f>AE102/443</f>
        <v>0</v>
      </c>
      <c r="AG102" s="17">
        <v>4</v>
      </c>
      <c r="AH102" s="20">
        <f>AG102/1350</f>
        <v>2.9629629629629628E-3</v>
      </c>
      <c r="AI102" s="39">
        <v>5</v>
      </c>
      <c r="AJ102" s="39">
        <v>0</v>
      </c>
      <c r="AK102">
        <f>AI102/'Total Fiber Count'!H$7</f>
        <v>4.716981132075472E-2</v>
      </c>
      <c r="AL102">
        <f>AJ102/'Total Fiber Count'!O$7</f>
        <v>0</v>
      </c>
      <c r="AM102">
        <v>0.31409999999999999</v>
      </c>
      <c r="AN102">
        <v>0.35845493562231756</v>
      </c>
    </row>
    <row r="103" spans="1:40" ht="16" x14ac:dyDescent="0.2">
      <c r="A103" s="16" t="s">
        <v>56</v>
      </c>
      <c r="B103" s="41">
        <v>22</v>
      </c>
      <c r="C103" s="41">
        <v>0.42307692307692307</v>
      </c>
      <c r="D103" s="9" t="s">
        <v>25</v>
      </c>
      <c r="E103" s="10">
        <v>33</v>
      </c>
      <c r="F103" s="10">
        <v>25</v>
      </c>
      <c r="G103" s="12">
        <f>(38-E103)/38*100</f>
        <v>13.157894736842104</v>
      </c>
      <c r="H103" s="12">
        <f>(40-F103)/40*100</f>
        <v>37.5</v>
      </c>
      <c r="I103" t="b">
        <f>G103&gt;=35</f>
        <v>0</v>
      </c>
      <c r="J103" t="b">
        <f>H103&gt;=50</f>
        <v>0</v>
      </c>
      <c r="K103" s="17">
        <v>154</v>
      </c>
      <c r="L103" s="19">
        <f>K103/381</f>
        <v>0.40419947506561682</v>
      </c>
      <c r="M103" s="17">
        <v>67</v>
      </c>
      <c r="N103" s="19">
        <f>M103/516</f>
        <v>0.12984496124031009</v>
      </c>
      <c r="O103" s="17">
        <v>6</v>
      </c>
      <c r="P103" s="19">
        <f>O103/780</f>
        <v>7.6923076923076927E-3</v>
      </c>
      <c r="Q103" s="17">
        <v>1</v>
      </c>
      <c r="R103" s="20">
        <f>Q103/592</f>
        <v>1.6891891891891893E-3</v>
      </c>
      <c r="S103" s="17">
        <v>1</v>
      </c>
      <c r="T103" s="20">
        <f>S103/1709</f>
        <v>5.8513750731421885E-4</v>
      </c>
      <c r="U103" s="17">
        <v>1</v>
      </c>
      <c r="V103" s="20">
        <f>U103/2365</f>
        <v>4.2283298097251583E-4</v>
      </c>
      <c r="W103" s="17">
        <v>22</v>
      </c>
      <c r="X103" s="20">
        <f>W103/75</f>
        <v>0.29333333333333333</v>
      </c>
      <c r="Y103" s="17">
        <v>55</v>
      </c>
      <c r="Z103" s="20">
        <f>Y103/101</f>
        <v>0.54455445544554459</v>
      </c>
      <c r="AA103" s="17">
        <v>73</v>
      </c>
      <c r="AB103" s="20">
        <f>AA103/180</f>
        <v>0.40555555555555556</v>
      </c>
      <c r="AC103" s="17">
        <v>45</v>
      </c>
      <c r="AD103" s="19">
        <f>AC103/248</f>
        <v>0.18145161290322581</v>
      </c>
      <c r="AE103" s="17">
        <v>0</v>
      </c>
      <c r="AF103" s="20">
        <f>AE103/443</f>
        <v>0</v>
      </c>
      <c r="AG103" s="17">
        <v>2</v>
      </c>
      <c r="AH103" s="20">
        <f>AG103/1350</f>
        <v>1.4814814814814814E-3</v>
      </c>
      <c r="AI103" s="39">
        <v>4</v>
      </c>
      <c r="AJ103" s="39">
        <v>0</v>
      </c>
      <c r="AK103">
        <f>AI103/'Total Fiber Count'!H$7</f>
        <v>3.7735849056603772E-2</v>
      </c>
      <c r="AL103">
        <f>AJ103/'Total Fiber Count'!O$7</f>
        <v>0</v>
      </c>
      <c r="AM103">
        <v>0.22320000000000001</v>
      </c>
      <c r="AN103">
        <v>0.29099999999999998</v>
      </c>
    </row>
    <row r="104" spans="1:40" ht="16" x14ac:dyDescent="0.2">
      <c r="A104" s="16" t="s">
        <v>56</v>
      </c>
      <c r="B104" s="41">
        <v>23</v>
      </c>
      <c r="C104" s="41">
        <v>0.44230769230769229</v>
      </c>
      <c r="D104" s="9" t="s">
        <v>25</v>
      </c>
      <c r="E104" s="10">
        <v>38</v>
      </c>
      <c r="F104" s="10">
        <v>28</v>
      </c>
      <c r="G104" s="12">
        <f>(38-E104)/38*100</f>
        <v>0</v>
      </c>
      <c r="H104" s="12">
        <f>(40-F104)/40*100</f>
        <v>30</v>
      </c>
      <c r="I104" t="b">
        <f>G104&gt;=35</f>
        <v>0</v>
      </c>
      <c r="J104" t="b">
        <f>H104&gt;=50</f>
        <v>0</v>
      </c>
      <c r="K104" s="17">
        <v>169</v>
      </c>
      <c r="L104" s="19">
        <f>K104/381</f>
        <v>0.44356955380577429</v>
      </c>
      <c r="M104" s="17">
        <v>67</v>
      </c>
      <c r="N104" s="19">
        <f>M104/516</f>
        <v>0.12984496124031009</v>
      </c>
      <c r="O104" s="17">
        <v>9</v>
      </c>
      <c r="P104" s="19">
        <f>O104/780</f>
        <v>1.1538461538461539E-2</v>
      </c>
      <c r="Q104" s="17">
        <v>1</v>
      </c>
      <c r="R104" s="20">
        <f>Q104/592</f>
        <v>1.6891891891891893E-3</v>
      </c>
      <c r="S104" s="17">
        <v>1</v>
      </c>
      <c r="T104" s="20">
        <f>S104/1709</f>
        <v>5.8513750731421885E-4</v>
      </c>
      <c r="U104" s="17">
        <v>1</v>
      </c>
      <c r="V104" s="20">
        <f>U104/2365</f>
        <v>4.2283298097251583E-4</v>
      </c>
      <c r="W104" s="17">
        <v>22</v>
      </c>
      <c r="X104" s="20">
        <f>W104/75</f>
        <v>0.29333333333333333</v>
      </c>
      <c r="Y104" s="17">
        <v>55</v>
      </c>
      <c r="Z104" s="20">
        <f>Y104/101</f>
        <v>0.54455445544554459</v>
      </c>
      <c r="AA104" s="17">
        <v>82</v>
      </c>
      <c r="AB104" s="20">
        <f>AA104/180</f>
        <v>0.45555555555555555</v>
      </c>
      <c r="AC104" s="17">
        <v>45</v>
      </c>
      <c r="AD104" s="19">
        <f>AC104/248</f>
        <v>0.18145161290322581</v>
      </c>
      <c r="AE104" s="17">
        <v>0</v>
      </c>
      <c r="AF104" s="20">
        <f>AE104/443</f>
        <v>0</v>
      </c>
      <c r="AG104" s="17">
        <v>2</v>
      </c>
      <c r="AH104" s="20">
        <f>AG104/1350</f>
        <v>1.4814814814814814E-3</v>
      </c>
      <c r="AI104" s="39">
        <v>5</v>
      </c>
      <c r="AJ104" s="39">
        <v>0</v>
      </c>
      <c r="AK104">
        <f>AI104/'Total Fiber Count'!H$7</f>
        <v>4.716981132075472E-2</v>
      </c>
      <c r="AL104">
        <f>AJ104/'Total Fiber Count'!O$7</f>
        <v>0</v>
      </c>
      <c r="AM104">
        <v>0.26639999999999997</v>
      </c>
      <c r="AN104">
        <v>0.29099999999999998</v>
      </c>
    </row>
    <row r="105" spans="1:40" ht="16" x14ac:dyDescent="0.2">
      <c r="A105" s="16" t="s">
        <v>56</v>
      </c>
      <c r="B105" s="41">
        <v>28</v>
      </c>
      <c r="C105" s="41">
        <v>0.53846153846153844</v>
      </c>
      <c r="D105" s="9" t="s">
        <v>25</v>
      </c>
      <c r="E105" s="10">
        <v>34</v>
      </c>
      <c r="F105" s="10">
        <v>30</v>
      </c>
      <c r="G105" s="12">
        <f>(38-E105)/38*100</f>
        <v>10.526315789473683</v>
      </c>
      <c r="H105" s="12">
        <f>(40-F105)/40*100</f>
        <v>25</v>
      </c>
      <c r="I105" t="b">
        <f>G105&gt;=35</f>
        <v>0</v>
      </c>
      <c r="J105" t="b">
        <f>H105&gt;=50</f>
        <v>0</v>
      </c>
      <c r="K105" s="17">
        <v>162</v>
      </c>
      <c r="L105" s="19">
        <f>K105/381</f>
        <v>0.42519685039370081</v>
      </c>
      <c r="M105" s="17">
        <v>70</v>
      </c>
      <c r="N105" s="19">
        <f>M105/516</f>
        <v>0.13565891472868216</v>
      </c>
      <c r="O105" s="17">
        <v>8</v>
      </c>
      <c r="P105" s="19">
        <f>O105/780</f>
        <v>1.0256410256410256E-2</v>
      </c>
      <c r="Q105" s="17">
        <v>1</v>
      </c>
      <c r="R105" s="20">
        <f>Q105/592</f>
        <v>1.6891891891891893E-3</v>
      </c>
      <c r="S105" s="17">
        <v>1</v>
      </c>
      <c r="T105" s="20">
        <f>S105/1709</f>
        <v>5.8513750731421885E-4</v>
      </c>
      <c r="U105" s="17">
        <v>1</v>
      </c>
      <c r="V105" s="20">
        <f>U105/2365</f>
        <v>4.2283298097251583E-4</v>
      </c>
      <c r="W105" s="17">
        <v>22</v>
      </c>
      <c r="X105" s="20">
        <f>W105/75</f>
        <v>0.29333333333333333</v>
      </c>
      <c r="Y105" s="17">
        <v>55</v>
      </c>
      <c r="Z105" s="20">
        <f>Y105/101</f>
        <v>0.54455445544554459</v>
      </c>
      <c r="AA105" s="17">
        <v>77</v>
      </c>
      <c r="AB105" s="20">
        <f>AA105/180</f>
        <v>0.42777777777777776</v>
      </c>
      <c r="AC105" s="17">
        <v>46</v>
      </c>
      <c r="AD105" s="19">
        <f>AC105/248</f>
        <v>0.18548387096774194</v>
      </c>
      <c r="AE105" s="17">
        <v>0</v>
      </c>
      <c r="AF105" s="20">
        <f>AE105/443</f>
        <v>0</v>
      </c>
      <c r="AG105" s="17">
        <v>2</v>
      </c>
      <c r="AH105" s="20">
        <f>AG105/1350</f>
        <v>1.4814814814814814E-3</v>
      </c>
      <c r="AI105" s="39">
        <v>4</v>
      </c>
      <c r="AJ105" s="39">
        <v>0</v>
      </c>
      <c r="AK105">
        <f>AI105/'Total Fiber Count'!H$7</f>
        <v>3.7735849056603772E-2</v>
      </c>
      <c r="AL105">
        <f>AJ105/'Total Fiber Count'!O$7</f>
        <v>0</v>
      </c>
      <c r="AM105">
        <v>0.23849999999999996</v>
      </c>
      <c r="AN105">
        <v>0.30100334448160537</v>
      </c>
    </row>
    <row r="106" spans="1:40" ht="16" x14ac:dyDescent="0.2">
      <c r="A106" s="16" t="s">
        <v>56</v>
      </c>
      <c r="B106" s="41">
        <v>33.142857142857146</v>
      </c>
      <c r="C106" s="41">
        <v>0.63736263736263743</v>
      </c>
      <c r="D106" s="9" t="s">
        <v>25</v>
      </c>
      <c r="E106" s="10">
        <v>32</v>
      </c>
      <c r="F106" s="10">
        <v>28</v>
      </c>
      <c r="G106" s="12">
        <f>(38-E106)/38*100</f>
        <v>15.789473684210526</v>
      </c>
      <c r="H106" s="12">
        <f>(40-F106)/40*100</f>
        <v>30</v>
      </c>
      <c r="I106" t="b">
        <f>G106&gt;=35</f>
        <v>0</v>
      </c>
      <c r="J106" t="b">
        <f>H106&gt;=50</f>
        <v>0</v>
      </c>
      <c r="K106" s="17">
        <v>163</v>
      </c>
      <c r="L106" s="19">
        <f>K106/381</f>
        <v>0.42782152230971127</v>
      </c>
      <c r="M106" s="17">
        <v>78</v>
      </c>
      <c r="N106" s="19">
        <f>M106/516</f>
        <v>0.15116279069767441</v>
      </c>
      <c r="O106" s="17">
        <v>9</v>
      </c>
      <c r="P106" s="19">
        <f>O106/780</f>
        <v>1.1538461538461539E-2</v>
      </c>
      <c r="Q106" s="17">
        <v>1</v>
      </c>
      <c r="R106" s="20">
        <f>Q106/592</f>
        <v>1.6891891891891893E-3</v>
      </c>
      <c r="S106" s="17">
        <v>1</v>
      </c>
      <c r="T106" s="20">
        <f>S106/1709</f>
        <v>5.8513750731421885E-4</v>
      </c>
      <c r="U106" s="17">
        <v>1</v>
      </c>
      <c r="V106" s="20">
        <f>U106/2365</f>
        <v>4.2283298097251583E-4</v>
      </c>
      <c r="W106" s="17">
        <v>22</v>
      </c>
      <c r="X106" s="20">
        <f>W106/75</f>
        <v>0.29333333333333333</v>
      </c>
      <c r="Y106" s="17">
        <v>63</v>
      </c>
      <c r="Z106" s="20">
        <f>Y106/101</f>
        <v>0.62376237623762376</v>
      </c>
      <c r="AA106" s="17">
        <v>77</v>
      </c>
      <c r="AB106" s="20">
        <f>AA106/180</f>
        <v>0.42777777777777776</v>
      </c>
      <c r="AC106" s="17">
        <v>51</v>
      </c>
      <c r="AD106" s="19">
        <f>AC106/248</f>
        <v>0.20564516129032259</v>
      </c>
      <c r="AE106" s="17">
        <v>0</v>
      </c>
      <c r="AF106" s="20">
        <f>AE106/443</f>
        <v>0</v>
      </c>
      <c r="AG106" s="17">
        <v>4</v>
      </c>
      <c r="AH106" s="20">
        <f>AG106/1350</f>
        <v>2.9629629629629628E-3</v>
      </c>
      <c r="AI106" s="39">
        <v>5</v>
      </c>
      <c r="AJ106" s="39">
        <v>0</v>
      </c>
      <c r="AK106">
        <f>AI106/'Total Fiber Count'!H$7</f>
        <v>4.716981132075472E-2</v>
      </c>
      <c r="AL106">
        <f>AJ106/'Total Fiber Count'!O$7</f>
        <v>0</v>
      </c>
      <c r="AM106">
        <v>0.24839999999999998</v>
      </c>
      <c r="AN106">
        <v>0.36</v>
      </c>
    </row>
    <row r="107" spans="1:40" ht="16" x14ac:dyDescent="0.2">
      <c r="A107" s="16" t="s">
        <v>56</v>
      </c>
      <c r="B107" s="41">
        <v>41.142857142857146</v>
      </c>
      <c r="C107" s="41">
        <v>0.79120879120879128</v>
      </c>
      <c r="D107" s="9" t="s">
        <v>25</v>
      </c>
      <c r="E107" s="10">
        <v>32</v>
      </c>
      <c r="F107" s="10">
        <v>24</v>
      </c>
      <c r="G107" s="12">
        <f>(38-E107)/38*100</f>
        <v>15.789473684210526</v>
      </c>
      <c r="H107" s="12">
        <f>(40-F107)/40*100</f>
        <v>40</v>
      </c>
      <c r="I107" t="b">
        <f>G107&gt;=35</f>
        <v>0</v>
      </c>
      <c r="J107" t="b">
        <f>H107&gt;=50</f>
        <v>0</v>
      </c>
      <c r="K107" s="17">
        <v>169</v>
      </c>
      <c r="L107" s="19">
        <f>K107/381</f>
        <v>0.44356955380577429</v>
      </c>
      <c r="M107" s="17">
        <v>78</v>
      </c>
      <c r="N107" s="19">
        <f>M107/516</f>
        <v>0.15116279069767441</v>
      </c>
      <c r="O107" s="17">
        <v>9</v>
      </c>
      <c r="P107" s="19">
        <f>O107/780</f>
        <v>1.1538461538461539E-2</v>
      </c>
      <c r="Q107" s="17">
        <v>1</v>
      </c>
      <c r="R107" s="20">
        <f>Q107/592</f>
        <v>1.6891891891891893E-3</v>
      </c>
      <c r="S107" s="17">
        <v>1</v>
      </c>
      <c r="T107" s="20">
        <f>S107/1709</f>
        <v>5.8513750731421885E-4</v>
      </c>
      <c r="U107" s="17">
        <v>1</v>
      </c>
      <c r="V107" s="20">
        <f>U107/2365</f>
        <v>4.2283298097251583E-4</v>
      </c>
      <c r="W107" s="17">
        <v>22</v>
      </c>
      <c r="X107" s="20">
        <f>W107/75</f>
        <v>0.29333333333333333</v>
      </c>
      <c r="Y107" s="17">
        <v>63</v>
      </c>
      <c r="Z107" s="20">
        <f>Y107/101</f>
        <v>0.62376237623762376</v>
      </c>
      <c r="AA107" s="17">
        <v>82</v>
      </c>
      <c r="AB107" s="20">
        <f>AA107/180</f>
        <v>0.45555555555555555</v>
      </c>
      <c r="AC107" s="17">
        <v>51</v>
      </c>
      <c r="AD107" s="19">
        <f>AC107/248</f>
        <v>0.20564516129032259</v>
      </c>
      <c r="AE107" s="17">
        <v>0</v>
      </c>
      <c r="AF107" s="20">
        <f>AE107/443</f>
        <v>0</v>
      </c>
      <c r="AG107" s="17">
        <v>4</v>
      </c>
      <c r="AH107" s="20">
        <f>AG107/1350</f>
        <v>2.9629629629629628E-3</v>
      </c>
      <c r="AI107" s="39">
        <v>5</v>
      </c>
      <c r="AJ107" s="39">
        <v>0</v>
      </c>
      <c r="AK107">
        <f>AI107/'Total Fiber Count'!H$7</f>
        <v>4.716981132075472E-2</v>
      </c>
      <c r="AL107">
        <f>AJ107/'Total Fiber Count'!O$7</f>
        <v>0</v>
      </c>
      <c r="AM107">
        <v>0.27899999999999997</v>
      </c>
      <c r="AN107">
        <v>0.35128805620608899</v>
      </c>
    </row>
    <row r="108" spans="1:40" ht="16" x14ac:dyDescent="0.2">
      <c r="A108" s="16" t="s">
        <v>56</v>
      </c>
      <c r="B108" s="41">
        <v>54.142857142857146</v>
      </c>
      <c r="C108" s="41">
        <v>1.0412087912087913</v>
      </c>
      <c r="D108" s="9" t="s">
        <v>25</v>
      </c>
      <c r="E108" s="10" t="s">
        <v>36</v>
      </c>
      <c r="F108" s="10" t="s">
        <v>36</v>
      </c>
      <c r="G108" s="12" t="s">
        <v>36</v>
      </c>
      <c r="H108" s="12" t="s">
        <v>36</v>
      </c>
      <c r="I108" s="36" t="s">
        <v>36</v>
      </c>
      <c r="J108" t="s">
        <v>36</v>
      </c>
      <c r="K108" s="17">
        <v>86</v>
      </c>
      <c r="L108" s="19">
        <f>K108/381</f>
        <v>0.22572178477690288</v>
      </c>
      <c r="M108" s="17">
        <v>45</v>
      </c>
      <c r="N108" s="19">
        <f>M108/516</f>
        <v>8.7209302325581398E-2</v>
      </c>
      <c r="O108" s="17">
        <v>1</v>
      </c>
      <c r="P108" s="19">
        <f>O108/780</f>
        <v>1.2820512820512821E-3</v>
      </c>
      <c r="Q108" s="17">
        <v>0</v>
      </c>
      <c r="R108" s="20">
        <f>Q108/592</f>
        <v>0</v>
      </c>
      <c r="S108" s="17">
        <v>1</v>
      </c>
      <c r="T108" s="20">
        <f>S108/1709</f>
        <v>5.8513750731421885E-4</v>
      </c>
      <c r="U108" s="17">
        <v>0</v>
      </c>
      <c r="V108" s="20">
        <f>U108/2365</f>
        <v>0</v>
      </c>
      <c r="W108" s="17">
        <v>23</v>
      </c>
      <c r="X108" s="20">
        <f>W108/75</f>
        <v>0.30666666666666664</v>
      </c>
      <c r="Y108" s="17">
        <v>18</v>
      </c>
      <c r="Z108" s="20">
        <f>Y108/101</f>
        <v>0.17821782178217821</v>
      </c>
      <c r="AA108" s="17">
        <v>41</v>
      </c>
      <c r="AB108" s="20">
        <f>AA108/180</f>
        <v>0.22777777777777777</v>
      </c>
      <c r="AC108" s="17">
        <v>17</v>
      </c>
      <c r="AD108" s="19">
        <f>AC108/248</f>
        <v>6.8548387096774188E-2</v>
      </c>
      <c r="AE108" s="17">
        <v>0</v>
      </c>
      <c r="AF108" s="20">
        <f>AE108/443</f>
        <v>0</v>
      </c>
      <c r="AG108" s="17">
        <v>1</v>
      </c>
      <c r="AH108" s="20">
        <f>AG108/1350</f>
        <v>7.407407407407407E-4</v>
      </c>
      <c r="AI108" s="39">
        <v>0</v>
      </c>
      <c r="AJ108" s="39">
        <v>0</v>
      </c>
      <c r="AK108">
        <f>AI108/'Total Fiber Count'!H$7</f>
        <v>0</v>
      </c>
      <c r="AL108">
        <f>AJ108/'Total Fiber Count'!O$7</f>
        <v>0</v>
      </c>
      <c r="AM108">
        <v>0.315</v>
      </c>
      <c r="AN108">
        <v>0.40207986688851916</v>
      </c>
    </row>
    <row r="109" spans="1:40" ht="16" x14ac:dyDescent="0.2">
      <c r="A109" s="16" t="s">
        <v>56</v>
      </c>
      <c r="B109" s="41">
        <v>68</v>
      </c>
      <c r="C109" s="41">
        <v>1.3076923076923077</v>
      </c>
      <c r="D109" s="9" t="s">
        <v>25</v>
      </c>
      <c r="E109" s="10">
        <v>29</v>
      </c>
      <c r="F109" s="10">
        <v>25</v>
      </c>
      <c r="G109" s="12">
        <f>(38-E109)/38*100</f>
        <v>23.684210526315788</v>
      </c>
      <c r="H109" s="12">
        <f>(40-F109)/40*100</f>
        <v>37.5</v>
      </c>
      <c r="I109" t="b">
        <f>G109&gt;=35</f>
        <v>0</v>
      </c>
      <c r="J109" t="b">
        <f>H109&gt;=50</f>
        <v>0</v>
      </c>
      <c r="K109" s="17">
        <v>215</v>
      </c>
      <c r="L109" s="19">
        <f>K109/381</f>
        <v>0.56430446194225725</v>
      </c>
      <c r="M109" s="17">
        <v>61</v>
      </c>
      <c r="N109" s="19">
        <f>M109/516</f>
        <v>0.11821705426356589</v>
      </c>
      <c r="O109" s="17">
        <v>11</v>
      </c>
      <c r="P109" s="19">
        <f>O109/780</f>
        <v>1.4102564102564103E-2</v>
      </c>
      <c r="Q109" s="17">
        <v>1</v>
      </c>
      <c r="R109" s="20">
        <f>Q109/592</f>
        <v>1.6891891891891893E-3</v>
      </c>
      <c r="S109" s="17">
        <v>2</v>
      </c>
      <c r="T109" s="20">
        <f>S109/1709</f>
        <v>1.1702750146284377E-3</v>
      </c>
      <c r="U109" s="17">
        <v>2</v>
      </c>
      <c r="V109" s="20">
        <f>U109/2365</f>
        <v>8.4566596194503166E-4</v>
      </c>
      <c r="W109" s="17">
        <v>38</v>
      </c>
      <c r="X109" s="20">
        <f>W109/75</f>
        <v>0.50666666666666671</v>
      </c>
      <c r="Y109" s="17">
        <v>47</v>
      </c>
      <c r="Z109" s="20">
        <f>Y109/101</f>
        <v>0.46534653465346537</v>
      </c>
      <c r="AA109" s="17">
        <v>106</v>
      </c>
      <c r="AB109" s="20">
        <f>AA109/180</f>
        <v>0.58888888888888891</v>
      </c>
      <c r="AC109" s="17">
        <v>54</v>
      </c>
      <c r="AD109" s="19">
        <f>AC109/248</f>
        <v>0.21774193548387097</v>
      </c>
      <c r="AE109" s="17">
        <v>0</v>
      </c>
      <c r="AF109" s="20">
        <f>AE109/443</f>
        <v>0</v>
      </c>
      <c r="AG109" s="17">
        <v>2</v>
      </c>
      <c r="AH109" s="20">
        <f>AG109/1350</f>
        <v>1.4814814814814814E-3</v>
      </c>
      <c r="AI109" s="39">
        <v>5</v>
      </c>
      <c r="AJ109" s="39">
        <v>0</v>
      </c>
      <c r="AK109">
        <f>AI109/'Total Fiber Count'!H$7</f>
        <v>4.716981132075472E-2</v>
      </c>
      <c r="AL109">
        <f>AJ109/'Total Fiber Count'!O$7</f>
        <v>0</v>
      </c>
      <c r="AM109">
        <v>0.80999999999999994</v>
      </c>
      <c r="AN109">
        <v>0.6633</v>
      </c>
    </row>
    <row r="110" spans="1:40" ht="16" x14ac:dyDescent="0.2">
      <c r="A110" s="16" t="s">
        <v>56</v>
      </c>
      <c r="B110" s="41">
        <v>82</v>
      </c>
      <c r="C110" s="41">
        <v>1.5769230769230769</v>
      </c>
      <c r="D110" s="12" t="s">
        <v>29</v>
      </c>
      <c r="E110" s="10">
        <v>38</v>
      </c>
      <c r="F110" s="10">
        <v>40</v>
      </c>
      <c r="G110" s="12">
        <f>(38-E110)/38*100</f>
        <v>0</v>
      </c>
      <c r="H110" s="12">
        <f>(40-F110)/40*100</f>
        <v>0</v>
      </c>
      <c r="I110" t="b">
        <f>G110&gt;=35</f>
        <v>0</v>
      </c>
      <c r="J110" t="b">
        <f>H110&gt;=50</f>
        <v>0</v>
      </c>
      <c r="K110" s="17">
        <v>142</v>
      </c>
      <c r="L110" s="19">
        <f>K110/381</f>
        <v>0.37270341207349084</v>
      </c>
      <c r="M110" s="17">
        <v>26</v>
      </c>
      <c r="N110" s="19">
        <f>M110/516</f>
        <v>5.0387596899224806E-2</v>
      </c>
      <c r="O110" s="17">
        <v>4</v>
      </c>
      <c r="P110" s="19">
        <f>O110/780</f>
        <v>5.1282051282051282E-3</v>
      </c>
      <c r="Q110" s="17">
        <v>0</v>
      </c>
      <c r="R110" s="20">
        <f>Q110/592</f>
        <v>0</v>
      </c>
      <c r="S110" s="17">
        <v>1</v>
      </c>
      <c r="T110" s="20">
        <f>S110/1709</f>
        <v>5.8513750731421885E-4</v>
      </c>
      <c r="U110" s="17">
        <v>0</v>
      </c>
      <c r="V110" s="20">
        <f>U110/2365</f>
        <v>0</v>
      </c>
      <c r="W110" s="17">
        <v>29</v>
      </c>
      <c r="X110" s="20">
        <f>W110/75</f>
        <v>0.38666666666666666</v>
      </c>
      <c r="Y110" s="17">
        <v>20</v>
      </c>
      <c r="Z110" s="20">
        <f>Y110/101</f>
        <v>0.19801980198019803</v>
      </c>
      <c r="AA110" s="17">
        <v>68</v>
      </c>
      <c r="AB110" s="20">
        <f>AA110/180</f>
        <v>0.37777777777777777</v>
      </c>
      <c r="AC110" s="17">
        <v>22</v>
      </c>
      <c r="AD110" s="19">
        <f>AC110/248</f>
        <v>8.8709677419354843E-2</v>
      </c>
      <c r="AE110" s="17">
        <v>0</v>
      </c>
      <c r="AF110" s="20">
        <f>AE110/443</f>
        <v>0</v>
      </c>
      <c r="AG110" s="17">
        <v>0</v>
      </c>
      <c r="AH110" s="20">
        <f>AG110/1350</f>
        <v>0</v>
      </c>
      <c r="AI110" s="39">
        <v>3</v>
      </c>
      <c r="AJ110" s="39">
        <v>0</v>
      </c>
      <c r="AK110">
        <f>AI110/'Total Fiber Count'!H$7</f>
        <v>2.8301886792452831E-2</v>
      </c>
      <c r="AL110">
        <f>AJ110/'Total Fiber Count'!O$7</f>
        <v>0</v>
      </c>
      <c r="AM110">
        <v>0.5292</v>
      </c>
      <c r="AN110">
        <v>0.25919999999999999</v>
      </c>
    </row>
    <row r="111" spans="1:40" ht="16" x14ac:dyDescent="0.2">
      <c r="A111" s="16" t="s">
        <v>56</v>
      </c>
      <c r="B111" s="41">
        <v>82.142857142857139</v>
      </c>
      <c r="C111" s="41">
        <v>1.5796703296703296</v>
      </c>
      <c r="D111" s="9" t="s">
        <v>25</v>
      </c>
      <c r="E111" s="10">
        <v>38</v>
      </c>
      <c r="F111" s="10">
        <v>40</v>
      </c>
      <c r="G111" s="12">
        <f>(38-E111)/38*100</f>
        <v>0</v>
      </c>
      <c r="H111" s="12">
        <f>(40-F111)/40*100</f>
        <v>0</v>
      </c>
      <c r="I111" t="b">
        <f>G111&gt;=35</f>
        <v>0</v>
      </c>
      <c r="J111" t="b">
        <f>H111&gt;=50</f>
        <v>0</v>
      </c>
      <c r="K111" s="17">
        <v>269</v>
      </c>
      <c r="L111" s="19">
        <f>K111/381</f>
        <v>0.70603674540682415</v>
      </c>
      <c r="M111" s="17">
        <v>74</v>
      </c>
      <c r="N111" s="19">
        <f>M111/516</f>
        <v>0.1434108527131783</v>
      </c>
      <c r="O111" s="17">
        <v>16</v>
      </c>
      <c r="P111" s="19">
        <f>O111/780</f>
        <v>2.0512820512820513E-2</v>
      </c>
      <c r="Q111" s="17">
        <v>1</v>
      </c>
      <c r="R111" s="20">
        <f>Q111/592</f>
        <v>1.6891891891891893E-3</v>
      </c>
      <c r="S111" s="17">
        <v>5</v>
      </c>
      <c r="T111" s="20">
        <f>S111/1709</f>
        <v>2.9256875365710941E-3</v>
      </c>
      <c r="U111" s="17">
        <v>1</v>
      </c>
      <c r="V111" s="20">
        <f>U111/2365</f>
        <v>4.2283298097251583E-4</v>
      </c>
      <c r="W111" s="17">
        <v>49</v>
      </c>
      <c r="X111" s="20">
        <f>W111/75</f>
        <v>0.65333333333333332</v>
      </c>
      <c r="Y111" s="17">
        <v>58</v>
      </c>
      <c r="Z111" s="20">
        <f>Y111/101</f>
        <v>0.57425742574257421</v>
      </c>
      <c r="AA111" s="17">
        <v>115</v>
      </c>
      <c r="AB111" s="20">
        <f>AA111/180</f>
        <v>0.63888888888888884</v>
      </c>
      <c r="AC111" s="17">
        <v>51</v>
      </c>
      <c r="AD111" s="19">
        <f>AC111/248</f>
        <v>0.20564516129032259</v>
      </c>
      <c r="AE111" s="17">
        <v>1</v>
      </c>
      <c r="AF111" s="20">
        <f>AE111/443</f>
        <v>2.257336343115124E-3</v>
      </c>
      <c r="AG111" s="17">
        <v>4</v>
      </c>
      <c r="AH111" s="20">
        <f>AG111/1350</f>
        <v>2.9629629629629628E-3</v>
      </c>
      <c r="AI111" s="39">
        <v>8</v>
      </c>
      <c r="AJ111" s="39">
        <v>0</v>
      </c>
      <c r="AK111">
        <f>AI111/'Total Fiber Count'!H$7</f>
        <v>7.5471698113207544E-2</v>
      </c>
      <c r="AL111">
        <f>AJ111/'Total Fiber Count'!O$7</f>
        <v>0</v>
      </c>
      <c r="AM111">
        <v>1.26</v>
      </c>
      <c r="AN111">
        <v>0.40499999999999997</v>
      </c>
    </row>
    <row r="112" spans="1:40" ht="16" x14ac:dyDescent="0.2">
      <c r="A112" s="16" t="s">
        <v>56</v>
      </c>
      <c r="B112" s="41">
        <v>86</v>
      </c>
      <c r="C112" s="41">
        <v>1.6538461538461537</v>
      </c>
      <c r="D112" s="9" t="s">
        <v>25</v>
      </c>
      <c r="E112" s="10">
        <v>38</v>
      </c>
      <c r="F112" s="10">
        <v>40</v>
      </c>
      <c r="G112" s="12">
        <f>(38-E112)/38*100</f>
        <v>0</v>
      </c>
      <c r="H112" s="12">
        <f>(40-F112)/40*100</f>
        <v>0</v>
      </c>
      <c r="I112" t="b">
        <f>G112&gt;=35</f>
        <v>0</v>
      </c>
      <c r="J112" t="b">
        <f>H112&gt;=50</f>
        <v>0</v>
      </c>
      <c r="K112" s="17">
        <v>220</v>
      </c>
      <c r="L112" s="19">
        <f>K112/381</f>
        <v>0.57742782152230976</v>
      </c>
      <c r="M112" s="17">
        <v>44</v>
      </c>
      <c r="N112" s="19">
        <f>M112/516</f>
        <v>8.5271317829457363E-2</v>
      </c>
      <c r="O112" s="17">
        <v>12</v>
      </c>
      <c r="P112" s="19">
        <f>O112/780</f>
        <v>1.5384615384615385E-2</v>
      </c>
      <c r="Q112" s="17">
        <v>0</v>
      </c>
      <c r="R112" s="20">
        <f>Q112/592</f>
        <v>0</v>
      </c>
      <c r="S112" s="17">
        <v>1</v>
      </c>
      <c r="T112" s="20">
        <f>S112/1709</f>
        <v>5.8513750731421885E-4</v>
      </c>
      <c r="U112" s="17">
        <v>1</v>
      </c>
      <c r="V112" s="20">
        <f>U112/2365</f>
        <v>4.2283298097251583E-4</v>
      </c>
      <c r="W112" s="17">
        <v>40</v>
      </c>
      <c r="X112" s="20">
        <f>W112/75</f>
        <v>0.53333333333333333</v>
      </c>
      <c r="Y112" s="17">
        <v>31</v>
      </c>
      <c r="Z112" s="20">
        <f>Y112/101</f>
        <v>0.30693069306930693</v>
      </c>
      <c r="AA112" s="17">
        <v>100</v>
      </c>
      <c r="AB112" s="20">
        <f>AA112/180</f>
        <v>0.55555555555555558</v>
      </c>
      <c r="AC112" s="17">
        <v>32</v>
      </c>
      <c r="AD112" s="19">
        <f>AC112/248</f>
        <v>0.12903225806451613</v>
      </c>
      <c r="AE112" s="17">
        <v>0</v>
      </c>
      <c r="AF112" s="20">
        <f>AE112/443</f>
        <v>0</v>
      </c>
      <c r="AG112" s="17">
        <v>0</v>
      </c>
      <c r="AH112" s="20">
        <f>AG112/1350</f>
        <v>0</v>
      </c>
      <c r="AI112" s="39">
        <v>5</v>
      </c>
      <c r="AJ112" s="39">
        <v>0</v>
      </c>
      <c r="AK112">
        <f>AI112/'Total Fiber Count'!H$7</f>
        <v>4.716981132075472E-2</v>
      </c>
      <c r="AL112">
        <f>AJ112/'Total Fiber Count'!O$7</f>
        <v>0</v>
      </c>
      <c r="AM112">
        <v>0.63</v>
      </c>
      <c r="AN112">
        <v>0.18</v>
      </c>
    </row>
    <row r="113" spans="1:40" ht="16" x14ac:dyDescent="0.2">
      <c r="A113" s="16" t="s">
        <v>56</v>
      </c>
      <c r="B113" s="41">
        <v>86.714285714285708</v>
      </c>
      <c r="C113" s="41">
        <v>1.6675824175824174</v>
      </c>
      <c r="D113" s="9" t="s">
        <v>25</v>
      </c>
      <c r="E113" s="10">
        <v>33</v>
      </c>
      <c r="F113" s="10">
        <v>34</v>
      </c>
      <c r="G113" s="12">
        <f>(38-E113)/38*100</f>
        <v>13.157894736842104</v>
      </c>
      <c r="H113" s="12">
        <f>(40-F113)/40*100</f>
        <v>15</v>
      </c>
      <c r="I113" t="b">
        <f>G113&gt;=35</f>
        <v>0</v>
      </c>
      <c r="J113" t="b">
        <f>H113&gt;=50</f>
        <v>0</v>
      </c>
      <c r="K113" s="17">
        <v>220</v>
      </c>
      <c r="L113" s="19">
        <f>K113/381</f>
        <v>0.57742782152230976</v>
      </c>
      <c r="M113" s="17">
        <v>44</v>
      </c>
      <c r="N113" s="19">
        <f>M113/516</f>
        <v>8.5271317829457363E-2</v>
      </c>
      <c r="O113" s="17">
        <v>12</v>
      </c>
      <c r="P113" s="19">
        <f>O113/780</f>
        <v>1.5384615384615385E-2</v>
      </c>
      <c r="Q113" s="17">
        <v>0</v>
      </c>
      <c r="R113" s="20">
        <f>Q113/592</f>
        <v>0</v>
      </c>
      <c r="S113" s="17">
        <v>1</v>
      </c>
      <c r="T113" s="20">
        <f>S113/1709</f>
        <v>5.8513750731421885E-4</v>
      </c>
      <c r="U113" s="17">
        <v>1</v>
      </c>
      <c r="V113" s="20">
        <f>U113/2365</f>
        <v>4.2283298097251583E-4</v>
      </c>
      <c r="W113" s="17">
        <v>40</v>
      </c>
      <c r="X113" s="20">
        <f>W113/75</f>
        <v>0.53333333333333333</v>
      </c>
      <c r="Y113" s="17">
        <v>31</v>
      </c>
      <c r="Z113" s="20">
        <f>Y113/101</f>
        <v>0.30693069306930693</v>
      </c>
      <c r="AA113" s="17">
        <v>100</v>
      </c>
      <c r="AB113" s="20">
        <f>AA113/180</f>
        <v>0.55555555555555558</v>
      </c>
      <c r="AC113" s="17">
        <v>32</v>
      </c>
      <c r="AD113" s="19">
        <f>AC113/248</f>
        <v>0.12903225806451613</v>
      </c>
      <c r="AE113" s="17">
        <v>0</v>
      </c>
      <c r="AF113" s="20">
        <f>AE113/443</f>
        <v>0</v>
      </c>
      <c r="AG113" s="17">
        <v>0</v>
      </c>
      <c r="AH113" s="20">
        <f>AG113/1350</f>
        <v>0</v>
      </c>
      <c r="AI113" s="39">
        <v>5</v>
      </c>
      <c r="AJ113" s="39">
        <v>0</v>
      </c>
      <c r="AK113">
        <f>AI113/'Total Fiber Count'!H$7</f>
        <v>4.716981132075472E-2</v>
      </c>
      <c r="AL113">
        <f>AJ113/'Total Fiber Count'!O$7</f>
        <v>0</v>
      </c>
      <c r="AM113">
        <v>0.63</v>
      </c>
      <c r="AN113">
        <v>0.18</v>
      </c>
    </row>
    <row r="114" spans="1:40" ht="16" x14ac:dyDescent="0.2">
      <c r="A114" s="16" t="s">
        <v>56</v>
      </c>
      <c r="B114" s="41">
        <v>87</v>
      </c>
      <c r="C114" s="41">
        <v>1.6730769230769231</v>
      </c>
      <c r="D114" s="9" t="s">
        <v>25</v>
      </c>
      <c r="E114" s="10">
        <v>31</v>
      </c>
      <c r="F114" s="10">
        <v>34</v>
      </c>
      <c r="G114" s="12">
        <f>(38-E114)/38*100</f>
        <v>18.421052631578945</v>
      </c>
      <c r="H114" s="12">
        <f>(40-F114)/40*100</f>
        <v>15</v>
      </c>
      <c r="I114" t="b">
        <f>G114&gt;=35</f>
        <v>0</v>
      </c>
      <c r="J114" t="b">
        <f>H114&gt;=50</f>
        <v>0</v>
      </c>
      <c r="K114" s="17">
        <v>230</v>
      </c>
      <c r="L114" s="19">
        <f>K114/381</f>
        <v>0.60367454068241466</v>
      </c>
      <c r="M114" s="17">
        <v>44</v>
      </c>
      <c r="N114" s="19">
        <f>M114/516</f>
        <v>8.5271317829457363E-2</v>
      </c>
      <c r="O114" s="17">
        <v>12</v>
      </c>
      <c r="P114" s="19">
        <f>O114/780</f>
        <v>1.5384615384615385E-2</v>
      </c>
      <c r="Q114" s="17">
        <v>0</v>
      </c>
      <c r="R114" s="20">
        <f>Q114/592</f>
        <v>0</v>
      </c>
      <c r="S114" s="17">
        <v>1</v>
      </c>
      <c r="T114" s="20">
        <f>S114/1709</f>
        <v>5.8513750731421885E-4</v>
      </c>
      <c r="U114" s="17">
        <v>1</v>
      </c>
      <c r="V114" s="20">
        <f>U114/2365</f>
        <v>4.2283298097251583E-4</v>
      </c>
      <c r="W114" s="17">
        <v>41</v>
      </c>
      <c r="X114" s="20">
        <f>W114/75</f>
        <v>0.54666666666666663</v>
      </c>
      <c r="Y114" s="17">
        <v>32</v>
      </c>
      <c r="Z114" s="20">
        <f>Y114/101</f>
        <v>0.31683168316831684</v>
      </c>
      <c r="AA114" s="17">
        <v>107</v>
      </c>
      <c r="AB114" s="20">
        <f>AA114/180</f>
        <v>0.59444444444444444</v>
      </c>
      <c r="AC114" s="17">
        <v>33</v>
      </c>
      <c r="AD114" s="19">
        <f>AC114/248</f>
        <v>0.13306451612903225</v>
      </c>
      <c r="AE114" s="17">
        <v>0</v>
      </c>
      <c r="AF114" s="20">
        <f>AE114/443</f>
        <v>0</v>
      </c>
      <c r="AG114" s="17">
        <v>0</v>
      </c>
      <c r="AH114" s="20">
        <f>AG114/1350</f>
        <v>0</v>
      </c>
      <c r="AI114" s="39">
        <v>5</v>
      </c>
      <c r="AJ114" s="39">
        <v>0</v>
      </c>
      <c r="AK114">
        <f>AI114/'Total Fiber Count'!H$7</f>
        <v>4.716981132075472E-2</v>
      </c>
      <c r="AL114">
        <f>AJ114/'Total Fiber Count'!O$7</f>
        <v>0</v>
      </c>
      <c r="AM114">
        <v>0.71399999999999997</v>
      </c>
      <c r="AN114">
        <v>0.19800000000000001</v>
      </c>
    </row>
    <row r="115" spans="1:40" ht="16" x14ac:dyDescent="0.2">
      <c r="A115" s="16" t="s">
        <v>56</v>
      </c>
      <c r="B115" s="41">
        <v>94.571428571428569</v>
      </c>
      <c r="C115" s="41">
        <v>1.8186813186813187</v>
      </c>
      <c r="D115" s="9" t="s">
        <v>25</v>
      </c>
      <c r="E115" s="10">
        <v>31</v>
      </c>
      <c r="F115" s="10">
        <v>29</v>
      </c>
      <c r="G115" s="12">
        <f>(38-E115)/38*100</f>
        <v>18.421052631578945</v>
      </c>
      <c r="H115" s="12">
        <f>(40-F115)/40*100</f>
        <v>27.500000000000004</v>
      </c>
      <c r="I115" t="b">
        <f>G115&gt;=35</f>
        <v>0</v>
      </c>
      <c r="J115" t="b">
        <f>H115&gt;=50</f>
        <v>0</v>
      </c>
      <c r="K115" s="17">
        <v>266</v>
      </c>
      <c r="L115" s="19">
        <f>K115/381</f>
        <v>0.69816272965879267</v>
      </c>
      <c r="M115" s="17">
        <v>57</v>
      </c>
      <c r="N115" s="19">
        <f>M115/516</f>
        <v>0.11046511627906977</v>
      </c>
      <c r="O115" s="17">
        <v>16</v>
      </c>
      <c r="P115" s="19">
        <f>O115/780</f>
        <v>2.0512820512820513E-2</v>
      </c>
      <c r="Q115" s="17">
        <v>0</v>
      </c>
      <c r="R115" s="20">
        <f>Q115/592</f>
        <v>0</v>
      </c>
      <c r="S115" s="17">
        <v>5</v>
      </c>
      <c r="T115" s="20">
        <f>S115/1709</f>
        <v>2.9256875365710941E-3</v>
      </c>
      <c r="U115" s="17">
        <v>1</v>
      </c>
      <c r="V115" s="20">
        <f>U115/2365</f>
        <v>4.2283298097251583E-4</v>
      </c>
      <c r="W115" s="17">
        <v>49</v>
      </c>
      <c r="X115" s="20">
        <f>W115/75</f>
        <v>0.65333333333333332</v>
      </c>
      <c r="Y115" s="17">
        <v>40</v>
      </c>
      <c r="Z115" s="20">
        <f>Y115/101</f>
        <v>0.39603960396039606</v>
      </c>
      <c r="AA115" s="17">
        <v>113</v>
      </c>
      <c r="AB115" s="20">
        <f>AA115/180</f>
        <v>0.62777777777777777</v>
      </c>
      <c r="AC115" s="17">
        <v>37</v>
      </c>
      <c r="AD115" s="19">
        <f>AC115/248</f>
        <v>0.14919354838709678</v>
      </c>
      <c r="AE115" s="17">
        <v>1</v>
      </c>
      <c r="AF115" s="20">
        <f>AE115/443</f>
        <v>2.257336343115124E-3</v>
      </c>
      <c r="AG115" s="17">
        <v>2</v>
      </c>
      <c r="AH115" s="20">
        <f>AG115/1350</f>
        <v>1.4814814814814814E-3</v>
      </c>
      <c r="AI115" s="39">
        <v>8</v>
      </c>
      <c r="AJ115" s="39">
        <v>0</v>
      </c>
      <c r="AK115">
        <f>AI115/'Total Fiber Count'!H$7</f>
        <v>7.5471698113207544E-2</v>
      </c>
      <c r="AL115">
        <f>AJ115/'Total Fiber Count'!O$7</f>
        <v>0</v>
      </c>
      <c r="AM115">
        <v>1.218</v>
      </c>
      <c r="AN115">
        <v>0.26100000000000001</v>
      </c>
    </row>
    <row r="116" spans="1:40" ht="16" x14ac:dyDescent="0.2">
      <c r="A116" s="16" t="s">
        <v>56</v>
      </c>
      <c r="B116" s="41">
        <v>95.142857142857139</v>
      </c>
      <c r="C116" s="41">
        <v>1.8296703296703296</v>
      </c>
      <c r="D116" s="9" t="s">
        <v>25</v>
      </c>
      <c r="E116" s="10">
        <v>31</v>
      </c>
      <c r="F116" s="10">
        <v>29</v>
      </c>
      <c r="G116" s="12">
        <f>(38-E116)/38*100</f>
        <v>18.421052631578945</v>
      </c>
      <c r="H116" s="12">
        <f>(40-F116)/40*100</f>
        <v>27.500000000000004</v>
      </c>
      <c r="I116" t="b">
        <f>G116&gt;=35</f>
        <v>0</v>
      </c>
      <c r="J116" t="b">
        <f>H116&gt;=50</f>
        <v>0</v>
      </c>
      <c r="K116" s="17">
        <v>236</v>
      </c>
      <c r="L116" s="19">
        <f>K116/381</f>
        <v>0.61942257217847774</v>
      </c>
      <c r="M116" s="17">
        <v>52</v>
      </c>
      <c r="N116" s="19">
        <f>M116/516</f>
        <v>0.10077519379844961</v>
      </c>
      <c r="O116" s="17">
        <v>14</v>
      </c>
      <c r="P116" s="19">
        <f>O116/780</f>
        <v>1.7948717948717947E-2</v>
      </c>
      <c r="Q116" s="17">
        <v>0</v>
      </c>
      <c r="R116" s="20">
        <f>Q116/592</f>
        <v>0</v>
      </c>
      <c r="S116" s="17">
        <v>2</v>
      </c>
      <c r="T116" s="20">
        <f>S116/1709</f>
        <v>1.1702750146284377E-3</v>
      </c>
      <c r="U116" s="17">
        <v>1</v>
      </c>
      <c r="V116" s="20">
        <f>U116/2365</f>
        <v>4.2283298097251583E-4</v>
      </c>
      <c r="W116" s="17">
        <v>44</v>
      </c>
      <c r="X116" s="20">
        <f>W116/75</f>
        <v>0.58666666666666667</v>
      </c>
      <c r="Y116" s="17">
        <v>39</v>
      </c>
      <c r="Z116" s="20">
        <f>Y116/101</f>
        <v>0.38613861386138615</v>
      </c>
      <c r="AA116" s="17">
        <v>107</v>
      </c>
      <c r="AB116" s="20">
        <f>AA116/180</f>
        <v>0.59444444444444444</v>
      </c>
      <c r="AC116" s="17">
        <v>36</v>
      </c>
      <c r="AD116" s="19">
        <f>AC116/248</f>
        <v>0.14516129032258066</v>
      </c>
      <c r="AE116" s="17">
        <v>1</v>
      </c>
      <c r="AF116" s="20">
        <f>AE116/443</f>
        <v>2.257336343115124E-3</v>
      </c>
      <c r="AG116" s="17">
        <v>0</v>
      </c>
      <c r="AH116" s="20">
        <f>AG116/1350</f>
        <v>0</v>
      </c>
      <c r="AI116" s="39">
        <v>5</v>
      </c>
      <c r="AJ116" s="39">
        <v>0</v>
      </c>
      <c r="AK116">
        <f>AI116/'Total Fiber Count'!H$7</f>
        <v>4.716981132075472E-2</v>
      </c>
      <c r="AL116">
        <f>AJ116/'Total Fiber Count'!O$7</f>
        <v>0</v>
      </c>
      <c r="AM116">
        <v>0.84</v>
      </c>
      <c r="AN116">
        <v>0.252</v>
      </c>
    </row>
    <row r="117" spans="1:40" ht="16" x14ac:dyDescent="0.2">
      <c r="A117" s="16" t="s">
        <v>56</v>
      </c>
      <c r="B117" s="41">
        <v>98.571428571428569</v>
      </c>
      <c r="C117" s="41">
        <v>1.8956043956043955</v>
      </c>
      <c r="D117" s="9" t="s">
        <v>25</v>
      </c>
      <c r="E117" s="10">
        <v>35</v>
      </c>
      <c r="F117" s="10">
        <v>36</v>
      </c>
      <c r="G117" s="12">
        <f>(38-E117)/38*100</f>
        <v>7.8947368421052628</v>
      </c>
      <c r="H117" s="12">
        <f>(40-F117)/40*100</f>
        <v>10</v>
      </c>
      <c r="I117" t="b">
        <f>G117&gt;=35</f>
        <v>0</v>
      </c>
      <c r="J117" t="b">
        <f>H117&gt;=50</f>
        <v>0</v>
      </c>
      <c r="K117" s="17">
        <v>233</v>
      </c>
      <c r="L117" s="19">
        <f>K117/381</f>
        <v>0.61154855643044614</v>
      </c>
      <c r="M117" s="17">
        <v>52</v>
      </c>
      <c r="N117" s="19">
        <f>M117/516</f>
        <v>0.10077519379844961</v>
      </c>
      <c r="O117" s="17">
        <v>13</v>
      </c>
      <c r="P117" s="19">
        <f>O117/780</f>
        <v>1.6666666666666666E-2</v>
      </c>
      <c r="Q117" s="17">
        <v>0</v>
      </c>
      <c r="R117" s="20">
        <f>Q117/592</f>
        <v>0</v>
      </c>
      <c r="S117" s="17">
        <v>1</v>
      </c>
      <c r="T117" s="20">
        <f>S117/1709</f>
        <v>5.8513750731421885E-4</v>
      </c>
      <c r="U117" s="17">
        <v>1</v>
      </c>
      <c r="V117" s="20">
        <f>U117/2365</f>
        <v>4.2283298097251583E-4</v>
      </c>
      <c r="W117" s="17">
        <v>43</v>
      </c>
      <c r="X117" s="20">
        <f>W117/75</f>
        <v>0.57333333333333336</v>
      </c>
      <c r="Y117" s="17">
        <v>39</v>
      </c>
      <c r="Z117" s="20">
        <f>Y117/101</f>
        <v>0.38613861386138615</v>
      </c>
      <c r="AA117" s="17">
        <v>107</v>
      </c>
      <c r="AB117" s="20">
        <f>AA117/180</f>
        <v>0.59444444444444444</v>
      </c>
      <c r="AC117" s="17">
        <v>36</v>
      </c>
      <c r="AD117" s="19">
        <f>AC117/248</f>
        <v>0.14516129032258066</v>
      </c>
      <c r="AE117" s="17">
        <v>1</v>
      </c>
      <c r="AF117" s="20">
        <f>AE117/443</f>
        <v>2.257336343115124E-3</v>
      </c>
      <c r="AG117" s="17">
        <v>0</v>
      </c>
      <c r="AH117" s="20">
        <f>AG117/1350</f>
        <v>0</v>
      </c>
      <c r="AI117" s="39">
        <v>5</v>
      </c>
      <c r="AJ117" s="39">
        <v>0</v>
      </c>
      <c r="AK117">
        <f>AI117/'Total Fiber Count'!H$7</f>
        <v>4.716981132075472E-2</v>
      </c>
      <c r="AL117">
        <f>AJ117/'Total Fiber Count'!O$7</f>
        <v>0</v>
      </c>
      <c r="AM117">
        <v>0.79800000000000004</v>
      </c>
      <c r="AN117">
        <v>0.24300000000000005</v>
      </c>
    </row>
    <row r="118" spans="1:40" ht="16" x14ac:dyDescent="0.2">
      <c r="A118" s="16" t="s">
        <v>56</v>
      </c>
      <c r="B118" s="41">
        <v>99</v>
      </c>
      <c r="C118" s="41">
        <v>1.9038461538461537</v>
      </c>
      <c r="D118" s="9" t="s">
        <v>30</v>
      </c>
      <c r="E118" s="10">
        <v>32</v>
      </c>
      <c r="F118" s="10">
        <v>39</v>
      </c>
      <c r="G118" s="12">
        <f>(38-E118)/38*100</f>
        <v>15.789473684210526</v>
      </c>
      <c r="H118" s="12">
        <f>(40-F118)/40*100</f>
        <v>2.5</v>
      </c>
      <c r="I118" t="b">
        <f>G118&gt;=35</f>
        <v>0</v>
      </c>
      <c r="J118" t="b">
        <f>H118&gt;=50</f>
        <v>0</v>
      </c>
      <c r="K118" s="17">
        <v>233</v>
      </c>
      <c r="L118" s="19">
        <f>K118/381</f>
        <v>0.61154855643044614</v>
      </c>
      <c r="M118" s="17">
        <v>59</v>
      </c>
      <c r="N118" s="19">
        <f>M118/516</f>
        <v>0.11434108527131782</v>
      </c>
      <c r="O118" s="17">
        <v>13</v>
      </c>
      <c r="P118" s="19">
        <f>O118/780</f>
        <v>1.6666666666666666E-2</v>
      </c>
      <c r="Q118" s="17">
        <v>0</v>
      </c>
      <c r="R118" s="20">
        <f>Q118/592</f>
        <v>0</v>
      </c>
      <c r="S118" s="17">
        <v>1</v>
      </c>
      <c r="T118" s="20">
        <f>S118/1709</f>
        <v>5.8513750731421885E-4</v>
      </c>
      <c r="U118" s="17">
        <v>1</v>
      </c>
      <c r="V118" s="20">
        <f>U118/2365</f>
        <v>4.2283298097251583E-4</v>
      </c>
      <c r="W118" s="17">
        <v>43</v>
      </c>
      <c r="X118" s="20">
        <f>W118/75</f>
        <v>0.57333333333333336</v>
      </c>
      <c r="Y118" s="17">
        <v>40</v>
      </c>
      <c r="Z118" s="20">
        <f>Y118/101</f>
        <v>0.39603960396039606</v>
      </c>
      <c r="AA118" s="17">
        <v>107</v>
      </c>
      <c r="AB118" s="20">
        <f>AA118/180</f>
        <v>0.59444444444444444</v>
      </c>
      <c r="AC118" s="17">
        <v>37</v>
      </c>
      <c r="AD118" s="19">
        <f>AC118/248</f>
        <v>0.14919354838709678</v>
      </c>
      <c r="AE118" s="17">
        <v>1</v>
      </c>
      <c r="AF118" s="20">
        <f>AE118/443</f>
        <v>2.257336343115124E-3</v>
      </c>
      <c r="AG118" s="17">
        <v>2</v>
      </c>
      <c r="AH118" s="20">
        <f>AG118/1350</f>
        <v>1.4814814814814814E-3</v>
      </c>
      <c r="AI118" s="39">
        <v>5</v>
      </c>
      <c r="AJ118" s="39">
        <v>0</v>
      </c>
      <c r="AK118">
        <f>AI118/'Total Fiber Count'!H$7</f>
        <v>4.716981132075472E-2</v>
      </c>
      <c r="AL118">
        <f>AJ118/'Total Fiber Count'!O$7</f>
        <v>0</v>
      </c>
      <c r="AM118">
        <v>0.79800000000000004</v>
      </c>
      <c r="AN118">
        <v>0.35100000000000003</v>
      </c>
    </row>
    <row r="119" spans="1:40" ht="16" x14ac:dyDescent="0.2">
      <c r="A119" s="16" t="s">
        <v>56</v>
      </c>
      <c r="B119" s="41">
        <v>109.57142857142857</v>
      </c>
      <c r="C119" s="41">
        <v>2.1071428571428572</v>
      </c>
      <c r="D119" s="9" t="s">
        <v>25</v>
      </c>
      <c r="E119" s="10">
        <v>33</v>
      </c>
      <c r="F119" s="10">
        <v>38</v>
      </c>
      <c r="G119" s="12">
        <f>(38-E119)/38*100</f>
        <v>13.157894736842104</v>
      </c>
      <c r="H119" s="12">
        <f>(40-F119)/40*100</f>
        <v>5</v>
      </c>
      <c r="I119" t="b">
        <f>G119&gt;=35</f>
        <v>0</v>
      </c>
      <c r="J119" t="b">
        <f>H119&gt;=50</f>
        <v>0</v>
      </c>
      <c r="K119" s="17">
        <v>236</v>
      </c>
      <c r="L119" s="19">
        <f>K119/381</f>
        <v>0.61942257217847774</v>
      </c>
      <c r="M119" s="17">
        <v>59</v>
      </c>
      <c r="N119" s="19">
        <f>M119/516</f>
        <v>0.11434108527131782</v>
      </c>
      <c r="O119" s="17">
        <v>14</v>
      </c>
      <c r="P119" s="19">
        <f>O119/780</f>
        <v>1.7948717948717947E-2</v>
      </c>
      <c r="Q119" s="17">
        <v>0</v>
      </c>
      <c r="R119" s="20">
        <f>Q119/592</f>
        <v>0</v>
      </c>
      <c r="S119" s="17">
        <v>2</v>
      </c>
      <c r="T119" s="20">
        <f>S119/1709</f>
        <v>1.1702750146284377E-3</v>
      </c>
      <c r="U119" s="17">
        <v>1</v>
      </c>
      <c r="V119" s="20">
        <f>U119/2365</f>
        <v>4.2283298097251583E-4</v>
      </c>
      <c r="W119" s="17">
        <v>44</v>
      </c>
      <c r="X119" s="20">
        <f>W119/75</f>
        <v>0.58666666666666667</v>
      </c>
      <c r="Y119" s="17">
        <v>40</v>
      </c>
      <c r="Z119" s="20">
        <f>Y119/101</f>
        <v>0.39603960396039606</v>
      </c>
      <c r="AA119" s="17">
        <v>107</v>
      </c>
      <c r="AB119" s="20">
        <f>AA119/180</f>
        <v>0.59444444444444444</v>
      </c>
      <c r="AC119" s="17">
        <v>37</v>
      </c>
      <c r="AD119" s="19">
        <f>AC119/248</f>
        <v>0.14919354838709678</v>
      </c>
      <c r="AE119" s="17">
        <v>1</v>
      </c>
      <c r="AF119" s="20">
        <f>AE119/443</f>
        <v>2.257336343115124E-3</v>
      </c>
      <c r="AG119" s="17">
        <v>2</v>
      </c>
      <c r="AH119" s="20">
        <f>AG119/1350</f>
        <v>1.4814814814814814E-3</v>
      </c>
      <c r="AI119" s="39">
        <v>5</v>
      </c>
      <c r="AJ119" s="39">
        <v>0</v>
      </c>
      <c r="AK119">
        <f>AI119/'Total Fiber Count'!H$7</f>
        <v>4.716981132075472E-2</v>
      </c>
      <c r="AL119">
        <f>AJ119/'Total Fiber Count'!O$7</f>
        <v>0</v>
      </c>
      <c r="AM119">
        <v>0.84</v>
      </c>
      <c r="AN119">
        <v>0.36399999999999999</v>
      </c>
    </row>
    <row r="120" spans="1:40" ht="16" x14ac:dyDescent="0.2">
      <c r="A120" s="16" t="s">
        <v>56</v>
      </c>
      <c r="B120" s="41">
        <v>134</v>
      </c>
      <c r="C120" s="41">
        <v>2.5769230769230771</v>
      </c>
      <c r="D120" s="9" t="s">
        <v>25</v>
      </c>
      <c r="E120" s="10">
        <v>32</v>
      </c>
      <c r="F120" s="10">
        <v>36</v>
      </c>
      <c r="G120" s="12">
        <f>(38-E120)/38*100</f>
        <v>15.789473684210526</v>
      </c>
      <c r="H120" s="12">
        <f>(40-F120)/40*100</f>
        <v>10</v>
      </c>
      <c r="I120" t="b">
        <f>G120&gt;=35</f>
        <v>0</v>
      </c>
      <c r="J120" t="b">
        <f>H120&gt;=50</f>
        <v>0</v>
      </c>
      <c r="K120" s="17">
        <v>236</v>
      </c>
      <c r="L120" s="19">
        <f>K120/381</f>
        <v>0.61942257217847774</v>
      </c>
      <c r="M120" s="17">
        <v>59</v>
      </c>
      <c r="N120" s="19">
        <f>M120/516</f>
        <v>0.11434108527131782</v>
      </c>
      <c r="O120" s="17">
        <v>14</v>
      </c>
      <c r="P120" s="19">
        <f>O120/780</f>
        <v>1.7948717948717947E-2</v>
      </c>
      <c r="Q120" s="17">
        <v>0</v>
      </c>
      <c r="R120" s="20">
        <f>Q120/592</f>
        <v>0</v>
      </c>
      <c r="S120" s="17">
        <v>2</v>
      </c>
      <c r="T120" s="20">
        <f>S120/1709</f>
        <v>1.1702750146284377E-3</v>
      </c>
      <c r="U120" s="17">
        <v>1</v>
      </c>
      <c r="V120" s="20">
        <f>U120/2365</f>
        <v>4.2283298097251583E-4</v>
      </c>
      <c r="W120" s="17">
        <v>44</v>
      </c>
      <c r="X120" s="20">
        <f>W120/75</f>
        <v>0.58666666666666667</v>
      </c>
      <c r="Y120" s="17">
        <v>40</v>
      </c>
      <c r="Z120" s="20">
        <f>Y120/101</f>
        <v>0.39603960396039606</v>
      </c>
      <c r="AA120" s="17">
        <v>107</v>
      </c>
      <c r="AB120" s="20">
        <f>AA120/180</f>
        <v>0.59444444444444444</v>
      </c>
      <c r="AC120" s="17">
        <v>37</v>
      </c>
      <c r="AD120" s="19">
        <f>AC120/248</f>
        <v>0.14919354838709678</v>
      </c>
      <c r="AE120" s="17">
        <v>1</v>
      </c>
      <c r="AF120" s="20">
        <f>AE120/443</f>
        <v>2.257336343115124E-3</v>
      </c>
      <c r="AG120" s="17">
        <v>2</v>
      </c>
      <c r="AH120" s="20">
        <f>AG120/1350</f>
        <v>1.4814814814814814E-3</v>
      </c>
      <c r="AI120" s="39">
        <v>5</v>
      </c>
      <c r="AJ120" s="39">
        <v>0</v>
      </c>
      <c r="AK120">
        <f>AI120/'Total Fiber Count'!H$7</f>
        <v>4.716981132075472E-2</v>
      </c>
      <c r="AL120">
        <f>AJ120/'Total Fiber Count'!O$7</f>
        <v>0</v>
      </c>
      <c r="AM120">
        <v>0.84</v>
      </c>
      <c r="AN120">
        <v>0.27</v>
      </c>
    </row>
    <row r="121" spans="1:40" ht="16" x14ac:dyDescent="0.2">
      <c r="A121" s="16" t="s">
        <v>56</v>
      </c>
      <c r="B121" s="41">
        <v>153.85714285714286</v>
      </c>
      <c r="C121" s="41">
        <v>2.9587912087912089</v>
      </c>
      <c r="D121" s="9" t="s">
        <v>25</v>
      </c>
      <c r="E121" s="10">
        <v>32</v>
      </c>
      <c r="F121" s="10">
        <v>35</v>
      </c>
      <c r="G121" s="12">
        <f>(38-E121)/38*100</f>
        <v>15.789473684210526</v>
      </c>
      <c r="H121" s="12">
        <f>(40-F121)/40*100</f>
        <v>12.5</v>
      </c>
      <c r="I121" t="b">
        <f>G121&gt;=35</f>
        <v>0</v>
      </c>
      <c r="J121" t="b">
        <f>H121&gt;=50</f>
        <v>0</v>
      </c>
      <c r="K121" s="17">
        <v>266</v>
      </c>
      <c r="L121" s="19">
        <f>K121/381</f>
        <v>0.69816272965879267</v>
      </c>
      <c r="M121" s="17">
        <v>67</v>
      </c>
      <c r="N121" s="19">
        <f>M121/516</f>
        <v>0.12984496124031009</v>
      </c>
      <c r="O121" s="17">
        <v>16</v>
      </c>
      <c r="P121" s="19">
        <f>O121/780</f>
        <v>2.0512820512820513E-2</v>
      </c>
      <c r="Q121" s="17">
        <v>1</v>
      </c>
      <c r="R121" s="20">
        <f>Q121/592</f>
        <v>1.6891891891891893E-3</v>
      </c>
      <c r="S121" s="17">
        <v>5</v>
      </c>
      <c r="T121" s="20">
        <f>S121/1709</f>
        <v>2.9256875365710941E-3</v>
      </c>
      <c r="U121" s="17">
        <v>1</v>
      </c>
      <c r="V121" s="20">
        <f>U121/2365</f>
        <v>4.2283298097251583E-4</v>
      </c>
      <c r="W121" s="17">
        <v>49</v>
      </c>
      <c r="X121" s="20">
        <f>W121/75</f>
        <v>0.65333333333333332</v>
      </c>
      <c r="Y121" s="17">
        <v>55</v>
      </c>
      <c r="Z121" s="20">
        <f>Y121/101</f>
        <v>0.54455445544554459</v>
      </c>
      <c r="AA121" s="17">
        <v>113</v>
      </c>
      <c r="AB121" s="20">
        <f>AA121/180</f>
        <v>0.62777777777777777</v>
      </c>
      <c r="AC121" s="17">
        <v>45</v>
      </c>
      <c r="AD121" s="19">
        <f>AC121/248</f>
        <v>0.18145161290322581</v>
      </c>
      <c r="AE121" s="17">
        <v>1</v>
      </c>
      <c r="AF121" s="20">
        <f>AE121/443</f>
        <v>2.257336343115124E-3</v>
      </c>
      <c r="AG121" s="17">
        <v>3</v>
      </c>
      <c r="AH121" s="20">
        <f>AG121/1350</f>
        <v>2.2222222222222222E-3</v>
      </c>
      <c r="AI121" s="39">
        <v>8</v>
      </c>
      <c r="AJ121" s="39">
        <v>0</v>
      </c>
      <c r="AK121">
        <f>AI121/'Total Fiber Count'!H$7</f>
        <v>7.5471698113207544E-2</v>
      </c>
      <c r="AL121">
        <f>AJ121/'Total Fiber Count'!O$7</f>
        <v>0</v>
      </c>
      <c r="AM121">
        <v>1.218</v>
      </c>
      <c r="AN121">
        <v>0.52</v>
      </c>
    </row>
    <row r="122" spans="1:40" ht="16" x14ac:dyDescent="0.2">
      <c r="A122" s="16" t="s">
        <v>56</v>
      </c>
      <c r="B122" s="41">
        <v>162.71428571428572</v>
      </c>
      <c r="C122" s="41">
        <v>3.1291208791208791</v>
      </c>
      <c r="D122" s="9" t="s">
        <v>25</v>
      </c>
      <c r="E122" s="10" t="s">
        <v>36</v>
      </c>
      <c r="F122" s="10" t="s">
        <v>36</v>
      </c>
      <c r="G122" s="12" t="s">
        <v>36</v>
      </c>
      <c r="H122" s="12" t="s">
        <v>36</v>
      </c>
      <c r="I122" s="36" t="s">
        <v>36</v>
      </c>
      <c r="J122" t="s">
        <v>36</v>
      </c>
      <c r="K122" s="17">
        <v>278</v>
      </c>
      <c r="L122" s="19">
        <f>K122/381</f>
        <v>0.7296587926509186</v>
      </c>
      <c r="M122" s="17">
        <v>67</v>
      </c>
      <c r="N122" s="19">
        <f>M122/516</f>
        <v>0.12984496124031009</v>
      </c>
      <c r="O122" s="17">
        <v>21</v>
      </c>
      <c r="P122" s="19">
        <f>O122/780</f>
        <v>2.6923076923076925E-2</v>
      </c>
      <c r="Q122" s="17">
        <v>1</v>
      </c>
      <c r="R122" s="20">
        <f>Q122/592</f>
        <v>1.6891891891891893E-3</v>
      </c>
      <c r="S122" s="17">
        <v>6</v>
      </c>
      <c r="T122" s="20">
        <f>S122/1709</f>
        <v>3.5108250438853129E-3</v>
      </c>
      <c r="U122" s="17">
        <v>1</v>
      </c>
      <c r="V122" s="20">
        <f>U122/2365</f>
        <v>4.2283298097251583E-4</v>
      </c>
      <c r="W122" s="17">
        <v>49</v>
      </c>
      <c r="X122" s="20">
        <f>W122/75</f>
        <v>0.65333333333333332</v>
      </c>
      <c r="Y122" s="17">
        <v>55</v>
      </c>
      <c r="Z122" s="20">
        <f>Y122/101</f>
        <v>0.54455445544554459</v>
      </c>
      <c r="AA122" s="17">
        <v>118</v>
      </c>
      <c r="AB122" s="20">
        <f>AA122/180</f>
        <v>0.65555555555555556</v>
      </c>
      <c r="AC122" s="17">
        <v>45</v>
      </c>
      <c r="AD122" s="19">
        <f>AC122/248</f>
        <v>0.18145161290322581</v>
      </c>
      <c r="AE122" s="17">
        <v>4</v>
      </c>
      <c r="AF122" s="20">
        <f>AE122/443</f>
        <v>9.0293453724604959E-3</v>
      </c>
      <c r="AG122" s="17">
        <v>3</v>
      </c>
      <c r="AH122" s="20">
        <f>AG122/1350</f>
        <v>2.2222222222222222E-3</v>
      </c>
      <c r="AI122" s="39">
        <v>8</v>
      </c>
      <c r="AJ122" s="39">
        <v>0</v>
      </c>
      <c r="AK122">
        <f>AI122/'Total Fiber Count'!H$7</f>
        <v>7.5471698113207544E-2</v>
      </c>
      <c r="AL122">
        <f>AJ122/'Total Fiber Count'!O$7</f>
        <v>0</v>
      </c>
      <c r="AM122">
        <v>1.47</v>
      </c>
      <c r="AN122">
        <v>0.7303370786516854</v>
      </c>
    </row>
    <row r="123" spans="1:40" ht="16" x14ac:dyDescent="0.2">
      <c r="A123" s="16" t="s">
        <v>57</v>
      </c>
      <c r="B123" s="41">
        <v>0</v>
      </c>
      <c r="C123" s="41">
        <v>0</v>
      </c>
      <c r="D123" s="12" t="s">
        <v>29</v>
      </c>
      <c r="E123" s="10">
        <v>28</v>
      </c>
      <c r="F123" s="10" t="s">
        <v>36</v>
      </c>
      <c r="G123" s="12">
        <f>(33-E123)/33*100</f>
        <v>15.151515151515152</v>
      </c>
      <c r="H123" s="12" t="s">
        <v>36</v>
      </c>
      <c r="I123" t="b">
        <f>G123&gt;=35</f>
        <v>0</v>
      </c>
      <c r="J123" t="s">
        <v>36</v>
      </c>
      <c r="K123" s="17">
        <v>57</v>
      </c>
      <c r="L123" s="8">
        <f>K123/494</f>
        <v>0.11538461538461539</v>
      </c>
      <c r="M123" s="17">
        <v>98</v>
      </c>
      <c r="N123" s="8">
        <f>M123/248</f>
        <v>0.39516129032258063</v>
      </c>
      <c r="O123" s="17">
        <v>0</v>
      </c>
      <c r="P123" s="8">
        <f>O123/1039</f>
        <v>0</v>
      </c>
      <c r="Q123" s="17">
        <v>4</v>
      </c>
      <c r="R123" s="8">
        <f>Q123/655</f>
        <v>6.1068702290076335E-3</v>
      </c>
      <c r="S123" s="17">
        <v>0</v>
      </c>
      <c r="T123" s="8">
        <f>S123/2105</f>
        <v>0</v>
      </c>
      <c r="U123" s="17">
        <v>0</v>
      </c>
      <c r="V123" s="8">
        <f>U123/934</f>
        <v>0</v>
      </c>
      <c r="W123" s="17">
        <v>7</v>
      </c>
      <c r="X123" s="8">
        <f>W123/28</f>
        <v>0.25</v>
      </c>
      <c r="Y123" s="17">
        <v>13</v>
      </c>
      <c r="Z123" s="8">
        <f>Y123/26</f>
        <v>0.5</v>
      </c>
      <c r="AA123" s="17">
        <v>23</v>
      </c>
      <c r="AB123" s="8">
        <f>AA123/66</f>
        <v>0.34848484848484851</v>
      </c>
      <c r="AC123" s="17">
        <v>48</v>
      </c>
      <c r="AD123" s="8">
        <f>AC123/89</f>
        <v>0.5393258426966292</v>
      </c>
      <c r="AE123" s="17">
        <v>0</v>
      </c>
      <c r="AF123" s="8">
        <f>AE123/230</f>
        <v>0</v>
      </c>
      <c r="AG123" s="17">
        <v>0</v>
      </c>
      <c r="AH123" s="8">
        <f>AG123/236</f>
        <v>0</v>
      </c>
      <c r="AI123" s="39">
        <v>10</v>
      </c>
      <c r="AJ123" s="39">
        <v>47</v>
      </c>
      <c r="AK123">
        <f>AI123/'Total Fiber Count'!H$8</f>
        <v>1.1111111111111112E-2</v>
      </c>
      <c r="AL123">
        <f>AJ123/'Total Fiber Count'!O$8</f>
        <v>0.17870722433460076</v>
      </c>
      <c r="AM123">
        <v>0.12</v>
      </c>
      <c r="AN123">
        <v>0.19690723861383941</v>
      </c>
    </row>
    <row r="124" spans="1:40" ht="16" x14ac:dyDescent="0.2">
      <c r="A124" s="16" t="s">
        <v>57</v>
      </c>
      <c r="B124" s="41">
        <v>0</v>
      </c>
      <c r="C124" s="41">
        <v>0</v>
      </c>
      <c r="D124" s="9" t="s">
        <v>25</v>
      </c>
      <c r="E124" s="10">
        <v>28</v>
      </c>
      <c r="F124" s="10" t="s">
        <v>36</v>
      </c>
      <c r="G124" s="12">
        <f>(33-E124)/33*100</f>
        <v>15.151515151515152</v>
      </c>
      <c r="H124" s="12" t="s">
        <v>36</v>
      </c>
      <c r="I124" t="b">
        <f>G124&gt;=35</f>
        <v>0</v>
      </c>
      <c r="J124" t="s">
        <v>36</v>
      </c>
      <c r="K124" s="17">
        <v>57</v>
      </c>
      <c r="L124" s="8">
        <f>K124/494</f>
        <v>0.11538461538461539</v>
      </c>
      <c r="M124" s="17">
        <v>43</v>
      </c>
      <c r="N124" s="8">
        <f>M124/248</f>
        <v>0.17338709677419356</v>
      </c>
      <c r="O124" s="17">
        <v>0</v>
      </c>
      <c r="P124" s="8">
        <f>O124/1039</f>
        <v>0</v>
      </c>
      <c r="Q124" s="17">
        <v>3</v>
      </c>
      <c r="R124" s="8">
        <f>Q124/655</f>
        <v>4.5801526717557254E-3</v>
      </c>
      <c r="S124" s="17">
        <v>0</v>
      </c>
      <c r="T124" s="8">
        <f>S124/2105</f>
        <v>0</v>
      </c>
      <c r="U124" s="17">
        <v>0</v>
      </c>
      <c r="V124" s="8">
        <f>U124/934</f>
        <v>0</v>
      </c>
      <c r="W124" s="17">
        <v>7</v>
      </c>
      <c r="X124" s="8">
        <f>W124/28</f>
        <v>0.25</v>
      </c>
      <c r="Y124" s="17">
        <v>4</v>
      </c>
      <c r="Z124" s="8">
        <f>Y124/26</f>
        <v>0.15384615384615385</v>
      </c>
      <c r="AA124" s="17">
        <v>23</v>
      </c>
      <c r="AB124" s="8">
        <f>AA124/66</f>
        <v>0.34848484848484851</v>
      </c>
      <c r="AC124" s="17">
        <v>22</v>
      </c>
      <c r="AD124" s="8">
        <f>AC124/89</f>
        <v>0.24719101123595505</v>
      </c>
      <c r="AE124" s="17">
        <v>0</v>
      </c>
      <c r="AF124" s="8">
        <f>AE124/230</f>
        <v>0</v>
      </c>
      <c r="AG124" s="17">
        <v>0</v>
      </c>
      <c r="AH124" s="8">
        <f>AG124/236</f>
        <v>0</v>
      </c>
      <c r="AI124" s="39">
        <v>0</v>
      </c>
      <c r="AJ124" s="39">
        <v>30</v>
      </c>
      <c r="AK124">
        <f>AI124/'Total Fiber Count'!H$8</f>
        <v>0</v>
      </c>
      <c r="AL124">
        <f>AJ124/'Total Fiber Count'!O$8</f>
        <v>0.11406844106463879</v>
      </c>
      <c r="AM124">
        <v>0.12</v>
      </c>
      <c r="AN124">
        <v>6.5635746204613141E-2</v>
      </c>
    </row>
    <row r="125" spans="1:40" ht="16" x14ac:dyDescent="0.2">
      <c r="A125" s="16" t="s">
        <v>57</v>
      </c>
      <c r="B125" s="41">
        <v>0</v>
      </c>
      <c r="C125" s="41">
        <v>0</v>
      </c>
      <c r="D125" s="12" t="s">
        <v>29</v>
      </c>
      <c r="E125" s="10">
        <v>28</v>
      </c>
      <c r="F125" s="10" t="s">
        <v>36</v>
      </c>
      <c r="G125" s="12">
        <f>(33-E125)/33*100</f>
        <v>15.151515151515152</v>
      </c>
      <c r="H125" s="12" t="s">
        <v>36</v>
      </c>
      <c r="I125" t="b">
        <f>G125&gt;=35</f>
        <v>0</v>
      </c>
      <c r="J125" t="s">
        <v>36</v>
      </c>
      <c r="K125" s="17">
        <v>57</v>
      </c>
      <c r="L125" s="8">
        <f>K125/494</f>
        <v>0.11538461538461539</v>
      </c>
      <c r="M125" s="17">
        <v>102</v>
      </c>
      <c r="N125" s="8">
        <f>M125/248</f>
        <v>0.41129032258064518</v>
      </c>
      <c r="O125" s="17">
        <v>0</v>
      </c>
      <c r="P125" s="8">
        <f>O125/1039</f>
        <v>0</v>
      </c>
      <c r="Q125" s="17">
        <v>4</v>
      </c>
      <c r="R125" s="8">
        <f>Q125/655</f>
        <v>6.1068702290076335E-3</v>
      </c>
      <c r="S125" s="17">
        <v>0</v>
      </c>
      <c r="T125" s="8">
        <f>S125/2105</f>
        <v>0</v>
      </c>
      <c r="U125" s="17">
        <v>0</v>
      </c>
      <c r="V125" s="8">
        <f>U125/934</f>
        <v>0</v>
      </c>
      <c r="W125" s="17">
        <v>7</v>
      </c>
      <c r="X125" s="8">
        <f>W125/28</f>
        <v>0.25</v>
      </c>
      <c r="Y125" s="17">
        <v>18</v>
      </c>
      <c r="Z125" s="8">
        <f>Y125/26</f>
        <v>0.69230769230769229</v>
      </c>
      <c r="AA125" s="17">
        <v>23</v>
      </c>
      <c r="AB125" s="8">
        <f>AA125/66</f>
        <v>0.34848484848484851</v>
      </c>
      <c r="AC125" s="17">
        <v>45</v>
      </c>
      <c r="AD125" s="8">
        <f>AC125/89</f>
        <v>0.5056179775280899</v>
      </c>
      <c r="AE125" s="17">
        <v>0</v>
      </c>
      <c r="AF125" s="8">
        <f>AE125/230</f>
        <v>0</v>
      </c>
      <c r="AG125" s="17">
        <v>0</v>
      </c>
      <c r="AH125" s="8">
        <f>AG125/236</f>
        <v>0</v>
      </c>
      <c r="AI125" s="39">
        <v>0</v>
      </c>
      <c r="AJ125" s="39">
        <v>46</v>
      </c>
      <c r="AK125">
        <f>AI125/'Total Fiber Count'!H$8</f>
        <v>0</v>
      </c>
      <c r="AL125">
        <f>AJ125/'Total Fiber Count'!O$8</f>
        <v>0.17490494296577946</v>
      </c>
      <c r="AM125">
        <v>0.12</v>
      </c>
      <c r="AN125">
        <v>0.22021676550066857</v>
      </c>
    </row>
    <row r="126" spans="1:40" ht="16" x14ac:dyDescent="0.2">
      <c r="A126" s="16" t="s">
        <v>57</v>
      </c>
      <c r="B126" s="41">
        <v>0</v>
      </c>
      <c r="C126" s="41">
        <v>0</v>
      </c>
      <c r="D126" s="9" t="s">
        <v>25</v>
      </c>
      <c r="E126" s="10">
        <v>28</v>
      </c>
      <c r="F126" s="10" t="s">
        <v>36</v>
      </c>
      <c r="G126" s="12">
        <f>(33-E126)/33*100</f>
        <v>15.151515151515152</v>
      </c>
      <c r="H126" s="12" t="s">
        <v>36</v>
      </c>
      <c r="I126" t="b">
        <f>G126&gt;=35</f>
        <v>0</v>
      </c>
      <c r="J126" t="s">
        <v>36</v>
      </c>
      <c r="K126" s="17">
        <v>57</v>
      </c>
      <c r="L126" s="8">
        <f>K126/494</f>
        <v>0.11538461538461539</v>
      </c>
      <c r="M126" s="17">
        <v>50</v>
      </c>
      <c r="N126" s="8">
        <f>M126/248</f>
        <v>0.20161290322580644</v>
      </c>
      <c r="O126" s="17">
        <v>0</v>
      </c>
      <c r="P126" s="8">
        <f>O126/1039</f>
        <v>0</v>
      </c>
      <c r="Q126" s="17">
        <v>3</v>
      </c>
      <c r="R126" s="8">
        <f>Q126/655</f>
        <v>4.5801526717557254E-3</v>
      </c>
      <c r="S126" s="17">
        <v>0</v>
      </c>
      <c r="T126" s="8">
        <f>S126/2105</f>
        <v>0</v>
      </c>
      <c r="U126" s="17">
        <v>0</v>
      </c>
      <c r="V126" s="8">
        <f>U126/934</f>
        <v>0</v>
      </c>
      <c r="W126" s="17">
        <v>7</v>
      </c>
      <c r="X126" s="8">
        <f>W126/28</f>
        <v>0.25</v>
      </c>
      <c r="Y126" s="17">
        <v>5</v>
      </c>
      <c r="Z126" s="8">
        <f>Y126/26</f>
        <v>0.19230769230769232</v>
      </c>
      <c r="AA126" s="17">
        <v>23</v>
      </c>
      <c r="AB126" s="8">
        <f>AA126/66</f>
        <v>0.34848484848484851</v>
      </c>
      <c r="AC126" s="17">
        <v>26</v>
      </c>
      <c r="AD126" s="8">
        <f>AC126/89</f>
        <v>0.29213483146067415</v>
      </c>
      <c r="AE126" s="17">
        <v>0</v>
      </c>
      <c r="AF126" s="8">
        <f>AE126/230</f>
        <v>0</v>
      </c>
      <c r="AG126" s="17">
        <v>0</v>
      </c>
      <c r="AH126" s="8">
        <f>AG126/236</f>
        <v>0</v>
      </c>
      <c r="AI126" s="39">
        <v>0</v>
      </c>
      <c r="AJ126" s="39">
        <v>32</v>
      </c>
      <c r="AK126">
        <f>AI126/'Total Fiber Count'!H$8</f>
        <v>0</v>
      </c>
      <c r="AL126">
        <f>AJ126/'Total Fiber Count'!O$8</f>
        <v>0.12167300380228137</v>
      </c>
      <c r="AM126">
        <v>0.12</v>
      </c>
      <c r="AN126">
        <v>7.3405588500222857E-2</v>
      </c>
    </row>
    <row r="127" spans="1:40" ht="16" x14ac:dyDescent="0.2">
      <c r="A127" s="16" t="s">
        <v>57</v>
      </c>
      <c r="B127" s="41">
        <v>0</v>
      </c>
      <c r="C127" s="41">
        <v>0</v>
      </c>
      <c r="D127" s="9" t="s">
        <v>25</v>
      </c>
      <c r="E127" s="10">
        <v>28</v>
      </c>
      <c r="F127" s="10" t="s">
        <v>36</v>
      </c>
      <c r="G127" s="12">
        <f>(33-E127)/33*100</f>
        <v>15.151515151515152</v>
      </c>
      <c r="H127" s="12" t="s">
        <v>36</v>
      </c>
      <c r="I127" t="b">
        <f>G127&gt;=35</f>
        <v>0</v>
      </c>
      <c r="J127" t="s">
        <v>36</v>
      </c>
      <c r="K127" s="17">
        <v>57</v>
      </c>
      <c r="L127" s="8">
        <f>K127/494</f>
        <v>0.11538461538461539</v>
      </c>
      <c r="M127" s="17">
        <v>38</v>
      </c>
      <c r="N127" s="8">
        <f>M127/248</f>
        <v>0.15322580645161291</v>
      </c>
      <c r="O127" s="17">
        <v>0</v>
      </c>
      <c r="P127" s="8">
        <f>O127/1039</f>
        <v>0</v>
      </c>
      <c r="Q127" s="17">
        <v>0</v>
      </c>
      <c r="R127" s="8">
        <f>Q127/655</f>
        <v>0</v>
      </c>
      <c r="S127" s="17">
        <v>0</v>
      </c>
      <c r="T127" s="8">
        <f>S127/2105</f>
        <v>0</v>
      </c>
      <c r="U127" s="17">
        <v>0</v>
      </c>
      <c r="V127" s="8">
        <f>U127/934</f>
        <v>0</v>
      </c>
      <c r="W127" s="17">
        <v>7</v>
      </c>
      <c r="X127" s="8">
        <f>W127/28</f>
        <v>0.25</v>
      </c>
      <c r="Y127" s="17">
        <v>7</v>
      </c>
      <c r="Z127" s="8">
        <f>Y127/26</f>
        <v>0.26923076923076922</v>
      </c>
      <c r="AA127" s="17">
        <v>23</v>
      </c>
      <c r="AB127" s="8">
        <f>AA127/66</f>
        <v>0.34848484848484851</v>
      </c>
      <c r="AC127" s="17">
        <v>37</v>
      </c>
      <c r="AD127" s="8">
        <f>AC127/89</f>
        <v>0.4157303370786517</v>
      </c>
      <c r="AE127" s="17">
        <v>0</v>
      </c>
      <c r="AF127" s="8">
        <f>AE127/230</f>
        <v>0</v>
      </c>
      <c r="AG127" s="17">
        <v>0</v>
      </c>
      <c r="AH127" s="8">
        <f>AG127/236</f>
        <v>0</v>
      </c>
      <c r="AI127" s="39">
        <v>0</v>
      </c>
      <c r="AJ127" s="39">
        <v>20</v>
      </c>
      <c r="AK127">
        <f>AI127/'Total Fiber Count'!H$8</f>
        <v>0</v>
      </c>
      <c r="AL127">
        <f>AJ127/'Total Fiber Count'!O$8</f>
        <v>7.6045627376425853E-2</v>
      </c>
      <c r="AM127">
        <v>0.12</v>
      </c>
      <c r="AN127">
        <v>7.9295154185022032E-2</v>
      </c>
    </row>
    <row r="128" spans="1:40" ht="16" x14ac:dyDescent="0.2">
      <c r="A128" s="16" t="s">
        <v>57</v>
      </c>
      <c r="B128" s="41">
        <v>2.1428571428571428</v>
      </c>
      <c r="C128" s="41">
        <v>4.1208791208791208E-2</v>
      </c>
      <c r="D128" s="9" t="s">
        <v>25</v>
      </c>
      <c r="E128" s="10">
        <v>29</v>
      </c>
      <c r="F128" s="10">
        <v>43</v>
      </c>
      <c r="G128" s="12">
        <f>(33-E128)/33*100</f>
        <v>12.121212121212121</v>
      </c>
      <c r="H128" s="12">
        <f>(22-F128)/22*100</f>
        <v>-95.454545454545453</v>
      </c>
      <c r="I128" t="b">
        <f>G128&gt;=35</f>
        <v>0</v>
      </c>
      <c r="J128" t="b">
        <f>H128&gt;=50</f>
        <v>0</v>
      </c>
      <c r="K128" s="17" t="s">
        <v>28</v>
      </c>
      <c r="L128" s="19">
        <v>0</v>
      </c>
      <c r="M128" s="17">
        <v>40</v>
      </c>
      <c r="N128" s="8">
        <f>M128/248</f>
        <v>0.16129032258064516</v>
      </c>
      <c r="O128" s="17" t="s">
        <v>28</v>
      </c>
      <c r="P128" s="19">
        <v>0</v>
      </c>
      <c r="Q128" s="17">
        <v>0</v>
      </c>
      <c r="R128" s="8">
        <f>Q128/655</f>
        <v>0</v>
      </c>
      <c r="S128" s="17" t="s">
        <v>28</v>
      </c>
      <c r="T128" s="20">
        <v>0</v>
      </c>
      <c r="U128" s="17">
        <v>0</v>
      </c>
      <c r="V128" s="8">
        <f>U128/934</f>
        <v>0</v>
      </c>
      <c r="W128" s="17" t="s">
        <v>28</v>
      </c>
      <c r="X128" s="20">
        <v>0</v>
      </c>
      <c r="Y128" s="17">
        <v>5</v>
      </c>
      <c r="Z128" s="8">
        <f>Y128/26</f>
        <v>0.19230769230769232</v>
      </c>
      <c r="AA128" s="17" t="s">
        <v>28</v>
      </c>
      <c r="AB128" s="8">
        <v>0</v>
      </c>
      <c r="AC128" s="17">
        <v>39</v>
      </c>
      <c r="AD128" s="8">
        <f>AC128/89</f>
        <v>0.43820224719101125</v>
      </c>
      <c r="AE128" s="17" t="s">
        <v>28</v>
      </c>
      <c r="AF128" s="19">
        <v>0</v>
      </c>
      <c r="AG128" s="17">
        <v>0</v>
      </c>
      <c r="AH128" s="8">
        <f>AG128/236</f>
        <v>0</v>
      </c>
      <c r="AI128" s="39" t="s">
        <v>28</v>
      </c>
      <c r="AJ128" s="39">
        <v>9</v>
      </c>
      <c r="AK128">
        <v>0</v>
      </c>
      <c r="AL128">
        <f>AJ128/'Total Fiber Count'!O$8</f>
        <v>3.4220532319391636E-2</v>
      </c>
      <c r="AM128">
        <v>0</v>
      </c>
      <c r="AN128">
        <v>0.16468435498627632</v>
      </c>
    </row>
    <row r="129" spans="1:40" ht="16" x14ac:dyDescent="0.2">
      <c r="A129" s="16" t="s">
        <v>57</v>
      </c>
      <c r="B129" s="41">
        <v>5</v>
      </c>
      <c r="C129" s="41">
        <v>9.6153846153846159E-2</v>
      </c>
      <c r="D129" s="9" t="s">
        <v>25</v>
      </c>
      <c r="E129" s="10">
        <v>30</v>
      </c>
      <c r="F129" s="10">
        <v>38</v>
      </c>
      <c r="G129" s="12">
        <f>(33-E129)/33*100</f>
        <v>9.0909090909090917</v>
      </c>
      <c r="H129" s="12">
        <f>(22-F129)/22*100</f>
        <v>-72.727272727272734</v>
      </c>
      <c r="I129" t="b">
        <f>G129&gt;=35</f>
        <v>0</v>
      </c>
      <c r="J129" t="b">
        <f>H129&gt;=50</f>
        <v>0</v>
      </c>
      <c r="K129" s="17" t="s">
        <v>28</v>
      </c>
      <c r="L129" s="19">
        <v>0</v>
      </c>
      <c r="M129" s="17">
        <v>40</v>
      </c>
      <c r="N129" s="8">
        <f>M129/248</f>
        <v>0.16129032258064516</v>
      </c>
      <c r="O129" s="17" t="s">
        <v>28</v>
      </c>
      <c r="P129" s="19">
        <v>0</v>
      </c>
      <c r="Q129" s="17">
        <v>0</v>
      </c>
      <c r="R129" s="8">
        <f>Q129/655</f>
        <v>0</v>
      </c>
      <c r="S129" s="17" t="s">
        <v>28</v>
      </c>
      <c r="T129" s="20">
        <v>0</v>
      </c>
      <c r="U129" s="17">
        <v>0</v>
      </c>
      <c r="V129" s="8">
        <f>U129/934</f>
        <v>0</v>
      </c>
      <c r="W129" s="17" t="s">
        <v>28</v>
      </c>
      <c r="X129" s="20">
        <v>0</v>
      </c>
      <c r="Y129" s="17">
        <v>5</v>
      </c>
      <c r="Z129" s="8">
        <f>Y129/26</f>
        <v>0.19230769230769232</v>
      </c>
      <c r="AA129" s="17" t="s">
        <v>28</v>
      </c>
      <c r="AB129" s="8">
        <v>0</v>
      </c>
      <c r="AC129" s="17">
        <v>39</v>
      </c>
      <c r="AD129" s="8">
        <f>AC129/89</f>
        <v>0.43820224719101125</v>
      </c>
      <c r="AE129" s="17" t="s">
        <v>28</v>
      </c>
      <c r="AF129" s="19">
        <v>0</v>
      </c>
      <c r="AG129" s="17">
        <v>0</v>
      </c>
      <c r="AH129" s="8">
        <f>AG129/236</f>
        <v>0</v>
      </c>
      <c r="AI129" s="39" t="s">
        <v>28</v>
      </c>
      <c r="AJ129" s="39">
        <v>9</v>
      </c>
      <c r="AK129">
        <v>0</v>
      </c>
      <c r="AL129">
        <f>AJ129/'Total Fiber Count'!O$8</f>
        <v>3.4220532319391636E-2</v>
      </c>
      <c r="AM129">
        <v>0</v>
      </c>
      <c r="AN129">
        <v>0.18115279048490393</v>
      </c>
    </row>
    <row r="130" spans="1:40" ht="16" x14ac:dyDescent="0.2">
      <c r="A130" s="16" t="s">
        <v>57</v>
      </c>
      <c r="B130" s="41">
        <v>13.428571428571429</v>
      </c>
      <c r="C130" s="41">
        <v>0.25824175824175827</v>
      </c>
      <c r="D130" s="9" t="s">
        <v>25</v>
      </c>
      <c r="E130" s="10">
        <v>30</v>
      </c>
      <c r="F130" s="10">
        <v>38</v>
      </c>
      <c r="G130" s="12">
        <f>(33-E130)/33*100</f>
        <v>9.0909090909090917</v>
      </c>
      <c r="H130" s="12">
        <f>(22-F130)/22*100</f>
        <v>-72.727272727272734</v>
      </c>
      <c r="I130" t="b">
        <f>G130&gt;=35</f>
        <v>0</v>
      </c>
      <c r="J130" t="b">
        <f>H130&gt;=50</f>
        <v>0</v>
      </c>
      <c r="K130" s="17">
        <v>53</v>
      </c>
      <c r="L130" s="8">
        <f>K130/494</f>
        <v>0.10728744939271255</v>
      </c>
      <c r="M130" s="17">
        <v>41</v>
      </c>
      <c r="N130" s="8">
        <f>M130/248</f>
        <v>0.16532258064516128</v>
      </c>
      <c r="O130" s="17">
        <v>0</v>
      </c>
      <c r="P130" s="8">
        <f>O130/1039</f>
        <v>0</v>
      </c>
      <c r="Q130" s="17">
        <v>1</v>
      </c>
      <c r="R130" s="8">
        <f>Q130/655</f>
        <v>1.5267175572519084E-3</v>
      </c>
      <c r="S130" s="17">
        <v>0</v>
      </c>
      <c r="T130" s="8">
        <f>S130/2105</f>
        <v>0</v>
      </c>
      <c r="U130" s="17">
        <v>0</v>
      </c>
      <c r="V130" s="8">
        <f>U130/934</f>
        <v>0</v>
      </c>
      <c r="W130" s="17">
        <v>12</v>
      </c>
      <c r="X130" s="8">
        <f>W130/28</f>
        <v>0.42857142857142855</v>
      </c>
      <c r="Y130" s="17">
        <v>7</v>
      </c>
      <c r="Z130" s="8">
        <f>Y130/26</f>
        <v>0.26923076923076922</v>
      </c>
      <c r="AA130" s="17">
        <v>26</v>
      </c>
      <c r="AB130" s="8">
        <f>AA130/66</f>
        <v>0.39393939393939392</v>
      </c>
      <c r="AC130" s="17">
        <v>34</v>
      </c>
      <c r="AD130" s="8">
        <f>AC130/89</f>
        <v>0.38202247191011235</v>
      </c>
      <c r="AE130" s="17">
        <v>0</v>
      </c>
      <c r="AF130" s="8">
        <f>AE130/230</f>
        <v>0</v>
      </c>
      <c r="AG130" s="17">
        <v>0</v>
      </c>
      <c r="AH130" s="8">
        <f>AG130/236</f>
        <v>0</v>
      </c>
      <c r="AI130" s="39">
        <v>0</v>
      </c>
      <c r="AJ130" s="39">
        <v>19</v>
      </c>
      <c r="AK130">
        <f>AI130/'Total Fiber Count'!H$8</f>
        <v>0</v>
      </c>
      <c r="AL130">
        <f>AJ130/'Total Fiber Count'!O$8</f>
        <v>7.2243346007604556E-2</v>
      </c>
      <c r="AM130">
        <v>0.36</v>
      </c>
      <c r="AN130">
        <v>0.36</v>
      </c>
    </row>
    <row r="131" spans="1:40" ht="16" x14ac:dyDescent="0.2">
      <c r="A131" s="16" t="s">
        <v>57</v>
      </c>
      <c r="B131" s="41">
        <v>13.571428571428571</v>
      </c>
      <c r="C131" s="41">
        <v>0.26098901098901101</v>
      </c>
      <c r="D131" s="9" t="s">
        <v>25</v>
      </c>
      <c r="E131" s="10">
        <v>28</v>
      </c>
      <c r="F131" s="10">
        <v>25</v>
      </c>
      <c r="G131" s="12">
        <f>(33-E131)/33*100</f>
        <v>15.151515151515152</v>
      </c>
      <c r="H131" s="12">
        <f>(22-F131)/22*100</f>
        <v>-13.636363636363635</v>
      </c>
      <c r="I131" t="b">
        <f>G131&gt;=35</f>
        <v>0</v>
      </c>
      <c r="J131" t="b">
        <f>H131&gt;=50</f>
        <v>0</v>
      </c>
      <c r="K131" s="17">
        <v>292</v>
      </c>
      <c r="L131" s="8">
        <f>K131/494</f>
        <v>0.59109311740890691</v>
      </c>
      <c r="M131" s="17">
        <v>60</v>
      </c>
      <c r="N131" s="8">
        <f>M131/248</f>
        <v>0.24193548387096775</v>
      </c>
      <c r="O131" s="17">
        <v>15</v>
      </c>
      <c r="P131" s="8">
        <f>O131/1039</f>
        <v>1.4436958614051972E-2</v>
      </c>
      <c r="Q131" s="17">
        <v>1</v>
      </c>
      <c r="R131" s="8">
        <f>Q131/655</f>
        <v>1.5267175572519084E-3</v>
      </c>
      <c r="S131" s="17">
        <v>22</v>
      </c>
      <c r="T131" s="8">
        <f>S131/2105</f>
        <v>1.0451306413301662E-2</v>
      </c>
      <c r="U131" s="17">
        <v>0</v>
      </c>
      <c r="V131" s="8">
        <f>U131/934</f>
        <v>0</v>
      </c>
      <c r="W131" s="17">
        <v>23</v>
      </c>
      <c r="X131" s="8">
        <f>W131/28</f>
        <v>0.8214285714285714</v>
      </c>
      <c r="Y131" s="17">
        <v>18</v>
      </c>
      <c r="Z131" s="8">
        <f>Y131/26</f>
        <v>0.69230769230769229</v>
      </c>
      <c r="AA131" s="17">
        <v>24</v>
      </c>
      <c r="AB131" s="8">
        <f>AA131/66</f>
        <v>0.36363636363636365</v>
      </c>
      <c r="AC131" s="17">
        <v>38</v>
      </c>
      <c r="AD131" s="8">
        <f>AC131/89</f>
        <v>0.42696629213483145</v>
      </c>
      <c r="AE131" s="17">
        <v>0</v>
      </c>
      <c r="AF131" s="8">
        <f>AE131/230</f>
        <v>0</v>
      </c>
      <c r="AG131" s="17">
        <v>0</v>
      </c>
      <c r="AH131" s="8">
        <f>AG131/236</f>
        <v>0</v>
      </c>
      <c r="AI131" s="39">
        <v>72</v>
      </c>
      <c r="AJ131" s="39">
        <v>23</v>
      </c>
      <c r="AK131">
        <f>AI131/'Total Fiber Count'!H$8</f>
        <v>0.08</v>
      </c>
      <c r="AL131">
        <f>AJ131/'Total Fiber Count'!O$8</f>
        <v>8.7452471482889732E-2</v>
      </c>
      <c r="AM131">
        <v>0.36</v>
      </c>
      <c r="AN131">
        <v>0.46875</v>
      </c>
    </row>
    <row r="132" spans="1:40" ht="16" x14ac:dyDescent="0.2">
      <c r="A132" s="16" t="s">
        <v>57</v>
      </c>
      <c r="B132" s="41">
        <v>21.571428571428569</v>
      </c>
      <c r="C132" s="41">
        <v>0.4148351648351648</v>
      </c>
      <c r="D132" s="9" t="s">
        <v>25</v>
      </c>
      <c r="E132" s="10">
        <v>28</v>
      </c>
      <c r="F132" s="10">
        <v>25</v>
      </c>
      <c r="G132" s="12">
        <f>(33-E132)/33*100</f>
        <v>15.151515151515152</v>
      </c>
      <c r="H132" s="12">
        <f>(22-F132)/22*100</f>
        <v>-13.636363636363635</v>
      </c>
      <c r="I132" t="b">
        <f>G132&gt;=35</f>
        <v>0</v>
      </c>
      <c r="J132" t="b">
        <f>H132&gt;=50</f>
        <v>0</v>
      </c>
      <c r="K132" s="17">
        <v>179</v>
      </c>
      <c r="L132" s="8">
        <f>K132/494</f>
        <v>0.3623481781376518</v>
      </c>
      <c r="M132" s="17">
        <v>45</v>
      </c>
      <c r="N132" s="8">
        <f>M132/248</f>
        <v>0.18145161290322581</v>
      </c>
      <c r="O132" s="17">
        <v>0</v>
      </c>
      <c r="P132" s="8">
        <f>O132/1039</f>
        <v>0</v>
      </c>
      <c r="Q132" s="17">
        <v>3</v>
      </c>
      <c r="R132" s="8">
        <f>Q132/655</f>
        <v>4.5801526717557254E-3</v>
      </c>
      <c r="S132" s="17">
        <v>0</v>
      </c>
      <c r="T132" s="8">
        <f>S132/2105</f>
        <v>0</v>
      </c>
      <c r="U132" s="17">
        <v>0</v>
      </c>
      <c r="V132" s="8">
        <f>U132/934</f>
        <v>0</v>
      </c>
      <c r="W132" s="17">
        <v>18</v>
      </c>
      <c r="X132" s="8">
        <f>W132/28</f>
        <v>0.6428571428571429</v>
      </c>
      <c r="Y132" s="17">
        <v>8</v>
      </c>
      <c r="Z132" s="8">
        <f>Y132/26</f>
        <v>0.30769230769230771</v>
      </c>
      <c r="AA132" s="17">
        <v>30</v>
      </c>
      <c r="AB132" s="8">
        <f>AA132/66</f>
        <v>0.45454545454545453</v>
      </c>
      <c r="AC132" s="17">
        <v>14</v>
      </c>
      <c r="AD132" s="8">
        <f>AC132/89</f>
        <v>0.15730337078651685</v>
      </c>
      <c r="AE132" s="17">
        <v>0</v>
      </c>
      <c r="AF132" s="8">
        <f>AE132/230</f>
        <v>0</v>
      </c>
      <c r="AG132" s="17">
        <v>0</v>
      </c>
      <c r="AH132" s="8">
        <f>AG132/236</f>
        <v>0</v>
      </c>
      <c r="AI132" s="39">
        <v>35</v>
      </c>
      <c r="AJ132" s="39">
        <v>42</v>
      </c>
      <c r="AK132">
        <f>AI132/'Total Fiber Count'!H$8</f>
        <v>3.888888888888889E-2</v>
      </c>
      <c r="AL132">
        <f>AJ132/'Total Fiber Count'!O$8</f>
        <v>0.1596958174904943</v>
      </c>
      <c r="AM132">
        <v>0.48491999999999991</v>
      </c>
      <c r="AN132">
        <v>0.49500000000000005</v>
      </c>
    </row>
    <row r="133" spans="1:40" ht="16" x14ac:dyDescent="0.2">
      <c r="A133" s="16" t="s">
        <v>57</v>
      </c>
      <c r="B133" s="41">
        <v>28</v>
      </c>
      <c r="C133" s="41">
        <v>0.53846153846153844</v>
      </c>
      <c r="D133" s="9" t="s">
        <v>25</v>
      </c>
      <c r="E133" s="10">
        <v>16</v>
      </c>
      <c r="F133" s="10">
        <v>13</v>
      </c>
      <c r="G133" s="12">
        <f>(33-E133)/33*100</f>
        <v>51.515151515151516</v>
      </c>
      <c r="H133" s="12">
        <f>(22-F133)/22*100</f>
        <v>40.909090909090914</v>
      </c>
      <c r="I133" t="b">
        <f>G133&gt;=35</f>
        <v>1</v>
      </c>
      <c r="J133" t="b">
        <f>H133&gt;=50</f>
        <v>0</v>
      </c>
      <c r="K133" s="17">
        <v>203</v>
      </c>
      <c r="L133" s="8">
        <f>K133/494</f>
        <v>0.41093117408906882</v>
      </c>
      <c r="M133" s="17">
        <v>68</v>
      </c>
      <c r="N133" s="8">
        <f>M133/248</f>
        <v>0.27419354838709675</v>
      </c>
      <c r="O133" s="17">
        <v>2</v>
      </c>
      <c r="P133" s="8">
        <f>O133/1039</f>
        <v>1.9249278152069298E-3</v>
      </c>
      <c r="Q133" s="17">
        <v>1</v>
      </c>
      <c r="R133" s="8">
        <f>Q133/655</f>
        <v>1.5267175572519084E-3</v>
      </c>
      <c r="S133" s="17">
        <v>1</v>
      </c>
      <c r="T133" s="8">
        <f>S133/2105</f>
        <v>4.7505938242280285E-4</v>
      </c>
      <c r="U133" s="17">
        <v>0</v>
      </c>
      <c r="V133" s="8">
        <f>U133/934</f>
        <v>0</v>
      </c>
      <c r="W133" s="17">
        <v>20</v>
      </c>
      <c r="X133" s="8">
        <f>W133/28</f>
        <v>0.7142857142857143</v>
      </c>
      <c r="Y133" s="17">
        <v>20</v>
      </c>
      <c r="Z133" s="8">
        <f>Y133/26</f>
        <v>0.76923076923076927</v>
      </c>
      <c r="AA133" s="17">
        <v>17</v>
      </c>
      <c r="AB133" s="8">
        <f>AA133/66</f>
        <v>0.25757575757575757</v>
      </c>
      <c r="AC133" s="17">
        <v>46</v>
      </c>
      <c r="AD133" s="8">
        <f>AC133/89</f>
        <v>0.5168539325842697</v>
      </c>
      <c r="AE133" s="17">
        <v>0</v>
      </c>
      <c r="AF133" s="8">
        <f>AE133/230</f>
        <v>0</v>
      </c>
      <c r="AG133" s="17">
        <v>0</v>
      </c>
      <c r="AH133" s="8">
        <f>AG133/236</f>
        <v>0</v>
      </c>
      <c r="AI133" s="39">
        <v>48</v>
      </c>
      <c r="AJ133" s="39">
        <v>26</v>
      </c>
      <c r="AK133">
        <f>AI133/'Total Fiber Count'!H$8</f>
        <v>5.3333333333333337E-2</v>
      </c>
      <c r="AL133">
        <f>AJ133/'Total Fiber Count'!O$8</f>
        <v>9.8859315589353611E-2</v>
      </c>
      <c r="AM133">
        <v>0.24245999999999995</v>
      </c>
      <c r="AN133">
        <v>0.49500000000000005</v>
      </c>
    </row>
    <row r="134" spans="1:40" ht="16" x14ac:dyDescent="0.2">
      <c r="A134" s="16" t="s">
        <v>57</v>
      </c>
      <c r="B134" s="41">
        <v>42.571428571428569</v>
      </c>
      <c r="C134" s="41">
        <v>0.81868131868131866</v>
      </c>
      <c r="D134" s="9" t="s">
        <v>25</v>
      </c>
      <c r="E134" s="10">
        <v>20</v>
      </c>
      <c r="F134" s="10">
        <v>16</v>
      </c>
      <c r="G134" s="12">
        <f>(33-E134)/33*100</f>
        <v>39.393939393939391</v>
      </c>
      <c r="H134" s="12">
        <f>(22-F134)/22*100</f>
        <v>27.27272727272727</v>
      </c>
      <c r="I134" t="b">
        <f>G134&gt;=35</f>
        <v>1</v>
      </c>
      <c r="J134" t="b">
        <f>H134&gt;=50</f>
        <v>0</v>
      </c>
      <c r="K134" s="17">
        <v>203</v>
      </c>
      <c r="L134" s="8">
        <f>K134/494</f>
        <v>0.41093117408906882</v>
      </c>
      <c r="M134" s="17">
        <v>68</v>
      </c>
      <c r="N134" s="8">
        <f>M134/248</f>
        <v>0.27419354838709675</v>
      </c>
      <c r="O134" s="17">
        <v>2</v>
      </c>
      <c r="P134" s="8">
        <f>O134/1039</f>
        <v>1.9249278152069298E-3</v>
      </c>
      <c r="Q134" s="17">
        <v>1</v>
      </c>
      <c r="R134" s="8">
        <f>Q134/655</f>
        <v>1.5267175572519084E-3</v>
      </c>
      <c r="S134" s="17">
        <v>1</v>
      </c>
      <c r="T134" s="8">
        <f>S134/2105</f>
        <v>4.7505938242280285E-4</v>
      </c>
      <c r="U134" s="17">
        <v>0</v>
      </c>
      <c r="V134" s="8">
        <f>U134/934</f>
        <v>0</v>
      </c>
      <c r="W134" s="17">
        <v>20</v>
      </c>
      <c r="X134" s="8">
        <f>W134/28</f>
        <v>0.7142857142857143</v>
      </c>
      <c r="Y134" s="17">
        <v>20</v>
      </c>
      <c r="Z134" s="8">
        <f>Y134/26</f>
        <v>0.76923076923076927</v>
      </c>
      <c r="AA134" s="17">
        <v>17</v>
      </c>
      <c r="AB134" s="8">
        <f>AA134/66</f>
        <v>0.25757575757575757</v>
      </c>
      <c r="AC134" s="17">
        <v>46</v>
      </c>
      <c r="AD134" s="8">
        <f>AC134/89</f>
        <v>0.5168539325842697</v>
      </c>
      <c r="AE134" s="17">
        <v>0</v>
      </c>
      <c r="AF134" s="8">
        <f>AE134/230</f>
        <v>0</v>
      </c>
      <c r="AG134" s="17">
        <v>0</v>
      </c>
      <c r="AH134" s="8">
        <f>AG134/236</f>
        <v>0</v>
      </c>
      <c r="AI134" s="39">
        <v>48</v>
      </c>
      <c r="AJ134" s="39">
        <v>26</v>
      </c>
      <c r="AK134">
        <f>AI134/'Total Fiber Count'!H$8</f>
        <v>5.3333333333333337E-2</v>
      </c>
      <c r="AL134">
        <f>AJ134/'Total Fiber Count'!O$8</f>
        <v>9.8859315589353611E-2</v>
      </c>
      <c r="AM134">
        <v>0.18279000000000004</v>
      </c>
      <c r="AN134">
        <v>0.49500000000000005</v>
      </c>
    </row>
    <row r="135" spans="1:40" ht="16" x14ac:dyDescent="0.2">
      <c r="A135" s="16" t="s">
        <v>57</v>
      </c>
      <c r="B135" s="41">
        <v>72.714285714285708</v>
      </c>
      <c r="C135" s="41">
        <v>1.3983516483516483</v>
      </c>
      <c r="D135" s="9" t="s">
        <v>25</v>
      </c>
      <c r="E135" s="10">
        <v>20</v>
      </c>
      <c r="F135" s="10">
        <v>16</v>
      </c>
      <c r="G135" s="12">
        <f>(33-E135)/33*100</f>
        <v>39.393939393939391</v>
      </c>
      <c r="H135" s="12">
        <f>(22-F135)/22*100</f>
        <v>27.27272727272727</v>
      </c>
      <c r="I135" t="b">
        <f>G135&gt;=35</f>
        <v>1</v>
      </c>
      <c r="J135" t="b">
        <f>H135&gt;=50</f>
        <v>0</v>
      </c>
      <c r="K135" s="17">
        <v>203</v>
      </c>
      <c r="L135" s="8">
        <f>K135/494</f>
        <v>0.41093117408906882</v>
      </c>
      <c r="M135" s="17">
        <v>68</v>
      </c>
      <c r="N135" s="8">
        <f>M135/248</f>
        <v>0.27419354838709675</v>
      </c>
      <c r="O135" s="17">
        <v>2</v>
      </c>
      <c r="P135" s="8">
        <f>O135/1039</f>
        <v>1.9249278152069298E-3</v>
      </c>
      <c r="Q135" s="17">
        <v>1</v>
      </c>
      <c r="R135" s="8">
        <f>Q135/655</f>
        <v>1.5267175572519084E-3</v>
      </c>
      <c r="S135" s="17">
        <v>1</v>
      </c>
      <c r="T135" s="8">
        <f>S135/2105</f>
        <v>4.7505938242280285E-4</v>
      </c>
      <c r="U135" s="17">
        <v>0</v>
      </c>
      <c r="V135" s="8">
        <f>U135/934</f>
        <v>0</v>
      </c>
      <c r="W135" s="17">
        <v>20</v>
      </c>
      <c r="X135" s="8">
        <f>W135/28</f>
        <v>0.7142857142857143</v>
      </c>
      <c r="Y135" s="17">
        <v>20</v>
      </c>
      <c r="Z135" s="8">
        <f>Y135/26</f>
        <v>0.76923076923076927</v>
      </c>
      <c r="AA135" s="17">
        <v>17</v>
      </c>
      <c r="AB135" s="8">
        <f>AA135/66</f>
        <v>0.25757575757575757</v>
      </c>
      <c r="AC135" s="17">
        <v>46</v>
      </c>
      <c r="AD135" s="8">
        <f>AC135/89</f>
        <v>0.5168539325842697</v>
      </c>
      <c r="AE135" s="17">
        <v>0</v>
      </c>
      <c r="AF135" s="8">
        <f>AE135/230</f>
        <v>0</v>
      </c>
      <c r="AG135" s="17">
        <v>0</v>
      </c>
      <c r="AH135" s="8">
        <f>AG135/236</f>
        <v>0</v>
      </c>
      <c r="AI135" s="39">
        <v>48</v>
      </c>
      <c r="AJ135" s="39">
        <v>26</v>
      </c>
      <c r="AK135">
        <f>AI135/'Total Fiber Count'!H$8</f>
        <v>5.3333333333333337E-2</v>
      </c>
      <c r="AL135">
        <f>AJ135/'Total Fiber Count'!O$8</f>
        <v>9.8859315589353611E-2</v>
      </c>
      <c r="AM135">
        <v>0.18279000000000004</v>
      </c>
      <c r="AN135">
        <v>0.49500000000000005</v>
      </c>
    </row>
    <row r="136" spans="1:40" ht="16" x14ac:dyDescent="0.2">
      <c r="A136" s="16" t="s">
        <v>57</v>
      </c>
      <c r="B136" s="41">
        <v>85.857142857142847</v>
      </c>
      <c r="C136" s="41">
        <v>1.651098901098901</v>
      </c>
      <c r="D136" s="9" t="s">
        <v>25</v>
      </c>
      <c r="E136" s="10">
        <v>20</v>
      </c>
      <c r="F136" s="10">
        <v>16</v>
      </c>
      <c r="G136" s="12">
        <f>(33-E136)/33*100</f>
        <v>39.393939393939391</v>
      </c>
      <c r="H136" s="12">
        <f>(22-F136)/22*100</f>
        <v>27.27272727272727</v>
      </c>
      <c r="I136" t="b">
        <f>G136&gt;=35</f>
        <v>1</v>
      </c>
      <c r="J136" t="b">
        <f>H136&gt;=50</f>
        <v>0</v>
      </c>
      <c r="K136" s="17">
        <v>203</v>
      </c>
      <c r="L136" s="8">
        <f>K136/494</f>
        <v>0.41093117408906882</v>
      </c>
      <c r="M136" s="17">
        <v>68</v>
      </c>
      <c r="N136" s="8">
        <f>M136/248</f>
        <v>0.27419354838709675</v>
      </c>
      <c r="O136" s="17">
        <v>2</v>
      </c>
      <c r="P136" s="8">
        <f>O136/1039</f>
        <v>1.9249278152069298E-3</v>
      </c>
      <c r="Q136" s="17">
        <v>1</v>
      </c>
      <c r="R136" s="8">
        <f>Q136/655</f>
        <v>1.5267175572519084E-3</v>
      </c>
      <c r="S136" s="17">
        <v>1</v>
      </c>
      <c r="T136" s="8">
        <f>S136/2105</f>
        <v>4.7505938242280285E-4</v>
      </c>
      <c r="U136" s="17">
        <v>0</v>
      </c>
      <c r="V136" s="8">
        <f>U136/934</f>
        <v>0</v>
      </c>
      <c r="W136" s="17">
        <v>20</v>
      </c>
      <c r="X136" s="8">
        <f>W136/28</f>
        <v>0.7142857142857143</v>
      </c>
      <c r="Y136" s="17">
        <v>20</v>
      </c>
      <c r="Z136" s="8">
        <f>Y136/26</f>
        <v>0.76923076923076927</v>
      </c>
      <c r="AA136" s="17">
        <v>17</v>
      </c>
      <c r="AB136" s="8">
        <f>AA136/66</f>
        <v>0.25757575757575757</v>
      </c>
      <c r="AC136" s="17">
        <v>46</v>
      </c>
      <c r="AD136" s="8">
        <f>AC136/89</f>
        <v>0.5168539325842697</v>
      </c>
      <c r="AE136" s="17">
        <v>0</v>
      </c>
      <c r="AF136" s="8">
        <f>AE136/230</f>
        <v>0</v>
      </c>
      <c r="AG136" s="17">
        <v>0</v>
      </c>
      <c r="AH136" s="8">
        <f>AG136/236</f>
        <v>0</v>
      </c>
      <c r="AI136" s="39">
        <v>48</v>
      </c>
      <c r="AJ136" s="39">
        <v>26</v>
      </c>
      <c r="AK136">
        <f>AI136/'Total Fiber Count'!H$8</f>
        <v>5.3333333333333337E-2</v>
      </c>
      <c r="AL136">
        <f>AJ136/'Total Fiber Count'!O$8</f>
        <v>9.8859315589353611E-2</v>
      </c>
      <c r="AM136">
        <v>0.18279000000000004</v>
      </c>
      <c r="AN136">
        <v>0.49500000000000005</v>
      </c>
    </row>
    <row r="137" spans="1:40" ht="16" x14ac:dyDescent="0.2">
      <c r="A137" s="16" t="s">
        <v>57</v>
      </c>
      <c r="B137" s="41">
        <v>98.714285714285708</v>
      </c>
      <c r="C137" s="41">
        <v>1.8983516483516483</v>
      </c>
      <c r="D137" s="9" t="s">
        <v>25</v>
      </c>
      <c r="E137" s="10">
        <v>20</v>
      </c>
      <c r="F137" s="10">
        <v>16</v>
      </c>
      <c r="G137" s="12">
        <f>(33-E137)/33*100</f>
        <v>39.393939393939391</v>
      </c>
      <c r="H137" s="12">
        <f>(22-F137)/22*100</f>
        <v>27.27272727272727</v>
      </c>
      <c r="I137" t="b">
        <f>G137&gt;=35</f>
        <v>1</v>
      </c>
      <c r="J137" t="b">
        <f>H137&gt;=50</f>
        <v>0</v>
      </c>
      <c r="K137" s="17">
        <v>203</v>
      </c>
      <c r="L137" s="8">
        <f>K137/494</f>
        <v>0.41093117408906882</v>
      </c>
      <c r="M137" s="17">
        <v>68</v>
      </c>
      <c r="N137" s="8">
        <f>M137/248</f>
        <v>0.27419354838709675</v>
      </c>
      <c r="O137" s="17">
        <v>2</v>
      </c>
      <c r="P137" s="8">
        <f>O137/1039</f>
        <v>1.9249278152069298E-3</v>
      </c>
      <c r="Q137" s="17">
        <v>1</v>
      </c>
      <c r="R137" s="8">
        <f>Q137/655</f>
        <v>1.5267175572519084E-3</v>
      </c>
      <c r="S137" s="17">
        <v>1</v>
      </c>
      <c r="T137" s="8">
        <f>S137/2105</f>
        <v>4.7505938242280285E-4</v>
      </c>
      <c r="U137" s="17">
        <v>0</v>
      </c>
      <c r="V137" s="8">
        <f>U137/934</f>
        <v>0</v>
      </c>
      <c r="W137" s="17">
        <v>20</v>
      </c>
      <c r="X137" s="8">
        <f>W137/28</f>
        <v>0.7142857142857143</v>
      </c>
      <c r="Y137" s="17">
        <v>20</v>
      </c>
      <c r="Z137" s="8">
        <f>Y137/26</f>
        <v>0.76923076923076927</v>
      </c>
      <c r="AA137" s="17">
        <v>17</v>
      </c>
      <c r="AB137" s="8">
        <f>AA137/66</f>
        <v>0.25757575757575757</v>
      </c>
      <c r="AC137" s="17">
        <v>46</v>
      </c>
      <c r="AD137" s="8">
        <f>AC137/89</f>
        <v>0.5168539325842697</v>
      </c>
      <c r="AE137" s="17">
        <v>0</v>
      </c>
      <c r="AF137" s="8">
        <f>AE137/230</f>
        <v>0</v>
      </c>
      <c r="AG137" s="17">
        <v>0</v>
      </c>
      <c r="AH137" s="8">
        <f>AG137/236</f>
        <v>0</v>
      </c>
      <c r="AI137" s="39">
        <v>48</v>
      </c>
      <c r="AJ137" s="39">
        <v>26</v>
      </c>
      <c r="AK137">
        <f>AI137/'Total Fiber Count'!H$8</f>
        <v>5.3333333333333337E-2</v>
      </c>
      <c r="AL137">
        <f>AJ137/'Total Fiber Count'!O$8</f>
        <v>9.8859315589353611E-2</v>
      </c>
      <c r="AM137">
        <v>0.18279000000000004</v>
      </c>
      <c r="AN137">
        <v>0.49500000000000005</v>
      </c>
    </row>
    <row r="138" spans="1:40" ht="16" x14ac:dyDescent="0.2">
      <c r="A138" s="16" t="s">
        <v>57</v>
      </c>
      <c r="B138" s="41">
        <v>111.71428571428571</v>
      </c>
      <c r="C138" s="41">
        <v>2.1483516483516483</v>
      </c>
      <c r="D138" s="9" t="s">
        <v>25</v>
      </c>
      <c r="E138" s="10">
        <v>20</v>
      </c>
      <c r="F138" s="10">
        <v>16</v>
      </c>
      <c r="G138" s="12">
        <f>(33-E138)/33*100</f>
        <v>39.393939393939391</v>
      </c>
      <c r="H138" s="12">
        <f>(22-F138)/22*100</f>
        <v>27.27272727272727</v>
      </c>
      <c r="I138" t="b">
        <f>G138&gt;=35</f>
        <v>1</v>
      </c>
      <c r="J138" t="b">
        <f>H138&gt;=50</f>
        <v>0</v>
      </c>
      <c r="K138" s="17">
        <v>203</v>
      </c>
      <c r="L138" s="8">
        <f>K138/494</f>
        <v>0.41093117408906882</v>
      </c>
      <c r="M138" s="17">
        <v>68</v>
      </c>
      <c r="N138" s="8">
        <f>M138/248</f>
        <v>0.27419354838709675</v>
      </c>
      <c r="O138" s="17">
        <v>2</v>
      </c>
      <c r="P138" s="8">
        <f>O138/1039</f>
        <v>1.9249278152069298E-3</v>
      </c>
      <c r="Q138" s="17">
        <v>1</v>
      </c>
      <c r="R138" s="8">
        <f>Q138/655</f>
        <v>1.5267175572519084E-3</v>
      </c>
      <c r="S138" s="17">
        <v>1</v>
      </c>
      <c r="T138" s="8">
        <f>S138/2105</f>
        <v>4.7505938242280285E-4</v>
      </c>
      <c r="U138" s="17">
        <v>0</v>
      </c>
      <c r="V138" s="8">
        <f>U138/934</f>
        <v>0</v>
      </c>
      <c r="W138" s="17">
        <v>20</v>
      </c>
      <c r="X138" s="8">
        <f>W138/28</f>
        <v>0.7142857142857143</v>
      </c>
      <c r="Y138" s="17">
        <v>20</v>
      </c>
      <c r="Z138" s="8">
        <f>Y138/26</f>
        <v>0.76923076923076927</v>
      </c>
      <c r="AA138" s="17">
        <v>17</v>
      </c>
      <c r="AB138" s="8">
        <f>AA138/66</f>
        <v>0.25757575757575757</v>
      </c>
      <c r="AC138" s="17">
        <v>46</v>
      </c>
      <c r="AD138" s="8">
        <f>AC138/89</f>
        <v>0.5168539325842697</v>
      </c>
      <c r="AE138" s="17">
        <v>0</v>
      </c>
      <c r="AF138" s="8">
        <f>AE138/230</f>
        <v>0</v>
      </c>
      <c r="AG138" s="17">
        <v>0</v>
      </c>
      <c r="AH138" s="8">
        <f>AG138/236</f>
        <v>0</v>
      </c>
      <c r="AI138" s="39">
        <v>48</v>
      </c>
      <c r="AJ138" s="39">
        <v>26</v>
      </c>
      <c r="AK138">
        <f>AI138/'Total Fiber Count'!H$8</f>
        <v>5.3333333333333337E-2</v>
      </c>
      <c r="AL138">
        <f>AJ138/'Total Fiber Count'!O$8</f>
        <v>9.8859315589353611E-2</v>
      </c>
      <c r="AM138">
        <v>0.18279000000000004</v>
      </c>
      <c r="AN138">
        <v>0.49500000000000005</v>
      </c>
    </row>
    <row r="139" spans="1:40" ht="16" x14ac:dyDescent="0.2">
      <c r="A139" s="21" t="s">
        <v>58</v>
      </c>
      <c r="B139" s="41">
        <v>0</v>
      </c>
      <c r="C139" s="41">
        <v>0</v>
      </c>
      <c r="D139" s="31" t="s">
        <v>25</v>
      </c>
      <c r="E139" s="10">
        <v>25</v>
      </c>
      <c r="F139" s="10">
        <v>33</v>
      </c>
      <c r="G139" s="12">
        <f>(29-E139)/29*100</f>
        <v>13.793103448275861</v>
      </c>
      <c r="H139" s="12">
        <f>(36-F139)/36*100</f>
        <v>8.3333333333333321</v>
      </c>
      <c r="I139" t="b">
        <f>G139&gt;=35</f>
        <v>0</v>
      </c>
      <c r="J139" t="b">
        <f>H139&gt;=50</f>
        <v>0</v>
      </c>
      <c r="K139" s="23">
        <v>123</v>
      </c>
      <c r="L139" s="8">
        <f>K139/134</f>
        <v>0.91791044776119401</v>
      </c>
      <c r="M139">
        <v>83</v>
      </c>
      <c r="N139" s="8">
        <f>M139/174</f>
        <v>0.47701149425287354</v>
      </c>
      <c r="O139">
        <v>14</v>
      </c>
      <c r="P139" s="8">
        <f>O139/422</f>
        <v>3.3175355450236969E-2</v>
      </c>
      <c r="Q139">
        <v>4</v>
      </c>
      <c r="R139" s="8">
        <f>Q139/351</f>
        <v>1.1396011396011397E-2</v>
      </c>
      <c r="S139">
        <v>1</v>
      </c>
      <c r="T139" s="8">
        <f>S139/1099</f>
        <v>9.099181073703367E-4</v>
      </c>
      <c r="U139">
        <v>13</v>
      </c>
      <c r="V139" s="8">
        <f>U139/1750</f>
        <v>7.4285714285714285E-3</v>
      </c>
      <c r="W139">
        <v>132</v>
      </c>
      <c r="X139" s="8">
        <f>W139/136</f>
        <v>0.97058823529411764</v>
      </c>
      <c r="Y139">
        <v>6</v>
      </c>
      <c r="Z139" s="8">
        <f>Y139/59</f>
        <v>0.10169491525423729</v>
      </c>
      <c r="AA139">
        <v>419</v>
      </c>
      <c r="AB139" s="8">
        <f>AA139/420</f>
        <v>0.99761904761904763</v>
      </c>
      <c r="AC139">
        <v>57</v>
      </c>
      <c r="AD139" s="8">
        <f>AC139/158</f>
        <v>0.36075949367088606</v>
      </c>
      <c r="AE139">
        <v>0</v>
      </c>
      <c r="AF139" s="8">
        <f>AE139/114</f>
        <v>0</v>
      </c>
      <c r="AG139">
        <v>3</v>
      </c>
      <c r="AH139" s="8">
        <f>AG139/270</f>
        <v>1.1111111111111112E-2</v>
      </c>
      <c r="AI139" s="39">
        <v>1</v>
      </c>
      <c r="AJ139" s="39">
        <v>7</v>
      </c>
      <c r="AK139">
        <f>AI139/'Total Fiber Count'!H$9</f>
        <v>7.1428571428571426E-3</v>
      </c>
      <c r="AL139">
        <f>AJ139/'Total Fiber Count'!O$9</f>
        <v>2.9166666666666667E-2</v>
      </c>
      <c r="AM139">
        <v>0.54</v>
      </c>
      <c r="AN139">
        <v>0.25047438330170779</v>
      </c>
    </row>
    <row r="140" spans="1:40" ht="16" x14ac:dyDescent="0.2">
      <c r="A140" s="21" t="s">
        <v>58</v>
      </c>
      <c r="B140" s="41">
        <v>10.571428571428571</v>
      </c>
      <c r="C140" s="41">
        <v>0.2032967032967033</v>
      </c>
      <c r="D140" s="31" t="s">
        <v>25</v>
      </c>
      <c r="E140" s="10">
        <v>21</v>
      </c>
      <c r="F140" s="10">
        <v>18</v>
      </c>
      <c r="G140" s="12">
        <f>(29-E140)/29*100</f>
        <v>27.586206896551722</v>
      </c>
      <c r="H140" s="12">
        <f>(36-F140)/36*100</f>
        <v>50</v>
      </c>
      <c r="I140" t="b">
        <f>G140&gt;=35</f>
        <v>0</v>
      </c>
      <c r="J140" t="b">
        <f>H140&gt;=50</f>
        <v>1</v>
      </c>
      <c r="K140" s="23">
        <v>123</v>
      </c>
      <c r="L140" s="8">
        <f>K140/134</f>
        <v>0.91791044776119401</v>
      </c>
      <c r="M140">
        <v>83</v>
      </c>
      <c r="N140" s="8">
        <f>M140/174</f>
        <v>0.47701149425287354</v>
      </c>
      <c r="O140">
        <v>10</v>
      </c>
      <c r="P140" s="8">
        <f>O140/422</f>
        <v>2.3696682464454975E-2</v>
      </c>
      <c r="Q140">
        <v>4</v>
      </c>
      <c r="R140" s="8">
        <f>Q140/351</f>
        <v>1.1396011396011397E-2</v>
      </c>
      <c r="S140">
        <v>1</v>
      </c>
      <c r="T140" s="8">
        <f>S140/1099</f>
        <v>9.099181073703367E-4</v>
      </c>
      <c r="U140">
        <v>13</v>
      </c>
      <c r="V140" s="8">
        <f>U140/1750</f>
        <v>7.4285714285714285E-3</v>
      </c>
      <c r="W140">
        <v>132</v>
      </c>
      <c r="X140" s="8">
        <f>W140/136</f>
        <v>0.97058823529411764</v>
      </c>
      <c r="Y140">
        <v>6</v>
      </c>
      <c r="Z140" s="8">
        <f>Y140/59</f>
        <v>0.10169491525423729</v>
      </c>
      <c r="AA140">
        <v>418</v>
      </c>
      <c r="AB140" s="8">
        <f>AA140/420</f>
        <v>0.99523809523809526</v>
      </c>
      <c r="AC140">
        <v>57</v>
      </c>
      <c r="AD140" s="8">
        <f>AC140/158</f>
        <v>0.36075949367088606</v>
      </c>
      <c r="AE140">
        <v>0</v>
      </c>
      <c r="AF140" s="8">
        <f>AE140/114</f>
        <v>0</v>
      </c>
      <c r="AG140">
        <v>3</v>
      </c>
      <c r="AH140" s="8">
        <f>AG140/270</f>
        <v>1.1111111111111112E-2</v>
      </c>
      <c r="AI140" s="39">
        <v>1</v>
      </c>
      <c r="AJ140" s="39">
        <v>7</v>
      </c>
      <c r="AK140">
        <f>AI140/'Total Fiber Count'!H$9</f>
        <v>7.1428571428571426E-3</v>
      </c>
      <c r="AL140">
        <f>AJ140/'Total Fiber Count'!O$9</f>
        <v>2.9166666666666667E-2</v>
      </c>
      <c r="AM140">
        <v>0.47699999999999992</v>
      </c>
      <c r="AN140">
        <v>0.26280000000000003</v>
      </c>
    </row>
    <row r="141" spans="1:40" ht="16" x14ac:dyDescent="0.2">
      <c r="A141" s="21" t="s">
        <v>58</v>
      </c>
      <c r="B141" s="41">
        <v>45.571428571428569</v>
      </c>
      <c r="C141" s="41">
        <v>0.87637362637362637</v>
      </c>
      <c r="D141" s="31" t="s">
        <v>25</v>
      </c>
      <c r="E141" s="10" t="s">
        <v>36</v>
      </c>
      <c r="F141" s="10" t="s">
        <v>36</v>
      </c>
      <c r="G141" s="12" t="s">
        <v>36</v>
      </c>
      <c r="H141" s="12" t="s">
        <v>36</v>
      </c>
      <c r="I141" s="36" t="s">
        <v>36</v>
      </c>
      <c r="J141" t="s">
        <v>36</v>
      </c>
      <c r="K141" s="23">
        <v>123</v>
      </c>
      <c r="L141" s="8">
        <f>K141/134</f>
        <v>0.91791044776119401</v>
      </c>
      <c r="M141">
        <v>80</v>
      </c>
      <c r="N141" s="8">
        <f>M141/174</f>
        <v>0.45977011494252873</v>
      </c>
      <c r="O141">
        <v>14</v>
      </c>
      <c r="P141" s="8">
        <f>O141/422</f>
        <v>3.3175355450236969E-2</v>
      </c>
      <c r="Q141">
        <v>7</v>
      </c>
      <c r="R141" s="8">
        <f>Q141/351</f>
        <v>1.9943019943019943E-2</v>
      </c>
      <c r="S141">
        <v>1</v>
      </c>
      <c r="T141" s="8">
        <f>S141/1099</f>
        <v>9.099181073703367E-4</v>
      </c>
      <c r="U141">
        <v>24</v>
      </c>
      <c r="V141" s="8">
        <f>U141/1750</f>
        <v>1.3714285714285714E-2</v>
      </c>
      <c r="W141">
        <v>132</v>
      </c>
      <c r="X141" s="8">
        <f>W141/136</f>
        <v>0.97058823529411764</v>
      </c>
      <c r="Y141">
        <v>6</v>
      </c>
      <c r="Z141" s="8">
        <f>Y141/59</f>
        <v>0.10169491525423729</v>
      </c>
      <c r="AA141">
        <v>419</v>
      </c>
      <c r="AB141" s="8">
        <f>AA141/420</f>
        <v>0.99761904761904763</v>
      </c>
      <c r="AC141">
        <v>52</v>
      </c>
      <c r="AD141" s="8">
        <f>AC141/158</f>
        <v>0.32911392405063289</v>
      </c>
      <c r="AE141">
        <v>0</v>
      </c>
      <c r="AF141" s="8">
        <f>AE141/114</f>
        <v>0</v>
      </c>
      <c r="AG141">
        <v>4</v>
      </c>
      <c r="AH141" s="8">
        <f>AG141/270</f>
        <v>1.4814814814814815E-2</v>
      </c>
      <c r="AI141" s="39">
        <v>1</v>
      </c>
      <c r="AJ141" s="39">
        <v>8</v>
      </c>
      <c r="AK141">
        <f>AI141/'Total Fiber Count'!H$9</f>
        <v>7.1428571428571426E-3</v>
      </c>
      <c r="AL141">
        <f>AJ141/'Total Fiber Count'!O$9</f>
        <v>3.3333333333333333E-2</v>
      </c>
      <c r="AM141">
        <v>0.62100000000000011</v>
      </c>
      <c r="AN141">
        <v>0.22500000000000001</v>
      </c>
    </row>
    <row r="142" spans="1:40" ht="16" x14ac:dyDescent="0.2">
      <c r="A142" s="21" t="s">
        <v>58</v>
      </c>
      <c r="B142" s="41">
        <v>62.571428571428569</v>
      </c>
      <c r="C142" s="41">
        <v>1.2032967032967032</v>
      </c>
      <c r="D142" s="31" t="s">
        <v>25</v>
      </c>
      <c r="E142" s="10">
        <v>23</v>
      </c>
      <c r="F142" s="10">
        <v>32</v>
      </c>
      <c r="G142" s="12">
        <f>(29-E142)/29*100</f>
        <v>20.689655172413794</v>
      </c>
      <c r="H142" s="12">
        <f>(36-F142)/36*100</f>
        <v>11.111111111111111</v>
      </c>
      <c r="I142" t="b">
        <f>G142&gt;=35</f>
        <v>0</v>
      </c>
      <c r="J142" t="b">
        <f>H142&gt;=50</f>
        <v>0</v>
      </c>
      <c r="K142" s="23">
        <v>113</v>
      </c>
      <c r="L142" s="8">
        <f>K142/134</f>
        <v>0.84328358208955223</v>
      </c>
      <c r="M142">
        <v>39</v>
      </c>
      <c r="N142" s="8">
        <f>M142/174</f>
        <v>0.22413793103448276</v>
      </c>
      <c r="O142">
        <v>4</v>
      </c>
      <c r="P142" s="8">
        <f>O142/422</f>
        <v>9.4786729857819912E-3</v>
      </c>
      <c r="Q142">
        <v>14</v>
      </c>
      <c r="R142" s="8">
        <f>Q142/351</f>
        <v>3.9886039886039885E-2</v>
      </c>
      <c r="S142">
        <v>0</v>
      </c>
      <c r="T142" s="8">
        <f>S142/1099</f>
        <v>0</v>
      </c>
      <c r="U142">
        <v>27</v>
      </c>
      <c r="V142" s="8">
        <f>U142/1750</f>
        <v>1.5428571428571429E-2</v>
      </c>
      <c r="W142">
        <v>122</v>
      </c>
      <c r="X142" s="8">
        <f>W142/136</f>
        <v>0.8970588235294118</v>
      </c>
      <c r="Y142">
        <v>0</v>
      </c>
      <c r="Z142" s="8">
        <f>Y142/59</f>
        <v>0</v>
      </c>
      <c r="AA142">
        <v>394</v>
      </c>
      <c r="AB142" s="8">
        <f>AA142/420</f>
        <v>0.93809523809523809</v>
      </c>
      <c r="AC142">
        <v>10</v>
      </c>
      <c r="AD142" s="8">
        <f>AC142/158</f>
        <v>6.3291139240506333E-2</v>
      </c>
      <c r="AE142">
        <v>0</v>
      </c>
      <c r="AF142" s="8">
        <f>AE142/114</f>
        <v>0</v>
      </c>
      <c r="AG142">
        <v>2</v>
      </c>
      <c r="AH142" s="8">
        <f>AG142/270</f>
        <v>7.4074074074074077E-3</v>
      </c>
      <c r="AI142" s="39">
        <v>0</v>
      </c>
      <c r="AJ142" s="39">
        <v>0</v>
      </c>
      <c r="AK142">
        <f>AI142/'Total Fiber Count'!H$9</f>
        <v>0</v>
      </c>
      <c r="AL142">
        <f>AJ142/'Total Fiber Count'!O$9</f>
        <v>0</v>
      </c>
      <c r="AM142">
        <v>0.30857400000000001</v>
      </c>
      <c r="AN142">
        <v>0.37259999999999999</v>
      </c>
    </row>
    <row r="143" spans="1:40" ht="16" x14ac:dyDescent="0.2">
      <c r="A143" s="21" t="s">
        <v>58</v>
      </c>
      <c r="B143" s="41">
        <v>64.571428571428569</v>
      </c>
      <c r="C143" s="41">
        <v>1.2417582417582418</v>
      </c>
      <c r="D143" s="31" t="s">
        <v>25</v>
      </c>
      <c r="E143" s="10">
        <v>24</v>
      </c>
      <c r="F143" s="10">
        <v>33</v>
      </c>
      <c r="G143" s="12">
        <f>(29-E143)/29*100</f>
        <v>17.241379310344829</v>
      </c>
      <c r="H143" s="12">
        <f>(36-F143)/36*100</f>
        <v>8.3333333333333321</v>
      </c>
      <c r="I143" t="b">
        <f>G143&gt;=35</f>
        <v>0</v>
      </c>
      <c r="J143" t="b">
        <f>H143&gt;=50</f>
        <v>0</v>
      </c>
      <c r="K143" s="23">
        <v>118</v>
      </c>
      <c r="L143" s="8">
        <f>K143/134</f>
        <v>0.88059701492537312</v>
      </c>
      <c r="M143">
        <v>39</v>
      </c>
      <c r="N143" s="8">
        <f>M143/174</f>
        <v>0.22413793103448276</v>
      </c>
      <c r="O143">
        <v>4</v>
      </c>
      <c r="P143" s="8">
        <f>O143/422</f>
        <v>9.4786729857819912E-3</v>
      </c>
      <c r="Q143">
        <v>22</v>
      </c>
      <c r="R143" s="8">
        <f>Q143/351</f>
        <v>6.2678062678062682E-2</v>
      </c>
      <c r="S143">
        <v>0</v>
      </c>
      <c r="T143" s="8">
        <f>S143/1099</f>
        <v>0</v>
      </c>
      <c r="U143">
        <v>42</v>
      </c>
      <c r="V143" s="8">
        <f>U143/1750</f>
        <v>2.4E-2</v>
      </c>
      <c r="W143">
        <v>127</v>
      </c>
      <c r="X143" s="8">
        <f>W143/136</f>
        <v>0.93382352941176472</v>
      </c>
      <c r="Y143">
        <v>0</v>
      </c>
      <c r="Z143" s="8">
        <f>Y143/59</f>
        <v>0</v>
      </c>
      <c r="AA143">
        <v>401</v>
      </c>
      <c r="AB143" s="8">
        <f>AA143/420</f>
        <v>0.95476190476190481</v>
      </c>
      <c r="AC143">
        <v>10</v>
      </c>
      <c r="AD143" s="8">
        <f>AC143/158</f>
        <v>6.3291139240506333E-2</v>
      </c>
      <c r="AE143">
        <v>0</v>
      </c>
      <c r="AF143" s="8">
        <f>AE143/114</f>
        <v>0</v>
      </c>
      <c r="AG143">
        <v>3</v>
      </c>
      <c r="AH143" s="8">
        <f>AG143/270</f>
        <v>1.1111111111111112E-2</v>
      </c>
      <c r="AI143" s="39">
        <v>1</v>
      </c>
      <c r="AJ143" s="39">
        <v>2</v>
      </c>
      <c r="AK143">
        <f>AI143/'Total Fiber Count'!H$9</f>
        <v>7.1428571428571426E-3</v>
      </c>
      <c r="AL143">
        <f>AJ143/'Total Fiber Count'!O$9</f>
        <v>8.3333333333333332E-3</v>
      </c>
      <c r="AM143">
        <v>0.15</v>
      </c>
      <c r="AN143">
        <v>0.25495750708215298</v>
      </c>
    </row>
    <row r="144" spans="1:40" ht="16" x14ac:dyDescent="0.2">
      <c r="A144" s="21" t="s">
        <v>58</v>
      </c>
      <c r="B144" s="41">
        <v>66.571428571428569</v>
      </c>
      <c r="C144" s="41">
        <v>1.2802197802197801</v>
      </c>
      <c r="D144" s="31" t="s">
        <v>25</v>
      </c>
      <c r="E144" s="10">
        <v>26</v>
      </c>
      <c r="F144" s="10">
        <v>28</v>
      </c>
      <c r="G144" s="12">
        <f>(29-E144)/29*100</f>
        <v>10.344827586206897</v>
      </c>
      <c r="H144" s="12">
        <f>(36-F144)/36*100</f>
        <v>22.222222222222221</v>
      </c>
      <c r="I144" t="b">
        <f>G144&gt;=35</f>
        <v>0</v>
      </c>
      <c r="J144" t="b">
        <f>H144&gt;=50</f>
        <v>0</v>
      </c>
      <c r="K144" s="23">
        <v>123</v>
      </c>
      <c r="L144" s="8">
        <f>K144/134</f>
        <v>0.91791044776119401</v>
      </c>
      <c r="M144">
        <v>79</v>
      </c>
      <c r="N144" s="8">
        <f>M144/174</f>
        <v>0.45402298850574713</v>
      </c>
      <c r="O144">
        <v>12</v>
      </c>
      <c r="P144" s="8">
        <f>O144/422</f>
        <v>2.843601895734597E-2</v>
      </c>
      <c r="Q144">
        <v>52</v>
      </c>
      <c r="R144" s="8">
        <f>Q144/351</f>
        <v>0.14814814814814814</v>
      </c>
      <c r="S144">
        <v>1</v>
      </c>
      <c r="T144" s="8">
        <f>S144/1099</f>
        <v>9.099181073703367E-4</v>
      </c>
      <c r="U144">
        <v>170</v>
      </c>
      <c r="V144" s="8">
        <f>U144/1750</f>
        <v>9.7142857142857142E-2</v>
      </c>
      <c r="W144">
        <v>132</v>
      </c>
      <c r="X144" s="8">
        <f>W144/136</f>
        <v>0.97058823529411764</v>
      </c>
      <c r="Y144">
        <v>2</v>
      </c>
      <c r="Z144" s="8">
        <f>Y144/59</f>
        <v>3.3898305084745763E-2</v>
      </c>
      <c r="AA144">
        <v>418</v>
      </c>
      <c r="AB144" s="8">
        <f>AA144/420</f>
        <v>0.99523809523809526</v>
      </c>
      <c r="AC144">
        <v>39</v>
      </c>
      <c r="AD144" s="8">
        <f>AC144/158</f>
        <v>0.24683544303797469</v>
      </c>
      <c r="AE144">
        <v>0</v>
      </c>
      <c r="AF144" s="8">
        <f>AE144/114</f>
        <v>0</v>
      </c>
      <c r="AG144">
        <v>22</v>
      </c>
      <c r="AH144" s="8">
        <f>AG144/270</f>
        <v>8.1481481481481488E-2</v>
      </c>
      <c r="AI144" s="39">
        <v>1</v>
      </c>
      <c r="AJ144" s="39">
        <v>10</v>
      </c>
      <c r="AK144">
        <f>AI144/'Total Fiber Count'!H$9</f>
        <v>7.1428571428571426E-3</v>
      </c>
      <c r="AL144">
        <f>AJ144/'Total Fiber Count'!O$9</f>
        <v>4.1666666666666664E-2</v>
      </c>
      <c r="AM144">
        <v>0.22500000000000001</v>
      </c>
      <c r="AN144">
        <v>0.31120331950207469</v>
      </c>
    </row>
    <row r="145" spans="1:40" ht="16" x14ac:dyDescent="0.2">
      <c r="A145" s="21" t="s">
        <v>58</v>
      </c>
      <c r="B145" s="41">
        <v>68.714285714285708</v>
      </c>
      <c r="C145" s="41">
        <v>1.3214285714285714</v>
      </c>
      <c r="D145" s="31" t="s">
        <v>25</v>
      </c>
      <c r="E145" s="10">
        <v>25</v>
      </c>
      <c r="F145" s="10">
        <v>27</v>
      </c>
      <c r="G145" s="12">
        <f>(29-E145)/29*100</f>
        <v>13.793103448275861</v>
      </c>
      <c r="H145" s="12">
        <f>(36-F145)/36*100</f>
        <v>25</v>
      </c>
      <c r="I145" t="b">
        <f>G145&gt;=35</f>
        <v>0</v>
      </c>
      <c r="J145" t="b">
        <f>H145&gt;=50</f>
        <v>0</v>
      </c>
      <c r="K145" s="23">
        <v>123</v>
      </c>
      <c r="L145" s="8">
        <f>K145/134</f>
        <v>0.91791044776119401</v>
      </c>
      <c r="M145">
        <v>90</v>
      </c>
      <c r="N145" s="8">
        <f>M145/174</f>
        <v>0.51724137931034486</v>
      </c>
      <c r="O145">
        <v>14</v>
      </c>
      <c r="P145" s="8">
        <f>O145/422</f>
        <v>3.3175355450236969E-2</v>
      </c>
      <c r="Q145">
        <v>70</v>
      </c>
      <c r="R145" s="8">
        <f>Q145/351</f>
        <v>0.19943019943019943</v>
      </c>
      <c r="S145">
        <v>1</v>
      </c>
      <c r="T145" s="8">
        <f>S145/1099</f>
        <v>9.099181073703367E-4</v>
      </c>
      <c r="U145">
        <v>224</v>
      </c>
      <c r="V145" s="8">
        <f>U145/1750</f>
        <v>0.128</v>
      </c>
      <c r="W145">
        <v>132</v>
      </c>
      <c r="X145" s="8">
        <f>W145/136</f>
        <v>0.97058823529411764</v>
      </c>
      <c r="Y145">
        <v>3</v>
      </c>
      <c r="Z145" s="8">
        <f>Y145/59</f>
        <v>5.0847457627118647E-2</v>
      </c>
      <c r="AA145">
        <v>419</v>
      </c>
      <c r="AB145" s="8">
        <f>AA145/420</f>
        <v>0.99761904761904763</v>
      </c>
      <c r="AC145">
        <v>48</v>
      </c>
      <c r="AD145" s="8">
        <f>AC145/158</f>
        <v>0.30379746835443039</v>
      </c>
      <c r="AE145">
        <v>0</v>
      </c>
      <c r="AF145" s="8">
        <f>AE145/114</f>
        <v>0</v>
      </c>
      <c r="AG145">
        <v>42</v>
      </c>
      <c r="AH145" s="8">
        <f>AG145/270</f>
        <v>0.15555555555555556</v>
      </c>
      <c r="AI145" s="39">
        <v>1</v>
      </c>
      <c r="AJ145" s="39">
        <v>16</v>
      </c>
      <c r="AK145">
        <f>AI145/'Total Fiber Count'!H$9</f>
        <v>7.1428571428571426E-3</v>
      </c>
      <c r="AL145">
        <f>AJ145/'Total Fiber Count'!O$9</f>
        <v>6.6666666666666666E-2</v>
      </c>
      <c r="AM145">
        <v>0.6</v>
      </c>
      <c r="AN145">
        <v>0.54</v>
      </c>
    </row>
    <row r="146" spans="1:40" ht="16" x14ac:dyDescent="0.2">
      <c r="A146" s="21" t="s">
        <v>58</v>
      </c>
      <c r="B146" s="41">
        <v>70.857142857142847</v>
      </c>
      <c r="C146" s="41">
        <v>1.3626373626373625</v>
      </c>
      <c r="D146" s="31" t="s">
        <v>25</v>
      </c>
      <c r="E146" s="10">
        <v>26</v>
      </c>
      <c r="F146" s="10">
        <v>25</v>
      </c>
      <c r="G146" s="12">
        <f>(29-E146)/29*100</f>
        <v>10.344827586206897</v>
      </c>
      <c r="H146" s="12">
        <f>(36-F146)/36*100</f>
        <v>30.555555555555557</v>
      </c>
      <c r="I146" t="b">
        <f>G146&gt;=35</f>
        <v>0</v>
      </c>
      <c r="J146" t="b">
        <f>H146&gt;=50</f>
        <v>0</v>
      </c>
      <c r="K146" s="23">
        <v>123</v>
      </c>
      <c r="L146" s="8">
        <f>K146/134</f>
        <v>0.91791044776119401</v>
      </c>
      <c r="M146">
        <v>90</v>
      </c>
      <c r="N146" s="8">
        <f>M146/174</f>
        <v>0.51724137931034486</v>
      </c>
      <c r="O146">
        <v>14</v>
      </c>
      <c r="P146" s="8">
        <f>O146/422</f>
        <v>3.3175355450236969E-2</v>
      </c>
      <c r="Q146">
        <v>70</v>
      </c>
      <c r="R146" s="8">
        <f>Q146/351</f>
        <v>0.19943019943019943</v>
      </c>
      <c r="S146">
        <v>1</v>
      </c>
      <c r="T146" s="8">
        <f>S146/1099</f>
        <v>9.099181073703367E-4</v>
      </c>
      <c r="U146">
        <v>224</v>
      </c>
      <c r="V146" s="8">
        <f>U146/1750</f>
        <v>0.128</v>
      </c>
      <c r="W146">
        <v>132</v>
      </c>
      <c r="X146" s="8">
        <f>W146/136</f>
        <v>0.97058823529411764</v>
      </c>
      <c r="Y146">
        <v>3</v>
      </c>
      <c r="Z146" s="8">
        <f>Y146/59</f>
        <v>5.0847457627118647E-2</v>
      </c>
      <c r="AA146">
        <v>419</v>
      </c>
      <c r="AB146" s="8">
        <f>AA146/420</f>
        <v>0.99761904761904763</v>
      </c>
      <c r="AC146">
        <v>48</v>
      </c>
      <c r="AD146" s="8">
        <f>AC146/158</f>
        <v>0.30379746835443039</v>
      </c>
      <c r="AE146">
        <v>0</v>
      </c>
      <c r="AF146" s="8">
        <f>AE146/114</f>
        <v>0</v>
      </c>
      <c r="AG146">
        <v>42</v>
      </c>
      <c r="AH146" s="8">
        <f>AG146/270</f>
        <v>0.15555555555555556</v>
      </c>
      <c r="AI146" s="39">
        <v>1</v>
      </c>
      <c r="AJ146" s="39">
        <v>16</v>
      </c>
      <c r="AK146">
        <f>AI146/'Total Fiber Count'!H$9</f>
        <v>7.1428571428571426E-3</v>
      </c>
      <c r="AL146">
        <f>AJ146/'Total Fiber Count'!O$9</f>
        <v>6.6666666666666666E-2</v>
      </c>
      <c r="AM146">
        <v>0.75</v>
      </c>
      <c r="AN146">
        <v>0.72</v>
      </c>
    </row>
    <row r="147" spans="1:40" ht="16" x14ac:dyDescent="0.2">
      <c r="A147" s="21" t="s">
        <v>58</v>
      </c>
      <c r="B147" s="41">
        <v>72.714285714285708</v>
      </c>
      <c r="C147" s="41">
        <v>1.3983516483516483</v>
      </c>
      <c r="D147" s="31" t="s">
        <v>25</v>
      </c>
      <c r="E147" s="10">
        <v>23</v>
      </c>
      <c r="F147" s="10">
        <v>21</v>
      </c>
      <c r="G147" s="12">
        <f>(29-E147)/29*100</f>
        <v>20.689655172413794</v>
      </c>
      <c r="H147" s="12">
        <f>(36-F147)/36*100</f>
        <v>41.666666666666671</v>
      </c>
      <c r="I147" t="b">
        <f>G147&gt;=35</f>
        <v>0</v>
      </c>
      <c r="J147" t="b">
        <f>H147&gt;=50</f>
        <v>0</v>
      </c>
      <c r="K147" s="23">
        <v>123</v>
      </c>
      <c r="L147" s="8">
        <f>K147/134</f>
        <v>0.91791044776119401</v>
      </c>
      <c r="M147">
        <v>90</v>
      </c>
      <c r="N147" s="8">
        <f>M147/174</f>
        <v>0.51724137931034486</v>
      </c>
      <c r="O147">
        <v>14</v>
      </c>
      <c r="P147" s="8">
        <f>O147/422</f>
        <v>3.3175355450236969E-2</v>
      </c>
      <c r="Q147">
        <v>70</v>
      </c>
      <c r="R147" s="8">
        <f>Q147/351</f>
        <v>0.19943019943019943</v>
      </c>
      <c r="S147">
        <v>1</v>
      </c>
      <c r="T147" s="8">
        <f>S147/1099</f>
        <v>9.099181073703367E-4</v>
      </c>
      <c r="U147">
        <v>224</v>
      </c>
      <c r="V147" s="8">
        <f>U147/1750</f>
        <v>0.128</v>
      </c>
      <c r="W147">
        <v>132</v>
      </c>
      <c r="X147" s="8">
        <f>W147/136</f>
        <v>0.97058823529411764</v>
      </c>
      <c r="Y147">
        <v>3</v>
      </c>
      <c r="Z147" s="8">
        <f>Y147/59</f>
        <v>5.0847457627118647E-2</v>
      </c>
      <c r="AA147">
        <v>419</v>
      </c>
      <c r="AB147" s="8">
        <f>AA147/420</f>
        <v>0.99761904761904763</v>
      </c>
      <c r="AC147">
        <v>48</v>
      </c>
      <c r="AD147" s="8">
        <f>AC147/158</f>
        <v>0.30379746835443039</v>
      </c>
      <c r="AE147">
        <v>0</v>
      </c>
      <c r="AF147" s="8">
        <f>AE147/114</f>
        <v>0</v>
      </c>
      <c r="AG147">
        <v>42</v>
      </c>
      <c r="AH147" s="8">
        <f>AG147/270</f>
        <v>0.15555555555555556</v>
      </c>
      <c r="AI147" s="39">
        <v>1</v>
      </c>
      <c r="AJ147" s="39">
        <v>16</v>
      </c>
      <c r="AK147">
        <f>AI147/'Total Fiber Count'!H$9</f>
        <v>7.1428571428571426E-3</v>
      </c>
      <c r="AL147">
        <f>AJ147/'Total Fiber Count'!O$9</f>
        <v>6.6666666666666666E-2</v>
      </c>
      <c r="AM147">
        <v>0.75</v>
      </c>
      <c r="AN147">
        <v>0.72</v>
      </c>
    </row>
    <row r="148" spans="1:40" ht="16" x14ac:dyDescent="0.2">
      <c r="A148" s="21" t="s">
        <v>58</v>
      </c>
      <c r="B148" s="41">
        <v>74.714285714285708</v>
      </c>
      <c r="C148" s="41">
        <v>1.4368131868131866</v>
      </c>
      <c r="D148" s="31" t="s">
        <v>25</v>
      </c>
      <c r="E148" s="10">
        <v>22</v>
      </c>
      <c r="F148" s="10">
        <v>30</v>
      </c>
      <c r="G148" s="12">
        <f>(29-E148)/29*100</f>
        <v>24.137931034482758</v>
      </c>
      <c r="H148" s="12">
        <f>(36-F148)/36*100</f>
        <v>16.666666666666664</v>
      </c>
      <c r="I148" t="b">
        <f>G148&gt;=35</f>
        <v>0</v>
      </c>
      <c r="J148" t="b">
        <f>H148&gt;=50</f>
        <v>0</v>
      </c>
      <c r="K148" s="23">
        <v>123</v>
      </c>
      <c r="L148" s="8">
        <f>K148/134</f>
        <v>0.91791044776119401</v>
      </c>
      <c r="M148">
        <v>90</v>
      </c>
      <c r="N148" s="8">
        <f>M148/174</f>
        <v>0.51724137931034486</v>
      </c>
      <c r="O148">
        <v>14</v>
      </c>
      <c r="P148" s="8">
        <f>O148/422</f>
        <v>3.3175355450236969E-2</v>
      </c>
      <c r="Q148">
        <v>70</v>
      </c>
      <c r="R148" s="8">
        <f>Q148/351</f>
        <v>0.19943019943019943</v>
      </c>
      <c r="S148">
        <v>1</v>
      </c>
      <c r="T148" s="8">
        <f>S148/1099</f>
        <v>9.099181073703367E-4</v>
      </c>
      <c r="U148">
        <v>224</v>
      </c>
      <c r="V148" s="8">
        <f>U148/1750</f>
        <v>0.128</v>
      </c>
      <c r="W148">
        <v>132</v>
      </c>
      <c r="X148" s="8">
        <f>W148/136</f>
        <v>0.97058823529411764</v>
      </c>
      <c r="Y148">
        <v>3</v>
      </c>
      <c r="Z148" s="8">
        <f>Y148/59</f>
        <v>5.0847457627118647E-2</v>
      </c>
      <c r="AA148">
        <v>419</v>
      </c>
      <c r="AB148" s="8">
        <f>AA148/420</f>
        <v>0.99761904761904763</v>
      </c>
      <c r="AC148">
        <v>48</v>
      </c>
      <c r="AD148" s="8">
        <f>AC148/158</f>
        <v>0.30379746835443039</v>
      </c>
      <c r="AE148">
        <v>0</v>
      </c>
      <c r="AF148" s="8">
        <f>AE148/114</f>
        <v>0</v>
      </c>
      <c r="AG148">
        <v>42</v>
      </c>
      <c r="AH148" s="8">
        <f>AG148/270</f>
        <v>0.15555555555555556</v>
      </c>
      <c r="AI148" s="39">
        <v>1</v>
      </c>
      <c r="AJ148" s="39">
        <v>16</v>
      </c>
      <c r="AK148">
        <f>AI148/'Total Fiber Count'!H$9</f>
        <v>7.1428571428571426E-3</v>
      </c>
      <c r="AL148">
        <f>AJ148/'Total Fiber Count'!O$9</f>
        <v>6.6666666666666666E-2</v>
      </c>
      <c r="AM148">
        <v>0.75</v>
      </c>
      <c r="AN148">
        <v>0.72</v>
      </c>
    </row>
    <row r="149" spans="1:40" ht="16" x14ac:dyDescent="0.2">
      <c r="A149" s="21" t="s">
        <v>58</v>
      </c>
      <c r="B149" s="41">
        <v>76.714285714285708</v>
      </c>
      <c r="C149" s="41">
        <v>1.4752747252747251</v>
      </c>
      <c r="D149" s="31" t="s">
        <v>25</v>
      </c>
      <c r="E149" s="10">
        <v>23</v>
      </c>
      <c r="F149" s="10">
        <v>23</v>
      </c>
      <c r="G149" s="12">
        <f>(29-E149)/29*100</f>
        <v>20.689655172413794</v>
      </c>
      <c r="H149" s="12">
        <f>(36-F149)/36*100</f>
        <v>36.111111111111107</v>
      </c>
      <c r="I149" t="b">
        <f>G149&gt;=35</f>
        <v>0</v>
      </c>
      <c r="J149" t="b">
        <f>H149&gt;=50</f>
        <v>0</v>
      </c>
      <c r="K149" s="23">
        <v>123</v>
      </c>
      <c r="L149" s="8">
        <f>K149/134</f>
        <v>0.91791044776119401</v>
      </c>
      <c r="M149">
        <v>90</v>
      </c>
      <c r="N149" s="8">
        <f>M149/174</f>
        <v>0.51724137931034486</v>
      </c>
      <c r="O149">
        <v>14</v>
      </c>
      <c r="P149" s="8">
        <f>O149/422</f>
        <v>3.3175355450236969E-2</v>
      </c>
      <c r="Q149">
        <v>70</v>
      </c>
      <c r="R149" s="8">
        <f>Q149/351</f>
        <v>0.19943019943019943</v>
      </c>
      <c r="S149">
        <v>1</v>
      </c>
      <c r="T149" s="8">
        <f>S149/1099</f>
        <v>9.099181073703367E-4</v>
      </c>
      <c r="U149">
        <v>224</v>
      </c>
      <c r="V149" s="8">
        <f>U149/1750</f>
        <v>0.128</v>
      </c>
      <c r="W149">
        <v>132</v>
      </c>
      <c r="X149" s="8">
        <f>W149/136</f>
        <v>0.97058823529411764</v>
      </c>
      <c r="Y149">
        <v>3</v>
      </c>
      <c r="Z149" s="8">
        <f>Y149/59</f>
        <v>5.0847457627118647E-2</v>
      </c>
      <c r="AA149">
        <v>419</v>
      </c>
      <c r="AB149" s="8">
        <f>AA149/420</f>
        <v>0.99761904761904763</v>
      </c>
      <c r="AC149">
        <v>48</v>
      </c>
      <c r="AD149" s="8">
        <f>AC149/158</f>
        <v>0.30379746835443039</v>
      </c>
      <c r="AE149">
        <v>0</v>
      </c>
      <c r="AF149" s="8">
        <f>AE149/114</f>
        <v>0</v>
      </c>
      <c r="AG149">
        <v>42</v>
      </c>
      <c r="AH149" s="8">
        <f>AG149/270</f>
        <v>0.15555555555555556</v>
      </c>
      <c r="AI149" s="39">
        <v>1</v>
      </c>
      <c r="AJ149" s="39">
        <v>16</v>
      </c>
      <c r="AK149">
        <f>AI149/'Total Fiber Count'!H$9</f>
        <v>7.1428571428571426E-3</v>
      </c>
      <c r="AL149">
        <f>AJ149/'Total Fiber Count'!O$9</f>
        <v>6.6666666666666666E-2</v>
      </c>
      <c r="AM149">
        <v>0.75</v>
      </c>
      <c r="AN149">
        <v>0.53892215568862278</v>
      </c>
    </row>
    <row r="150" spans="1:40" ht="16" x14ac:dyDescent="0.2">
      <c r="A150" s="21" t="s">
        <v>58</v>
      </c>
      <c r="B150" s="41">
        <v>83.571428571428569</v>
      </c>
      <c r="C150" s="41">
        <v>1.6071428571428572</v>
      </c>
      <c r="D150" s="31" t="s">
        <v>25</v>
      </c>
      <c r="E150" s="10">
        <v>25</v>
      </c>
      <c r="F150" s="10">
        <v>28</v>
      </c>
      <c r="G150" s="12">
        <f>(29-E150)/29*100</f>
        <v>13.793103448275861</v>
      </c>
      <c r="H150" s="12">
        <f>(36-F150)/36*100</f>
        <v>22.222222222222221</v>
      </c>
      <c r="I150" t="b">
        <f>G150&gt;=35</f>
        <v>0</v>
      </c>
      <c r="J150" t="b">
        <f>H150&gt;=50</f>
        <v>0</v>
      </c>
      <c r="K150" s="23">
        <v>123</v>
      </c>
      <c r="L150" s="8">
        <f>K150/134</f>
        <v>0.91791044776119401</v>
      </c>
      <c r="M150">
        <v>100</v>
      </c>
      <c r="N150" s="8">
        <f>M150/174</f>
        <v>0.57471264367816088</v>
      </c>
      <c r="O150">
        <v>14</v>
      </c>
      <c r="P150" s="8">
        <f>O150/422</f>
        <v>3.3175355450236969E-2</v>
      </c>
      <c r="Q150">
        <v>83</v>
      </c>
      <c r="R150" s="8">
        <f>Q150/351</f>
        <v>0.23646723646723647</v>
      </c>
      <c r="S150">
        <v>1</v>
      </c>
      <c r="T150" s="8">
        <f>S150/1099</f>
        <v>9.099181073703367E-4</v>
      </c>
      <c r="U150">
        <v>272</v>
      </c>
      <c r="V150" s="8">
        <f>U150/1750</f>
        <v>0.15542857142857142</v>
      </c>
      <c r="W150">
        <v>132</v>
      </c>
      <c r="X150" s="8">
        <f>W150/136</f>
        <v>0.97058823529411764</v>
      </c>
      <c r="Y150">
        <v>5</v>
      </c>
      <c r="Z150" s="8">
        <f>Y150/59</f>
        <v>8.4745762711864403E-2</v>
      </c>
      <c r="AA150">
        <v>419</v>
      </c>
      <c r="AB150" s="8">
        <f>AA150/420</f>
        <v>0.99761904761904763</v>
      </c>
      <c r="AC150">
        <v>54</v>
      </c>
      <c r="AD150" s="8">
        <f>AC150/158</f>
        <v>0.34177215189873417</v>
      </c>
      <c r="AE150">
        <v>0</v>
      </c>
      <c r="AF150" s="8">
        <f>AE150/114</f>
        <v>0</v>
      </c>
      <c r="AG150">
        <v>58</v>
      </c>
      <c r="AH150" s="8">
        <f>AG150/270</f>
        <v>0.21481481481481482</v>
      </c>
      <c r="AI150" s="39">
        <v>1</v>
      </c>
      <c r="AJ150" s="39">
        <v>20</v>
      </c>
      <c r="AK150">
        <f>AI150/'Total Fiber Count'!H$9</f>
        <v>7.1428571428571426E-3</v>
      </c>
      <c r="AL150">
        <f>AJ150/'Total Fiber Count'!O$9</f>
        <v>8.3333333333333329E-2</v>
      </c>
      <c r="AM150">
        <v>0.75</v>
      </c>
      <c r="AN150">
        <v>0.52478134110787167</v>
      </c>
    </row>
    <row r="151" spans="1:40" ht="16" x14ac:dyDescent="0.2">
      <c r="A151" s="21" t="s">
        <v>58</v>
      </c>
      <c r="B151" s="41">
        <v>85.714285714285708</v>
      </c>
      <c r="C151" s="41">
        <v>1.6483516483516483</v>
      </c>
      <c r="D151" s="31" t="s">
        <v>25</v>
      </c>
      <c r="E151" s="10">
        <v>27</v>
      </c>
      <c r="F151" s="10">
        <v>25</v>
      </c>
      <c r="G151" s="12">
        <f>(29-E151)/29*100</f>
        <v>6.8965517241379306</v>
      </c>
      <c r="H151" s="12">
        <f>(36-F151)/36*100</f>
        <v>30.555555555555557</v>
      </c>
      <c r="I151" t="b">
        <f>G151&gt;=35</f>
        <v>0</v>
      </c>
      <c r="J151" t="b">
        <f>H151&gt;=50</f>
        <v>0</v>
      </c>
      <c r="K151" s="23">
        <v>123</v>
      </c>
      <c r="L151" s="8">
        <f>K151/134</f>
        <v>0.91791044776119401</v>
      </c>
      <c r="M151">
        <v>100</v>
      </c>
      <c r="N151" s="8">
        <f>M151/174</f>
        <v>0.57471264367816088</v>
      </c>
      <c r="O151">
        <v>14</v>
      </c>
      <c r="P151" s="8">
        <f>O151/422</f>
        <v>3.3175355450236969E-2</v>
      </c>
      <c r="Q151">
        <v>83</v>
      </c>
      <c r="R151" s="8">
        <f>Q151/351</f>
        <v>0.23646723646723647</v>
      </c>
      <c r="S151">
        <v>1</v>
      </c>
      <c r="T151" s="8">
        <f>S151/1099</f>
        <v>9.099181073703367E-4</v>
      </c>
      <c r="U151">
        <v>272</v>
      </c>
      <c r="V151" s="8">
        <f>U151/1750</f>
        <v>0.15542857142857142</v>
      </c>
      <c r="W151">
        <v>132</v>
      </c>
      <c r="X151" s="8">
        <f>W151/136</f>
        <v>0.97058823529411764</v>
      </c>
      <c r="Y151">
        <v>5</v>
      </c>
      <c r="Z151" s="8">
        <f>Y151/59</f>
        <v>8.4745762711864403E-2</v>
      </c>
      <c r="AA151">
        <v>419</v>
      </c>
      <c r="AB151" s="8">
        <f>AA151/420</f>
        <v>0.99761904761904763</v>
      </c>
      <c r="AC151">
        <v>54</v>
      </c>
      <c r="AD151" s="8">
        <f>AC151/158</f>
        <v>0.34177215189873417</v>
      </c>
      <c r="AE151">
        <v>0</v>
      </c>
      <c r="AF151" s="8">
        <f>AE151/114</f>
        <v>0</v>
      </c>
      <c r="AG151">
        <v>58</v>
      </c>
      <c r="AH151" s="8">
        <f>AG151/270</f>
        <v>0.21481481481481482</v>
      </c>
      <c r="AI151" s="39">
        <v>1</v>
      </c>
      <c r="AJ151" s="39">
        <v>20</v>
      </c>
      <c r="AK151">
        <f>AI151/'Total Fiber Count'!H$9</f>
        <v>7.1428571428571426E-3</v>
      </c>
      <c r="AL151">
        <f>AJ151/'Total Fiber Count'!O$9</f>
        <v>8.3333333333333329E-2</v>
      </c>
      <c r="AM151">
        <v>0.75</v>
      </c>
      <c r="AN151">
        <v>0.59037900874635574</v>
      </c>
    </row>
    <row r="152" spans="1:40" ht="16" x14ac:dyDescent="0.2">
      <c r="A152" s="21" t="s">
        <v>58</v>
      </c>
      <c r="B152" s="41">
        <v>87.857142857142847</v>
      </c>
      <c r="C152" s="41">
        <v>1.6895604395604393</v>
      </c>
      <c r="D152" s="31" t="s">
        <v>25</v>
      </c>
      <c r="E152" s="10">
        <v>30</v>
      </c>
      <c r="F152" s="10">
        <v>26</v>
      </c>
      <c r="G152" s="12">
        <f>(29-E152)/29*100</f>
        <v>-3.4482758620689653</v>
      </c>
      <c r="H152" s="12">
        <f>(36-F152)/36*100</f>
        <v>27.777777777777779</v>
      </c>
      <c r="I152" t="b">
        <f>G152&gt;=35</f>
        <v>0</v>
      </c>
      <c r="J152" t="b">
        <f>H152&gt;=50</f>
        <v>0</v>
      </c>
      <c r="K152" s="23">
        <v>123</v>
      </c>
      <c r="L152" s="8">
        <f>K152/134</f>
        <v>0.91791044776119401</v>
      </c>
      <c r="M152">
        <v>100</v>
      </c>
      <c r="N152" s="8">
        <f>M152/174</f>
        <v>0.57471264367816088</v>
      </c>
      <c r="O152">
        <v>14</v>
      </c>
      <c r="P152" s="8">
        <f>O152/422</f>
        <v>3.3175355450236969E-2</v>
      </c>
      <c r="Q152">
        <v>83</v>
      </c>
      <c r="R152" s="8">
        <f>Q152/351</f>
        <v>0.23646723646723647</v>
      </c>
      <c r="S152">
        <v>1</v>
      </c>
      <c r="T152" s="8">
        <f>S152/1099</f>
        <v>9.099181073703367E-4</v>
      </c>
      <c r="U152">
        <v>272</v>
      </c>
      <c r="V152" s="8">
        <f>U152/1750</f>
        <v>0.15542857142857142</v>
      </c>
      <c r="W152">
        <v>132</v>
      </c>
      <c r="X152" s="8">
        <f>W152/136</f>
        <v>0.97058823529411764</v>
      </c>
      <c r="Y152">
        <v>5</v>
      </c>
      <c r="Z152" s="8">
        <f>Y152/59</f>
        <v>8.4745762711864403E-2</v>
      </c>
      <c r="AA152">
        <v>419</v>
      </c>
      <c r="AB152" s="8">
        <f>AA152/420</f>
        <v>0.99761904761904763</v>
      </c>
      <c r="AC152">
        <v>54</v>
      </c>
      <c r="AD152" s="8">
        <f>AC152/158</f>
        <v>0.34177215189873417</v>
      </c>
      <c r="AE152">
        <v>0</v>
      </c>
      <c r="AF152" s="8">
        <f>AE152/114</f>
        <v>0</v>
      </c>
      <c r="AG152">
        <v>58</v>
      </c>
      <c r="AH152" s="8">
        <f>AG152/270</f>
        <v>0.21481481481481482</v>
      </c>
      <c r="AI152" s="39">
        <v>1</v>
      </c>
      <c r="AJ152" s="39">
        <v>20</v>
      </c>
      <c r="AK152">
        <f>AI152/'Total Fiber Count'!H$9</f>
        <v>7.1428571428571426E-3</v>
      </c>
      <c r="AL152">
        <f>AJ152/'Total Fiber Count'!O$9</f>
        <v>8.3333333333333329E-2</v>
      </c>
      <c r="AM152">
        <v>0.75</v>
      </c>
      <c r="AN152">
        <v>0.59037900874635574</v>
      </c>
    </row>
    <row r="153" spans="1:40" ht="16" x14ac:dyDescent="0.2">
      <c r="A153" s="21" t="s">
        <v>58</v>
      </c>
      <c r="B153" s="41">
        <v>89.857142857142847</v>
      </c>
      <c r="C153" s="41">
        <v>1.7280219780219779</v>
      </c>
      <c r="D153" s="31" t="s">
        <v>25</v>
      </c>
      <c r="E153" s="10">
        <v>26</v>
      </c>
      <c r="F153" s="10">
        <v>24</v>
      </c>
      <c r="G153" s="12">
        <f>(29-E153)/29*100</f>
        <v>10.344827586206897</v>
      </c>
      <c r="H153" s="12">
        <f>(36-F153)/36*100</f>
        <v>33.333333333333329</v>
      </c>
      <c r="I153" t="b">
        <f>G153&gt;=35</f>
        <v>0</v>
      </c>
      <c r="J153" t="b">
        <f>H153&gt;=50</f>
        <v>0</v>
      </c>
      <c r="K153" s="23">
        <v>123</v>
      </c>
      <c r="L153" s="8">
        <f>K153/134</f>
        <v>0.91791044776119401</v>
      </c>
      <c r="M153">
        <v>100</v>
      </c>
      <c r="N153" s="8">
        <f>M153/174</f>
        <v>0.57471264367816088</v>
      </c>
      <c r="O153">
        <v>14</v>
      </c>
      <c r="P153" s="8">
        <f>O153/422</f>
        <v>3.3175355450236969E-2</v>
      </c>
      <c r="Q153">
        <v>83</v>
      </c>
      <c r="R153" s="8">
        <f>Q153/351</f>
        <v>0.23646723646723647</v>
      </c>
      <c r="S153">
        <v>1</v>
      </c>
      <c r="T153" s="8">
        <f>S153/1099</f>
        <v>9.099181073703367E-4</v>
      </c>
      <c r="U153">
        <v>272</v>
      </c>
      <c r="V153" s="8">
        <f>U153/1750</f>
        <v>0.15542857142857142</v>
      </c>
      <c r="W153">
        <v>132</v>
      </c>
      <c r="X153" s="8">
        <f>W153/136</f>
        <v>0.97058823529411764</v>
      </c>
      <c r="Y153">
        <v>5</v>
      </c>
      <c r="Z153" s="8">
        <f>Y153/59</f>
        <v>8.4745762711864403E-2</v>
      </c>
      <c r="AA153">
        <v>419</v>
      </c>
      <c r="AB153" s="8">
        <f>AA153/420</f>
        <v>0.99761904761904763</v>
      </c>
      <c r="AC153">
        <v>54</v>
      </c>
      <c r="AD153" s="8">
        <f>AC153/158</f>
        <v>0.34177215189873417</v>
      </c>
      <c r="AE153">
        <v>0</v>
      </c>
      <c r="AF153" s="8">
        <f>AE153/114</f>
        <v>0</v>
      </c>
      <c r="AG153">
        <v>58</v>
      </c>
      <c r="AH153" s="8">
        <f>AG153/270</f>
        <v>0.21481481481481482</v>
      </c>
      <c r="AI153" s="39">
        <v>1</v>
      </c>
      <c r="AJ153" s="39">
        <v>20</v>
      </c>
      <c r="AK153">
        <f>AI153/'Total Fiber Count'!H$9</f>
        <v>7.1428571428571426E-3</v>
      </c>
      <c r="AL153">
        <f>AJ153/'Total Fiber Count'!O$9</f>
        <v>8.3333333333333329E-2</v>
      </c>
      <c r="AM153">
        <v>0.75</v>
      </c>
      <c r="AN153">
        <v>0.80999999999999994</v>
      </c>
    </row>
    <row r="154" spans="1:40" ht="16" x14ac:dyDescent="0.2">
      <c r="A154" s="21" t="s">
        <v>58</v>
      </c>
      <c r="B154" s="41">
        <v>92.571428571428555</v>
      </c>
      <c r="C154" s="41">
        <v>1.7802197802197799</v>
      </c>
      <c r="D154" s="31" t="s">
        <v>25</v>
      </c>
      <c r="E154" s="10">
        <v>25</v>
      </c>
      <c r="F154" s="10">
        <v>24</v>
      </c>
      <c r="G154" s="12">
        <f>(29-E154)/29*100</f>
        <v>13.793103448275861</v>
      </c>
      <c r="H154" s="12">
        <f>(36-F154)/36*100</f>
        <v>33.333333333333329</v>
      </c>
      <c r="I154" t="b">
        <f>G154&gt;=35</f>
        <v>0</v>
      </c>
      <c r="J154" t="b">
        <f>H154&gt;=50</f>
        <v>0</v>
      </c>
      <c r="K154" s="23">
        <v>123</v>
      </c>
      <c r="L154" s="8">
        <f>K154/134</f>
        <v>0.91791044776119401</v>
      </c>
      <c r="M154">
        <v>100</v>
      </c>
      <c r="N154" s="8">
        <f>M154/174</f>
        <v>0.57471264367816088</v>
      </c>
      <c r="O154">
        <v>14</v>
      </c>
      <c r="P154" s="8">
        <f>O154/422</f>
        <v>3.3175355450236969E-2</v>
      </c>
      <c r="Q154">
        <v>83</v>
      </c>
      <c r="R154" s="8">
        <f>Q154/351</f>
        <v>0.23646723646723647</v>
      </c>
      <c r="S154">
        <v>1</v>
      </c>
      <c r="T154" s="8">
        <f>S154/1099</f>
        <v>9.099181073703367E-4</v>
      </c>
      <c r="U154">
        <v>272</v>
      </c>
      <c r="V154" s="8">
        <f>U154/1750</f>
        <v>0.15542857142857142</v>
      </c>
      <c r="W154">
        <v>132</v>
      </c>
      <c r="X154" s="8">
        <f>W154/136</f>
        <v>0.97058823529411764</v>
      </c>
      <c r="Y154">
        <v>5</v>
      </c>
      <c r="Z154" s="8">
        <f>Y154/59</f>
        <v>8.4745762711864403E-2</v>
      </c>
      <c r="AA154">
        <v>419</v>
      </c>
      <c r="AB154" s="8">
        <f>AA154/420</f>
        <v>0.99761904761904763</v>
      </c>
      <c r="AC154">
        <v>54</v>
      </c>
      <c r="AD154" s="8">
        <f>AC154/158</f>
        <v>0.34177215189873417</v>
      </c>
      <c r="AE154">
        <v>0</v>
      </c>
      <c r="AF154" s="8">
        <f>AE154/114</f>
        <v>0</v>
      </c>
      <c r="AG154">
        <v>58</v>
      </c>
      <c r="AH154" s="8">
        <f>AG154/270</f>
        <v>0.21481481481481482</v>
      </c>
      <c r="AI154" s="39">
        <v>1</v>
      </c>
      <c r="AJ154" s="39">
        <v>20</v>
      </c>
      <c r="AK154">
        <f>AI154/'Total Fiber Count'!H$9</f>
        <v>7.1428571428571426E-3</v>
      </c>
      <c r="AL154">
        <f>AJ154/'Total Fiber Count'!O$9</f>
        <v>8.3333333333333329E-2</v>
      </c>
      <c r="AM154">
        <v>0.75</v>
      </c>
      <c r="AN154">
        <v>0.80999999999999994</v>
      </c>
    </row>
    <row r="155" spans="1:40" ht="16" x14ac:dyDescent="0.2">
      <c r="A155" s="21" t="s">
        <v>58</v>
      </c>
      <c r="B155" s="41">
        <v>95.142857142857125</v>
      </c>
      <c r="C155" s="41">
        <v>1.8296703296703294</v>
      </c>
      <c r="D155" s="31" t="s">
        <v>25</v>
      </c>
      <c r="E155" s="10">
        <v>24</v>
      </c>
      <c r="F155" s="10">
        <v>25</v>
      </c>
      <c r="G155" s="12">
        <f>(29-E155)/29*100</f>
        <v>17.241379310344829</v>
      </c>
      <c r="H155" s="12">
        <f>(36-F155)/36*100</f>
        <v>30.555555555555557</v>
      </c>
      <c r="I155" t="b">
        <f>G155&gt;=35</f>
        <v>0</v>
      </c>
      <c r="J155" t="b">
        <f>H155&gt;=50</f>
        <v>0</v>
      </c>
      <c r="K155" s="23">
        <v>123</v>
      </c>
      <c r="L155" s="8">
        <f>K155/134</f>
        <v>0.91791044776119401</v>
      </c>
      <c r="M155">
        <v>100</v>
      </c>
      <c r="N155" s="8">
        <f>M155/174</f>
        <v>0.57471264367816088</v>
      </c>
      <c r="O155">
        <v>14</v>
      </c>
      <c r="P155" s="8">
        <f>O155/422</f>
        <v>3.3175355450236969E-2</v>
      </c>
      <c r="Q155">
        <v>83</v>
      </c>
      <c r="R155" s="8">
        <f>Q155/351</f>
        <v>0.23646723646723647</v>
      </c>
      <c r="S155">
        <v>1</v>
      </c>
      <c r="T155" s="8">
        <f>S155/1099</f>
        <v>9.099181073703367E-4</v>
      </c>
      <c r="U155">
        <v>272</v>
      </c>
      <c r="V155" s="8">
        <f>U155/1750</f>
        <v>0.15542857142857142</v>
      </c>
      <c r="W155">
        <v>132</v>
      </c>
      <c r="X155" s="8">
        <f>W155/136</f>
        <v>0.97058823529411764</v>
      </c>
      <c r="Y155">
        <v>5</v>
      </c>
      <c r="Z155" s="8">
        <f>Y155/59</f>
        <v>8.4745762711864403E-2</v>
      </c>
      <c r="AA155">
        <v>419</v>
      </c>
      <c r="AB155" s="8">
        <f>AA155/420</f>
        <v>0.99761904761904763</v>
      </c>
      <c r="AC155">
        <v>54</v>
      </c>
      <c r="AD155" s="8">
        <f>AC155/158</f>
        <v>0.34177215189873417</v>
      </c>
      <c r="AE155">
        <v>0</v>
      </c>
      <c r="AF155" s="8">
        <f>AE155/114</f>
        <v>0</v>
      </c>
      <c r="AG155">
        <v>58</v>
      </c>
      <c r="AH155" s="8">
        <f>AG155/270</f>
        <v>0.21481481481481482</v>
      </c>
      <c r="AI155" s="39">
        <v>1</v>
      </c>
      <c r="AJ155" s="39">
        <v>20</v>
      </c>
      <c r="AK155">
        <f>AI155/'Total Fiber Count'!H$9</f>
        <v>7.1428571428571426E-3</v>
      </c>
      <c r="AL155">
        <f>AJ155/'Total Fiber Count'!O$9</f>
        <v>8.3333333333333329E-2</v>
      </c>
      <c r="AM155">
        <v>0.75</v>
      </c>
      <c r="AN155">
        <v>0.80999999999999994</v>
      </c>
    </row>
    <row r="156" spans="1:40" ht="16" x14ac:dyDescent="0.2">
      <c r="A156" s="21" t="s">
        <v>58</v>
      </c>
      <c r="B156" s="41">
        <v>97.571428571428555</v>
      </c>
      <c r="C156" s="41">
        <v>1.8763736263736261</v>
      </c>
      <c r="D156" s="31" t="s">
        <v>25</v>
      </c>
      <c r="E156" s="10">
        <v>27</v>
      </c>
      <c r="F156" s="10">
        <v>28</v>
      </c>
      <c r="G156" s="12">
        <f>(29-E156)/29*100</f>
        <v>6.8965517241379306</v>
      </c>
      <c r="H156" s="12">
        <f>(36-F156)/36*100</f>
        <v>22.222222222222221</v>
      </c>
      <c r="I156" t="b">
        <f>G156&gt;=35</f>
        <v>0</v>
      </c>
      <c r="J156" t="b">
        <f>H156&gt;=50</f>
        <v>0</v>
      </c>
      <c r="K156" s="23">
        <v>123</v>
      </c>
      <c r="L156" s="8">
        <f>K156/134</f>
        <v>0.91791044776119401</v>
      </c>
      <c r="M156">
        <v>100</v>
      </c>
      <c r="N156" s="8">
        <f>M156/174</f>
        <v>0.57471264367816088</v>
      </c>
      <c r="O156">
        <v>14</v>
      </c>
      <c r="P156" s="8">
        <f>O156/422</f>
        <v>3.3175355450236969E-2</v>
      </c>
      <c r="Q156">
        <v>83</v>
      </c>
      <c r="R156" s="8">
        <f>Q156/351</f>
        <v>0.23646723646723647</v>
      </c>
      <c r="S156">
        <v>1</v>
      </c>
      <c r="T156" s="8">
        <f>S156/1099</f>
        <v>9.099181073703367E-4</v>
      </c>
      <c r="U156">
        <v>272</v>
      </c>
      <c r="V156" s="8">
        <f>U156/1750</f>
        <v>0.15542857142857142</v>
      </c>
      <c r="W156">
        <v>132</v>
      </c>
      <c r="X156" s="8">
        <f>W156/136</f>
        <v>0.97058823529411764</v>
      </c>
      <c r="Y156">
        <v>5</v>
      </c>
      <c r="Z156" s="8">
        <f>Y156/59</f>
        <v>8.4745762711864403E-2</v>
      </c>
      <c r="AA156">
        <v>419</v>
      </c>
      <c r="AB156" s="8">
        <f>AA156/420</f>
        <v>0.99761904761904763</v>
      </c>
      <c r="AC156">
        <v>54</v>
      </c>
      <c r="AD156" s="8">
        <f>AC156/158</f>
        <v>0.34177215189873417</v>
      </c>
      <c r="AE156">
        <v>0</v>
      </c>
      <c r="AF156" s="8">
        <f>AE156/114</f>
        <v>0</v>
      </c>
      <c r="AG156">
        <v>58</v>
      </c>
      <c r="AH156" s="8">
        <f>AG156/270</f>
        <v>0.21481481481481482</v>
      </c>
      <c r="AI156" s="39">
        <v>1</v>
      </c>
      <c r="AJ156" s="39">
        <v>20</v>
      </c>
      <c r="AK156">
        <f>AI156/'Total Fiber Count'!H$9</f>
        <v>7.1428571428571426E-3</v>
      </c>
      <c r="AL156">
        <f>AJ156/'Total Fiber Count'!O$9</f>
        <v>8.3333333333333329E-2</v>
      </c>
      <c r="AM156">
        <v>0.75</v>
      </c>
      <c r="AN156">
        <v>0.80999999999999994</v>
      </c>
    </row>
    <row r="157" spans="1:40" ht="16" x14ac:dyDescent="0.2">
      <c r="A157" s="21" t="s">
        <v>58</v>
      </c>
      <c r="B157" s="41">
        <v>100.57142857142856</v>
      </c>
      <c r="C157" s="41">
        <v>1.9340659340659339</v>
      </c>
      <c r="D157" s="31" t="s">
        <v>25</v>
      </c>
      <c r="E157" s="10">
        <v>20</v>
      </c>
      <c r="F157" s="10">
        <v>30</v>
      </c>
      <c r="G157" s="12">
        <f>(29-E157)/29*100</f>
        <v>31.03448275862069</v>
      </c>
      <c r="H157" s="12">
        <f>(36-F157)/36*100</f>
        <v>16.666666666666664</v>
      </c>
      <c r="I157" t="b">
        <f>G157&gt;=35</f>
        <v>0</v>
      </c>
      <c r="J157" t="b">
        <f>H157&gt;=50</f>
        <v>0</v>
      </c>
      <c r="K157" s="23">
        <v>123</v>
      </c>
      <c r="L157" s="8">
        <f>K157/134</f>
        <v>0.91791044776119401</v>
      </c>
      <c r="M157">
        <v>100</v>
      </c>
      <c r="N157" s="8">
        <f>M157/174</f>
        <v>0.57471264367816088</v>
      </c>
      <c r="O157">
        <v>14</v>
      </c>
      <c r="P157" s="8">
        <f>O157/422</f>
        <v>3.3175355450236969E-2</v>
      </c>
      <c r="Q157">
        <v>83</v>
      </c>
      <c r="R157" s="8">
        <f>Q157/351</f>
        <v>0.23646723646723647</v>
      </c>
      <c r="S157">
        <v>1</v>
      </c>
      <c r="T157" s="8">
        <f>S157/1099</f>
        <v>9.099181073703367E-4</v>
      </c>
      <c r="U157">
        <v>272</v>
      </c>
      <c r="V157" s="8">
        <f>U157/1750</f>
        <v>0.15542857142857142</v>
      </c>
      <c r="W157">
        <v>132</v>
      </c>
      <c r="X157" s="8">
        <f>W157/136</f>
        <v>0.97058823529411764</v>
      </c>
      <c r="Y157">
        <v>5</v>
      </c>
      <c r="Z157" s="8">
        <f>Y157/59</f>
        <v>8.4745762711864403E-2</v>
      </c>
      <c r="AA157">
        <v>419</v>
      </c>
      <c r="AB157" s="8">
        <f>AA157/420</f>
        <v>0.99761904761904763</v>
      </c>
      <c r="AC157">
        <v>54</v>
      </c>
      <c r="AD157" s="8">
        <f>AC157/158</f>
        <v>0.34177215189873417</v>
      </c>
      <c r="AE157">
        <v>0</v>
      </c>
      <c r="AF157" s="8">
        <f>AE157/114</f>
        <v>0</v>
      </c>
      <c r="AG157">
        <v>58</v>
      </c>
      <c r="AH157" s="8">
        <f>AG157/270</f>
        <v>0.21481481481481482</v>
      </c>
      <c r="AI157" s="39">
        <v>1</v>
      </c>
      <c r="AJ157" s="39">
        <v>20</v>
      </c>
      <c r="AK157">
        <f>AI157/'Total Fiber Count'!H$9</f>
        <v>7.1428571428571426E-3</v>
      </c>
      <c r="AL157">
        <f>AJ157/'Total Fiber Count'!O$9</f>
        <v>8.3333333333333329E-2</v>
      </c>
      <c r="AM157">
        <v>0.75</v>
      </c>
      <c r="AN157">
        <v>0.80999999999999994</v>
      </c>
    </row>
    <row r="158" spans="1:40" ht="16" x14ac:dyDescent="0.2">
      <c r="A158" s="21" t="s">
        <v>58</v>
      </c>
      <c r="B158" s="41">
        <v>103.14285714285712</v>
      </c>
      <c r="C158" s="41">
        <v>1.9835164835164831</v>
      </c>
      <c r="D158" s="31" t="s">
        <v>25</v>
      </c>
      <c r="E158" s="10">
        <v>24</v>
      </c>
      <c r="F158" s="10">
        <v>28</v>
      </c>
      <c r="G158" s="12">
        <f>(29-E158)/29*100</f>
        <v>17.241379310344829</v>
      </c>
      <c r="H158" s="12">
        <f>(36-F158)/36*100</f>
        <v>22.222222222222221</v>
      </c>
      <c r="I158" t="b">
        <f>G158&gt;=35</f>
        <v>0</v>
      </c>
      <c r="J158" t="b">
        <f>H158&gt;=50</f>
        <v>0</v>
      </c>
      <c r="K158" s="23">
        <v>120</v>
      </c>
      <c r="L158" s="8">
        <f>K158/134</f>
        <v>0.89552238805970152</v>
      </c>
      <c r="M158">
        <v>100</v>
      </c>
      <c r="N158" s="8">
        <f>M158/174</f>
        <v>0.57471264367816088</v>
      </c>
      <c r="O158">
        <v>5</v>
      </c>
      <c r="P158" s="8">
        <f>O158/422</f>
        <v>1.1848341232227487E-2</v>
      </c>
      <c r="Q158">
        <v>83</v>
      </c>
      <c r="R158" s="8">
        <f>Q158/351</f>
        <v>0.23646723646723647</v>
      </c>
      <c r="S158">
        <v>0</v>
      </c>
      <c r="T158" s="8">
        <f>S158/1099</f>
        <v>0</v>
      </c>
      <c r="U158">
        <v>272</v>
      </c>
      <c r="V158" s="8">
        <f>U158/1750</f>
        <v>0.15542857142857142</v>
      </c>
      <c r="W158">
        <v>130</v>
      </c>
      <c r="X158" s="8">
        <f>W158/136</f>
        <v>0.95588235294117652</v>
      </c>
      <c r="Y158">
        <v>5</v>
      </c>
      <c r="Z158" s="8">
        <f>Y158/59</f>
        <v>8.4745762711864403E-2</v>
      </c>
      <c r="AA158">
        <v>414</v>
      </c>
      <c r="AB158" s="8">
        <f>AA158/420</f>
        <v>0.98571428571428577</v>
      </c>
      <c r="AC158">
        <v>54</v>
      </c>
      <c r="AD158" s="8">
        <f>AC158/158</f>
        <v>0.34177215189873417</v>
      </c>
      <c r="AE158">
        <v>0</v>
      </c>
      <c r="AF158" s="8">
        <f>AE158/114</f>
        <v>0</v>
      </c>
      <c r="AG158">
        <v>58</v>
      </c>
      <c r="AH158" s="8">
        <f>AG158/270</f>
        <v>0.21481481481481482</v>
      </c>
      <c r="AI158" s="39">
        <v>1</v>
      </c>
      <c r="AJ158" s="39">
        <v>20</v>
      </c>
      <c r="AK158">
        <f>AI158/'Total Fiber Count'!H$9</f>
        <v>7.1428571428571426E-3</v>
      </c>
      <c r="AL158">
        <f>AJ158/'Total Fiber Count'!O$9</f>
        <v>8.3333333333333329E-2</v>
      </c>
      <c r="AM158">
        <v>0.75</v>
      </c>
      <c r="AN158">
        <v>0.569620253164557</v>
      </c>
    </row>
    <row r="159" spans="1:40" ht="16" x14ac:dyDescent="0.2">
      <c r="A159" s="21" t="s">
        <v>58</v>
      </c>
      <c r="B159" s="41">
        <v>106.85714285714283</v>
      </c>
      <c r="C159" s="41">
        <v>2.0549450549450543</v>
      </c>
      <c r="D159" s="31" t="s">
        <v>25</v>
      </c>
      <c r="E159" s="10">
        <v>25</v>
      </c>
      <c r="F159" s="10">
        <v>30</v>
      </c>
      <c r="G159" s="12">
        <f>(29-E159)/29*100</f>
        <v>13.793103448275861</v>
      </c>
      <c r="H159" s="12">
        <f>(36-F159)/36*100</f>
        <v>16.666666666666664</v>
      </c>
      <c r="I159" t="b">
        <f>G159&gt;=35</f>
        <v>0</v>
      </c>
      <c r="J159" t="b">
        <f>H159&gt;=50</f>
        <v>0</v>
      </c>
      <c r="K159" s="23">
        <v>120</v>
      </c>
      <c r="L159" s="8">
        <f>K159/134</f>
        <v>0.89552238805970152</v>
      </c>
      <c r="M159">
        <v>100</v>
      </c>
      <c r="N159" s="8">
        <f>M159/174</f>
        <v>0.57471264367816088</v>
      </c>
      <c r="O159">
        <v>5</v>
      </c>
      <c r="P159" s="8">
        <f>O159/422</f>
        <v>1.1848341232227487E-2</v>
      </c>
      <c r="Q159">
        <v>83</v>
      </c>
      <c r="R159" s="8">
        <f>Q159/351</f>
        <v>0.23646723646723647</v>
      </c>
      <c r="S159">
        <v>0</v>
      </c>
      <c r="T159" s="8">
        <f>S159/1099</f>
        <v>0</v>
      </c>
      <c r="U159">
        <v>272</v>
      </c>
      <c r="V159" s="8">
        <f>U159/1750</f>
        <v>0.15542857142857142</v>
      </c>
      <c r="W159">
        <v>130</v>
      </c>
      <c r="X159" s="8">
        <f>W159/136</f>
        <v>0.95588235294117652</v>
      </c>
      <c r="Y159">
        <v>5</v>
      </c>
      <c r="Z159" s="8">
        <f>Y159/59</f>
        <v>8.4745762711864403E-2</v>
      </c>
      <c r="AA159">
        <v>414</v>
      </c>
      <c r="AB159" s="8">
        <f>AA159/420</f>
        <v>0.98571428571428577</v>
      </c>
      <c r="AC159">
        <v>54</v>
      </c>
      <c r="AD159" s="8">
        <f>AC159/158</f>
        <v>0.34177215189873417</v>
      </c>
      <c r="AE159">
        <v>0</v>
      </c>
      <c r="AF159" s="8">
        <f>AE159/114</f>
        <v>0</v>
      </c>
      <c r="AG159">
        <v>58</v>
      </c>
      <c r="AH159" s="8">
        <f>AG159/270</f>
        <v>0.21481481481481482</v>
      </c>
      <c r="AI159" s="39">
        <v>1</v>
      </c>
      <c r="AJ159" s="39">
        <v>20</v>
      </c>
      <c r="AK159">
        <f>AI159/'Total Fiber Count'!H$9</f>
        <v>7.1428571428571426E-3</v>
      </c>
      <c r="AL159">
        <f>AJ159/'Total Fiber Count'!O$9</f>
        <v>8.3333333333333329E-2</v>
      </c>
      <c r="AM159">
        <v>0.375</v>
      </c>
      <c r="AN159">
        <v>0.80999999999999994</v>
      </c>
    </row>
    <row r="160" spans="1:40" ht="16" x14ac:dyDescent="0.2">
      <c r="A160" s="21" t="s">
        <v>58</v>
      </c>
      <c r="B160" s="41">
        <v>108.85714285714283</v>
      </c>
      <c r="C160" s="41">
        <v>2.0934065934065931</v>
      </c>
      <c r="D160" s="31" t="s">
        <v>25</v>
      </c>
      <c r="E160" s="10">
        <v>23</v>
      </c>
      <c r="F160" s="10">
        <v>29</v>
      </c>
      <c r="G160" s="12">
        <f>(29-E160)/29*100</f>
        <v>20.689655172413794</v>
      </c>
      <c r="H160" s="12">
        <f>(36-F160)/36*100</f>
        <v>19.444444444444446</v>
      </c>
      <c r="I160" t="b">
        <f>G160&gt;=35</f>
        <v>0</v>
      </c>
      <c r="J160" t="b">
        <f>H160&gt;=50</f>
        <v>0</v>
      </c>
      <c r="K160" s="23">
        <v>120</v>
      </c>
      <c r="L160" s="8">
        <f>K160/134</f>
        <v>0.89552238805970152</v>
      </c>
      <c r="M160">
        <v>100</v>
      </c>
      <c r="N160" s="8">
        <f>M160/174</f>
        <v>0.57471264367816088</v>
      </c>
      <c r="O160">
        <v>5</v>
      </c>
      <c r="P160" s="8">
        <f>O160/422</f>
        <v>1.1848341232227487E-2</v>
      </c>
      <c r="Q160">
        <v>83</v>
      </c>
      <c r="R160" s="8">
        <f>Q160/351</f>
        <v>0.23646723646723647</v>
      </c>
      <c r="S160">
        <v>0</v>
      </c>
      <c r="T160" s="8">
        <f>S160/1099</f>
        <v>0</v>
      </c>
      <c r="U160">
        <v>272</v>
      </c>
      <c r="V160" s="8">
        <f>U160/1750</f>
        <v>0.15542857142857142</v>
      </c>
      <c r="W160">
        <v>130</v>
      </c>
      <c r="X160" s="8">
        <f>W160/136</f>
        <v>0.95588235294117652</v>
      </c>
      <c r="Y160">
        <v>5</v>
      </c>
      <c r="Z160" s="8">
        <f>Y160/59</f>
        <v>8.4745762711864403E-2</v>
      </c>
      <c r="AA160">
        <v>414</v>
      </c>
      <c r="AB160" s="8">
        <f>AA160/420</f>
        <v>0.98571428571428577</v>
      </c>
      <c r="AC160">
        <v>54</v>
      </c>
      <c r="AD160" s="8">
        <f>AC160/158</f>
        <v>0.34177215189873417</v>
      </c>
      <c r="AE160">
        <v>0</v>
      </c>
      <c r="AF160" s="8">
        <f>AE160/114</f>
        <v>0</v>
      </c>
      <c r="AG160">
        <v>58</v>
      </c>
      <c r="AH160" s="8">
        <f>AG160/270</f>
        <v>0.21481481481481482</v>
      </c>
      <c r="AI160" s="39">
        <v>1</v>
      </c>
      <c r="AJ160" s="39">
        <v>20</v>
      </c>
      <c r="AK160">
        <f>AI160/'Total Fiber Count'!H$9</f>
        <v>7.1428571428571426E-3</v>
      </c>
      <c r="AL160">
        <f>AJ160/'Total Fiber Count'!O$9</f>
        <v>8.3333333333333329E-2</v>
      </c>
      <c r="AM160">
        <v>0.375</v>
      </c>
      <c r="AN160">
        <v>0.55785123966942152</v>
      </c>
    </row>
    <row r="161" spans="1:40" ht="16" x14ac:dyDescent="0.2">
      <c r="A161" s="21" t="s">
        <v>58</v>
      </c>
      <c r="B161" s="41">
        <v>110.85714285714283</v>
      </c>
      <c r="C161" s="41">
        <v>2.1318681318681314</v>
      </c>
      <c r="D161" s="31" t="s">
        <v>25</v>
      </c>
      <c r="E161" s="10">
        <v>28</v>
      </c>
      <c r="F161" s="10">
        <v>34</v>
      </c>
      <c r="G161" s="12">
        <f>(29-E161)/29*100</f>
        <v>3.4482758620689653</v>
      </c>
      <c r="H161" s="12">
        <f>(36-F161)/36*100</f>
        <v>5.5555555555555554</v>
      </c>
      <c r="I161" t="b">
        <f>G161&gt;=35</f>
        <v>0</v>
      </c>
      <c r="J161" t="b">
        <f>H161&gt;=50</f>
        <v>0</v>
      </c>
      <c r="K161" s="23">
        <v>120</v>
      </c>
      <c r="L161" s="8">
        <f>K161/134</f>
        <v>0.89552238805970152</v>
      </c>
      <c r="M161">
        <v>100</v>
      </c>
      <c r="N161" s="8">
        <f>M161/174</f>
        <v>0.57471264367816088</v>
      </c>
      <c r="O161">
        <v>5</v>
      </c>
      <c r="P161" s="8">
        <f>O161/422</f>
        <v>1.1848341232227487E-2</v>
      </c>
      <c r="Q161">
        <v>83</v>
      </c>
      <c r="R161" s="8">
        <f>Q161/351</f>
        <v>0.23646723646723647</v>
      </c>
      <c r="S161">
        <v>0</v>
      </c>
      <c r="T161" s="8">
        <f>S161/1099</f>
        <v>0</v>
      </c>
      <c r="U161">
        <v>272</v>
      </c>
      <c r="V161" s="8">
        <f>U161/1750</f>
        <v>0.15542857142857142</v>
      </c>
      <c r="W161">
        <v>130</v>
      </c>
      <c r="X161" s="8">
        <f>W161/136</f>
        <v>0.95588235294117652</v>
      </c>
      <c r="Y161">
        <v>5</v>
      </c>
      <c r="Z161" s="8">
        <f>Y161/59</f>
        <v>8.4745762711864403E-2</v>
      </c>
      <c r="AA161">
        <v>414</v>
      </c>
      <c r="AB161" s="8">
        <f>AA161/420</f>
        <v>0.98571428571428577</v>
      </c>
      <c r="AC161">
        <v>54</v>
      </c>
      <c r="AD161" s="8">
        <f>AC161/158</f>
        <v>0.34177215189873417</v>
      </c>
      <c r="AE161">
        <v>0</v>
      </c>
      <c r="AF161" s="8">
        <f>AE161/114</f>
        <v>0</v>
      </c>
      <c r="AG161">
        <v>58</v>
      </c>
      <c r="AH161" s="8">
        <f>AG161/270</f>
        <v>0.21481481481481482</v>
      </c>
      <c r="AI161" s="39">
        <v>1</v>
      </c>
      <c r="AJ161" s="39">
        <v>20</v>
      </c>
      <c r="AK161">
        <f>AI161/'Total Fiber Count'!H$9</f>
        <v>7.1428571428571426E-3</v>
      </c>
      <c r="AL161">
        <f>AJ161/'Total Fiber Count'!O$9</f>
        <v>8.3333333333333329E-2</v>
      </c>
      <c r="AM161">
        <v>0.375</v>
      </c>
      <c r="AN161">
        <v>0.54216867469879526</v>
      </c>
    </row>
    <row r="162" spans="1:40" ht="16" x14ac:dyDescent="0.2">
      <c r="A162" s="21" t="s">
        <v>58</v>
      </c>
      <c r="B162" s="41">
        <v>112.57142857142854</v>
      </c>
      <c r="C162" s="41">
        <v>2.1648351648351642</v>
      </c>
      <c r="D162" s="31" t="s">
        <v>25</v>
      </c>
      <c r="E162" s="10">
        <v>25</v>
      </c>
      <c r="F162" s="10">
        <v>27</v>
      </c>
      <c r="G162" s="12">
        <f>(29-E162)/29*100</f>
        <v>13.793103448275861</v>
      </c>
      <c r="H162" s="12">
        <f>(36-F162)/36*100</f>
        <v>25</v>
      </c>
      <c r="I162" t="b">
        <f>G162&gt;=35</f>
        <v>0</v>
      </c>
      <c r="J162" t="b">
        <f>H162&gt;=50</f>
        <v>0</v>
      </c>
      <c r="K162" s="23">
        <v>120</v>
      </c>
      <c r="L162" s="8">
        <f>K162/134</f>
        <v>0.89552238805970152</v>
      </c>
      <c r="M162">
        <v>62</v>
      </c>
      <c r="N162" s="8">
        <f>M162/174</f>
        <v>0.35632183908045978</v>
      </c>
      <c r="O162">
        <v>5</v>
      </c>
      <c r="P162" s="8">
        <f>O162/422</f>
        <v>1.1848341232227487E-2</v>
      </c>
      <c r="Q162">
        <v>36</v>
      </c>
      <c r="R162" s="8">
        <f>Q162/351</f>
        <v>0.10256410256410256</v>
      </c>
      <c r="S162">
        <v>0</v>
      </c>
      <c r="T162" s="8">
        <f>S162/1099</f>
        <v>0</v>
      </c>
      <c r="U162">
        <v>85</v>
      </c>
      <c r="V162" s="8">
        <f>U162/1750</f>
        <v>4.8571428571428571E-2</v>
      </c>
      <c r="W162">
        <v>130</v>
      </c>
      <c r="X162" s="8">
        <f>W162/136</f>
        <v>0.95588235294117652</v>
      </c>
      <c r="Y162">
        <v>2</v>
      </c>
      <c r="Z162" s="8">
        <f>Y162/59</f>
        <v>3.3898305084745763E-2</v>
      </c>
      <c r="AA162">
        <v>414</v>
      </c>
      <c r="AB162" s="8">
        <f>AA162/420</f>
        <v>0.98571428571428577</v>
      </c>
      <c r="AC162">
        <v>27</v>
      </c>
      <c r="AD162" s="8">
        <f>AC162/158</f>
        <v>0.17088607594936708</v>
      </c>
      <c r="AE162">
        <v>0</v>
      </c>
      <c r="AF162" s="8">
        <f>AE162/114</f>
        <v>0</v>
      </c>
      <c r="AG162">
        <v>11</v>
      </c>
      <c r="AH162" s="8">
        <f>AG162/270</f>
        <v>4.0740740740740744E-2</v>
      </c>
      <c r="AI162" s="39">
        <v>1</v>
      </c>
      <c r="AJ162" s="39">
        <v>3</v>
      </c>
      <c r="AK162">
        <f>AI162/'Total Fiber Count'!H$9</f>
        <v>7.1428571428571426E-3</v>
      </c>
      <c r="AL162">
        <f>AJ162/'Total Fiber Count'!O$9</f>
        <v>1.2500000000000001E-2</v>
      </c>
      <c r="AM162">
        <v>0.375</v>
      </c>
      <c r="AN162">
        <v>0.54582210242587603</v>
      </c>
    </row>
    <row r="163" spans="1:40" ht="16" x14ac:dyDescent="0.2">
      <c r="A163" s="21" t="s">
        <v>58</v>
      </c>
      <c r="B163" s="41">
        <v>114.57142857142854</v>
      </c>
      <c r="C163" s="41">
        <v>2.2032967032967026</v>
      </c>
      <c r="D163" s="31" t="s">
        <v>25</v>
      </c>
      <c r="E163" s="10">
        <v>24</v>
      </c>
      <c r="F163" s="10">
        <v>31</v>
      </c>
      <c r="G163" s="12">
        <f>(29-E163)/29*100</f>
        <v>17.241379310344829</v>
      </c>
      <c r="H163" s="12">
        <f>(36-F163)/36*100</f>
        <v>13.888888888888889</v>
      </c>
      <c r="I163" t="b">
        <f>G163&gt;=35</f>
        <v>0</v>
      </c>
      <c r="J163" t="b">
        <f>H163&gt;=50</f>
        <v>0</v>
      </c>
      <c r="K163" s="23">
        <v>120</v>
      </c>
      <c r="L163" s="8">
        <f>K163/134</f>
        <v>0.89552238805970152</v>
      </c>
      <c r="M163">
        <v>62</v>
      </c>
      <c r="N163" s="8">
        <f>M163/174</f>
        <v>0.35632183908045978</v>
      </c>
      <c r="O163">
        <v>5</v>
      </c>
      <c r="P163" s="8">
        <f>O163/422</f>
        <v>1.1848341232227487E-2</v>
      </c>
      <c r="Q163">
        <v>36</v>
      </c>
      <c r="R163" s="8">
        <f>Q163/351</f>
        <v>0.10256410256410256</v>
      </c>
      <c r="S163">
        <v>0</v>
      </c>
      <c r="T163" s="8">
        <f>S163/1099</f>
        <v>0</v>
      </c>
      <c r="U163">
        <v>85</v>
      </c>
      <c r="V163" s="8">
        <f>U163/1750</f>
        <v>4.8571428571428571E-2</v>
      </c>
      <c r="W163">
        <v>130</v>
      </c>
      <c r="X163" s="8">
        <f>W163/136</f>
        <v>0.95588235294117652</v>
      </c>
      <c r="Y163">
        <v>2</v>
      </c>
      <c r="Z163" s="8">
        <f>Y163/59</f>
        <v>3.3898305084745763E-2</v>
      </c>
      <c r="AA163">
        <v>414</v>
      </c>
      <c r="AB163" s="8">
        <f>AA163/420</f>
        <v>0.98571428571428577</v>
      </c>
      <c r="AC163">
        <v>27</v>
      </c>
      <c r="AD163" s="8">
        <f>AC163/158</f>
        <v>0.17088607594936708</v>
      </c>
      <c r="AE163">
        <v>0</v>
      </c>
      <c r="AF163" s="8">
        <f>AE163/114</f>
        <v>0</v>
      </c>
      <c r="AG163">
        <v>11</v>
      </c>
      <c r="AH163" s="8">
        <f>AG163/270</f>
        <v>4.0740740740740744E-2</v>
      </c>
      <c r="AI163" s="39">
        <v>1</v>
      </c>
      <c r="AJ163" s="39">
        <v>3</v>
      </c>
      <c r="AK163">
        <f>AI163/'Total Fiber Count'!H$9</f>
        <v>7.1428571428571426E-3</v>
      </c>
      <c r="AL163">
        <f>AJ163/'Total Fiber Count'!O$9</f>
        <v>1.2500000000000001E-2</v>
      </c>
      <c r="AM163">
        <v>0.375</v>
      </c>
      <c r="AN163">
        <v>0.53430079155672816</v>
      </c>
    </row>
    <row r="164" spans="1:40" ht="16" x14ac:dyDescent="0.2">
      <c r="A164" s="21" t="s">
        <v>58</v>
      </c>
      <c r="B164" s="41">
        <v>116.57142857142854</v>
      </c>
      <c r="C164" s="41">
        <v>2.2417582417582413</v>
      </c>
      <c r="D164" s="31" t="s">
        <v>25</v>
      </c>
      <c r="E164" s="10">
        <v>26</v>
      </c>
      <c r="F164" s="10">
        <v>27</v>
      </c>
      <c r="G164" s="12">
        <f>(29-E164)/29*100</f>
        <v>10.344827586206897</v>
      </c>
      <c r="H164" s="12">
        <f>(36-F164)/36*100</f>
        <v>25</v>
      </c>
      <c r="I164" t="b">
        <f>G164&gt;=35</f>
        <v>0</v>
      </c>
      <c r="J164" t="b">
        <f>H164&gt;=50</f>
        <v>0</v>
      </c>
      <c r="K164" s="23">
        <v>120</v>
      </c>
      <c r="L164" s="8">
        <f>K164/134</f>
        <v>0.89552238805970152</v>
      </c>
      <c r="M164">
        <v>62</v>
      </c>
      <c r="N164" s="8">
        <f>M164/174</f>
        <v>0.35632183908045978</v>
      </c>
      <c r="O164">
        <v>5</v>
      </c>
      <c r="P164" s="8">
        <f>O164/422</f>
        <v>1.1848341232227487E-2</v>
      </c>
      <c r="Q164">
        <v>36</v>
      </c>
      <c r="R164" s="8">
        <f>Q164/351</f>
        <v>0.10256410256410256</v>
      </c>
      <c r="S164">
        <v>0</v>
      </c>
      <c r="T164" s="8">
        <f>S164/1099</f>
        <v>0</v>
      </c>
      <c r="U164">
        <v>85</v>
      </c>
      <c r="V164" s="8">
        <f>U164/1750</f>
        <v>4.8571428571428571E-2</v>
      </c>
      <c r="W164">
        <v>130</v>
      </c>
      <c r="X164" s="8">
        <f>W164/136</f>
        <v>0.95588235294117652</v>
      </c>
      <c r="Y164">
        <v>2</v>
      </c>
      <c r="Z164" s="8">
        <f>Y164/59</f>
        <v>3.3898305084745763E-2</v>
      </c>
      <c r="AA164">
        <v>414</v>
      </c>
      <c r="AB164" s="8">
        <f>AA164/420</f>
        <v>0.98571428571428577</v>
      </c>
      <c r="AC164">
        <v>27</v>
      </c>
      <c r="AD164" s="8">
        <f>AC164/158</f>
        <v>0.17088607594936708</v>
      </c>
      <c r="AE164">
        <v>0</v>
      </c>
      <c r="AF164" s="8">
        <f>AE164/114</f>
        <v>0</v>
      </c>
      <c r="AG164">
        <v>11</v>
      </c>
      <c r="AH164" s="8">
        <f>AG164/270</f>
        <v>4.0740740740740744E-2</v>
      </c>
      <c r="AI164" s="39">
        <v>1</v>
      </c>
      <c r="AJ164" s="39">
        <v>3</v>
      </c>
      <c r="AK164">
        <f>AI164/'Total Fiber Count'!H$9</f>
        <v>7.1428571428571426E-3</v>
      </c>
      <c r="AL164">
        <f>AJ164/'Total Fiber Count'!O$9</f>
        <v>1.2500000000000001E-2</v>
      </c>
      <c r="AM164">
        <v>0.375</v>
      </c>
      <c r="AN164">
        <v>0.53010471204188481</v>
      </c>
    </row>
    <row r="165" spans="1:40" ht="16" x14ac:dyDescent="0.2">
      <c r="A165" s="21" t="s">
        <v>58</v>
      </c>
      <c r="B165" s="41">
        <v>118.57142857142854</v>
      </c>
      <c r="C165" s="41">
        <v>2.2802197802197797</v>
      </c>
      <c r="D165" s="31" t="s">
        <v>25</v>
      </c>
      <c r="E165" s="10">
        <v>25</v>
      </c>
      <c r="F165" s="10">
        <v>31</v>
      </c>
      <c r="G165" s="12">
        <f>(29-E165)/29*100</f>
        <v>13.793103448275861</v>
      </c>
      <c r="H165" s="12">
        <f>(36-F165)/36*100</f>
        <v>13.888888888888889</v>
      </c>
      <c r="I165" t="b">
        <f>G165&gt;=35</f>
        <v>0</v>
      </c>
      <c r="J165" t="b">
        <f>H165&gt;=50</f>
        <v>0</v>
      </c>
      <c r="K165" s="23">
        <v>120</v>
      </c>
      <c r="L165" s="8">
        <f>K165/134</f>
        <v>0.89552238805970152</v>
      </c>
      <c r="M165">
        <v>62</v>
      </c>
      <c r="N165" s="8">
        <f>M165/174</f>
        <v>0.35632183908045978</v>
      </c>
      <c r="O165">
        <v>5</v>
      </c>
      <c r="P165" s="8">
        <f>O165/422</f>
        <v>1.1848341232227487E-2</v>
      </c>
      <c r="Q165">
        <v>36</v>
      </c>
      <c r="R165" s="8">
        <f>Q165/351</f>
        <v>0.10256410256410256</v>
      </c>
      <c r="S165">
        <v>0</v>
      </c>
      <c r="T165" s="8">
        <f>S165/1099</f>
        <v>0</v>
      </c>
      <c r="U165">
        <v>85</v>
      </c>
      <c r="V165" s="8">
        <f>U165/1750</f>
        <v>4.8571428571428571E-2</v>
      </c>
      <c r="W165">
        <v>130</v>
      </c>
      <c r="X165" s="8">
        <f>W165/136</f>
        <v>0.95588235294117652</v>
      </c>
      <c r="Y165">
        <v>2</v>
      </c>
      <c r="Z165" s="8">
        <f>Y165/59</f>
        <v>3.3898305084745763E-2</v>
      </c>
      <c r="AA165">
        <v>414</v>
      </c>
      <c r="AB165" s="8">
        <f>AA165/420</f>
        <v>0.98571428571428577</v>
      </c>
      <c r="AC165">
        <v>27</v>
      </c>
      <c r="AD165" s="8">
        <f>AC165/158</f>
        <v>0.17088607594936708</v>
      </c>
      <c r="AE165">
        <v>0</v>
      </c>
      <c r="AF165" s="8">
        <f>AE165/114</f>
        <v>0</v>
      </c>
      <c r="AG165">
        <v>11</v>
      </c>
      <c r="AH165" s="8">
        <f>AG165/270</f>
        <v>4.0740740740740744E-2</v>
      </c>
      <c r="AI165" s="39">
        <v>1</v>
      </c>
      <c r="AJ165" s="39">
        <v>3</v>
      </c>
      <c r="AK165">
        <f>AI165/'Total Fiber Count'!H$9</f>
        <v>7.1428571428571426E-3</v>
      </c>
      <c r="AL165">
        <f>AJ165/'Total Fiber Count'!O$9</f>
        <v>1.2500000000000001E-2</v>
      </c>
      <c r="AM165">
        <v>0.375</v>
      </c>
      <c r="AN165">
        <v>0.52597402597402598</v>
      </c>
    </row>
    <row r="166" spans="1:40" ht="16" x14ac:dyDescent="0.2">
      <c r="A166" s="21" t="s">
        <v>58</v>
      </c>
      <c r="B166" s="42">
        <v>120.57142857142854</v>
      </c>
      <c r="C166" s="42">
        <v>2.318681318681318</v>
      </c>
      <c r="D166" s="31" t="s">
        <v>25</v>
      </c>
      <c r="E166" s="10">
        <v>24</v>
      </c>
      <c r="F166" s="10">
        <v>27</v>
      </c>
      <c r="G166" s="12">
        <f>(29-E166)/29*100</f>
        <v>17.241379310344829</v>
      </c>
      <c r="H166" s="12">
        <f>(36-F166)/36*100</f>
        <v>25</v>
      </c>
      <c r="I166" t="b">
        <f>G166&gt;=35</f>
        <v>0</v>
      </c>
      <c r="J166" t="b">
        <f>H166&gt;=50</f>
        <v>0</v>
      </c>
      <c r="K166" s="23">
        <v>120</v>
      </c>
      <c r="L166" s="8">
        <f>K166/134</f>
        <v>0.89552238805970152</v>
      </c>
      <c r="M166">
        <v>62</v>
      </c>
      <c r="N166" s="8">
        <f>M166/174</f>
        <v>0.35632183908045978</v>
      </c>
      <c r="O166">
        <v>5</v>
      </c>
      <c r="P166" s="8">
        <f>O166/422</f>
        <v>1.1848341232227487E-2</v>
      </c>
      <c r="Q166">
        <v>36</v>
      </c>
      <c r="R166" s="8">
        <f>Q166/351</f>
        <v>0.10256410256410256</v>
      </c>
      <c r="S166">
        <v>0</v>
      </c>
      <c r="T166" s="8">
        <f>S166/1099</f>
        <v>0</v>
      </c>
      <c r="U166">
        <v>85</v>
      </c>
      <c r="V166" s="8">
        <f>U166/1750</f>
        <v>4.8571428571428571E-2</v>
      </c>
      <c r="W166">
        <v>130</v>
      </c>
      <c r="X166" s="8">
        <f>W166/136</f>
        <v>0.95588235294117652</v>
      </c>
      <c r="Y166">
        <v>2</v>
      </c>
      <c r="Z166" s="8">
        <f>Y166/59</f>
        <v>3.3898305084745763E-2</v>
      </c>
      <c r="AA166">
        <v>414</v>
      </c>
      <c r="AB166" s="8">
        <f>AA166/420</f>
        <v>0.98571428571428577</v>
      </c>
      <c r="AC166">
        <v>27</v>
      </c>
      <c r="AD166" s="8">
        <f>AC166/158</f>
        <v>0.17088607594936708</v>
      </c>
      <c r="AE166">
        <v>0</v>
      </c>
      <c r="AF166" s="8">
        <f>AE166/114</f>
        <v>0</v>
      </c>
      <c r="AG166">
        <v>11</v>
      </c>
      <c r="AH166" s="8">
        <f>AG166/270</f>
        <v>4.0740740740740744E-2</v>
      </c>
      <c r="AI166" s="39">
        <v>1</v>
      </c>
      <c r="AJ166" s="39">
        <v>3</v>
      </c>
      <c r="AK166">
        <f>AI166/'Total Fiber Count'!H$9</f>
        <v>7.1428571428571426E-3</v>
      </c>
      <c r="AL166">
        <f>AJ166/'Total Fiber Count'!O$9</f>
        <v>1.2500000000000001E-2</v>
      </c>
      <c r="AM166">
        <v>0.375</v>
      </c>
      <c r="AN166">
        <v>0.52597402597402598</v>
      </c>
    </row>
  </sheetData>
  <sortState xmlns:xlrd2="http://schemas.microsoft.com/office/spreadsheetml/2017/richdata2" ref="A2:AH166">
    <sortCondition ref="A2:A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9"/>
  <sheetViews>
    <sheetView workbookViewId="0">
      <selection activeCell="A10" sqref="A10"/>
    </sheetView>
  </sheetViews>
  <sheetFormatPr baseColWidth="10" defaultColWidth="14.33203125" defaultRowHeight="15.75" customHeight="1" x14ac:dyDescent="0.15"/>
  <cols>
    <col min="1" max="1" width="15.1640625" customWidth="1"/>
  </cols>
  <sheetData>
    <row r="1" spans="1:15" ht="13" x14ac:dyDescent="0.15">
      <c r="A1" s="1" t="s">
        <v>0</v>
      </c>
      <c r="B1" s="3" t="s">
        <v>26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21</v>
      </c>
      <c r="H1" s="3" t="s">
        <v>39</v>
      </c>
      <c r="I1" s="3" t="s">
        <v>27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23</v>
      </c>
      <c r="O1" s="3" t="s">
        <v>40</v>
      </c>
    </row>
    <row r="2" spans="1:15" ht="13" x14ac:dyDescent="0.15">
      <c r="A2" s="12" t="s">
        <v>51</v>
      </c>
      <c r="B2" s="28">
        <v>101</v>
      </c>
      <c r="C2" s="28">
        <v>440</v>
      </c>
      <c r="D2" s="28">
        <v>480</v>
      </c>
      <c r="E2" s="28">
        <v>26</v>
      </c>
      <c r="F2" s="28">
        <v>46</v>
      </c>
      <c r="G2" s="28">
        <v>650</v>
      </c>
      <c r="H2" s="32">
        <v>345</v>
      </c>
      <c r="I2" s="29">
        <v>244</v>
      </c>
      <c r="J2" s="29">
        <v>520</v>
      </c>
      <c r="K2" s="29">
        <v>1701</v>
      </c>
      <c r="L2" s="29">
        <v>25</v>
      </c>
      <c r="M2" s="29">
        <v>15</v>
      </c>
      <c r="N2" s="29">
        <v>1085</v>
      </c>
      <c r="O2" s="34">
        <v>181</v>
      </c>
    </row>
    <row r="3" spans="1:15" ht="13" x14ac:dyDescent="0.15">
      <c r="A3" s="12" t="s">
        <v>52</v>
      </c>
      <c r="B3" s="28">
        <v>365</v>
      </c>
      <c r="C3" s="28">
        <v>989</v>
      </c>
      <c r="D3" s="28">
        <v>2103</v>
      </c>
      <c r="E3" s="28">
        <v>24</v>
      </c>
      <c r="F3" s="28">
        <v>108</v>
      </c>
      <c r="G3" s="28">
        <v>545</v>
      </c>
      <c r="H3" s="32">
        <v>49</v>
      </c>
      <c r="I3" s="29">
        <v>313</v>
      </c>
      <c r="J3" s="29">
        <v>623</v>
      </c>
      <c r="K3" s="29">
        <v>3357</v>
      </c>
      <c r="L3" s="29">
        <v>25</v>
      </c>
      <c r="M3" s="29">
        <v>64</v>
      </c>
      <c r="N3" s="29">
        <v>1393</v>
      </c>
      <c r="O3" s="34">
        <v>48</v>
      </c>
    </row>
    <row r="4" spans="1:15" ht="13" x14ac:dyDescent="0.15">
      <c r="A4" s="12" t="s">
        <v>53</v>
      </c>
      <c r="B4" s="28">
        <v>5</v>
      </c>
      <c r="C4" s="28">
        <v>96</v>
      </c>
      <c r="D4" s="28">
        <v>178</v>
      </c>
      <c r="E4" s="28">
        <v>0</v>
      </c>
      <c r="F4" s="28">
        <v>3</v>
      </c>
      <c r="G4" s="28">
        <v>114</v>
      </c>
      <c r="H4" s="32">
        <v>7</v>
      </c>
      <c r="I4" s="29">
        <v>3</v>
      </c>
      <c r="J4" s="29">
        <v>254</v>
      </c>
      <c r="K4" s="29">
        <v>364</v>
      </c>
      <c r="L4" s="29">
        <v>0</v>
      </c>
      <c r="M4" s="29">
        <v>0</v>
      </c>
      <c r="N4" s="29">
        <v>63</v>
      </c>
      <c r="O4" s="33">
        <v>8</v>
      </c>
    </row>
    <row r="5" spans="1:15" ht="15.75" customHeight="1" x14ac:dyDescent="0.15">
      <c r="A5" s="4" t="s">
        <v>54</v>
      </c>
      <c r="B5" s="28">
        <v>413</v>
      </c>
      <c r="C5" s="28">
        <v>538</v>
      </c>
      <c r="D5" s="13">
        <v>987</v>
      </c>
      <c r="E5" s="13">
        <v>119</v>
      </c>
      <c r="F5" s="13">
        <v>118</v>
      </c>
      <c r="G5" s="6">
        <v>698</v>
      </c>
      <c r="H5" s="32">
        <v>137</v>
      </c>
      <c r="I5" s="29">
        <v>310</v>
      </c>
      <c r="J5" s="29">
        <v>505</v>
      </c>
      <c r="K5" s="14">
        <v>868</v>
      </c>
      <c r="L5" s="14">
        <v>84</v>
      </c>
      <c r="M5" s="14">
        <v>34</v>
      </c>
      <c r="N5" s="7">
        <v>250</v>
      </c>
      <c r="O5" s="34">
        <v>151</v>
      </c>
    </row>
    <row r="6" spans="1:15" ht="15.75" customHeight="1" x14ac:dyDescent="0.15">
      <c r="A6" s="12" t="s">
        <v>55</v>
      </c>
      <c r="B6" s="28">
        <v>224</v>
      </c>
      <c r="C6" s="28">
        <v>713</v>
      </c>
      <c r="D6" s="28">
        <v>1264</v>
      </c>
      <c r="E6" s="28">
        <v>65</v>
      </c>
      <c r="F6" s="28">
        <v>135</v>
      </c>
      <c r="G6" s="28">
        <v>87</v>
      </c>
      <c r="H6" s="32">
        <v>159</v>
      </c>
      <c r="I6" s="29">
        <v>448</v>
      </c>
      <c r="J6" s="29">
        <v>1636</v>
      </c>
      <c r="K6" s="29">
        <v>1505</v>
      </c>
      <c r="L6" s="29">
        <v>12</v>
      </c>
      <c r="M6" s="29">
        <v>17</v>
      </c>
      <c r="N6" s="29">
        <v>633</v>
      </c>
      <c r="O6" s="34">
        <v>158</v>
      </c>
    </row>
    <row r="7" spans="1:15" ht="15.75" customHeight="1" x14ac:dyDescent="0.15">
      <c r="A7" s="12" t="s">
        <v>56</v>
      </c>
      <c r="B7" s="28">
        <v>381</v>
      </c>
      <c r="C7" s="28">
        <v>780</v>
      </c>
      <c r="D7" s="13">
        <v>1709</v>
      </c>
      <c r="E7" s="13">
        <v>75</v>
      </c>
      <c r="F7" s="13">
        <v>180</v>
      </c>
      <c r="G7" s="15">
        <v>443</v>
      </c>
      <c r="H7" s="32">
        <v>106</v>
      </c>
      <c r="I7" s="29">
        <v>516</v>
      </c>
      <c r="J7" s="29">
        <v>592</v>
      </c>
      <c r="K7" s="14">
        <v>2365</v>
      </c>
      <c r="L7" s="14">
        <v>101</v>
      </c>
      <c r="M7" s="14">
        <v>248</v>
      </c>
      <c r="N7" s="16">
        <v>1350</v>
      </c>
      <c r="O7" s="34">
        <v>146</v>
      </c>
    </row>
    <row r="8" spans="1:15" ht="15.75" customHeight="1" x14ac:dyDescent="0.15">
      <c r="A8" s="12" t="s">
        <v>57</v>
      </c>
      <c r="B8" s="28">
        <v>494</v>
      </c>
      <c r="C8" s="28">
        <v>1039</v>
      </c>
      <c r="D8" s="13">
        <v>2105</v>
      </c>
      <c r="E8" s="13">
        <v>28</v>
      </c>
      <c r="F8" s="13">
        <v>66</v>
      </c>
      <c r="G8" s="15">
        <v>230</v>
      </c>
      <c r="H8" s="32">
        <v>900</v>
      </c>
      <c r="I8" s="29">
        <v>248</v>
      </c>
      <c r="J8" s="29">
        <v>655</v>
      </c>
      <c r="K8" s="14">
        <v>934</v>
      </c>
      <c r="L8" s="14">
        <v>26</v>
      </c>
      <c r="M8" s="14">
        <v>89</v>
      </c>
      <c r="N8" s="16">
        <v>236</v>
      </c>
      <c r="O8" s="34">
        <v>263</v>
      </c>
    </row>
    <row r="9" spans="1:15" ht="15.75" customHeight="1" x14ac:dyDescent="0.15">
      <c r="A9" s="12" t="s">
        <v>58</v>
      </c>
      <c r="B9" s="28">
        <v>134</v>
      </c>
      <c r="C9" s="28">
        <v>422</v>
      </c>
      <c r="D9" s="28">
        <v>1099</v>
      </c>
      <c r="E9" s="28">
        <v>136</v>
      </c>
      <c r="F9" s="28">
        <v>420</v>
      </c>
      <c r="G9" s="28">
        <v>114</v>
      </c>
      <c r="H9" s="32">
        <v>140</v>
      </c>
      <c r="I9" s="29">
        <v>174</v>
      </c>
      <c r="J9" s="29">
        <v>351</v>
      </c>
      <c r="K9" s="29">
        <v>1750</v>
      </c>
      <c r="L9" s="29">
        <v>59</v>
      </c>
      <c r="M9" s="29">
        <v>158</v>
      </c>
      <c r="N9" s="29">
        <v>270</v>
      </c>
      <c r="O9" s="34">
        <v>240</v>
      </c>
    </row>
  </sheetData>
  <sortState xmlns:xlrd2="http://schemas.microsoft.com/office/spreadsheetml/2017/richdata2" ref="A2:O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EE9B-7A42-3F4E-A3CA-D83DCBF1BDDC}">
  <dimension ref="A1:B9"/>
  <sheetViews>
    <sheetView workbookViewId="0">
      <selection activeCell="B9" sqref="B9"/>
    </sheetView>
  </sheetViews>
  <sheetFormatPr baseColWidth="10" defaultRowHeight="13" x14ac:dyDescent="0.15"/>
  <sheetData>
    <row r="1" spans="1:2" x14ac:dyDescent="0.15">
      <c r="A1" s="43" t="s">
        <v>0</v>
      </c>
      <c r="B1" s="43" t="s">
        <v>44</v>
      </c>
    </row>
    <row r="2" spans="1:2" x14ac:dyDescent="0.15">
      <c r="A2" s="37" t="s">
        <v>51</v>
      </c>
      <c r="B2" s="38">
        <v>1570.4</v>
      </c>
    </row>
    <row r="3" spans="1:2" x14ac:dyDescent="0.15">
      <c r="A3" s="37" t="s">
        <v>52</v>
      </c>
      <c r="B3" s="38">
        <v>1954.4</v>
      </c>
    </row>
    <row r="4" spans="1:2" x14ac:dyDescent="0.15">
      <c r="A4" s="37" t="s">
        <v>53</v>
      </c>
      <c r="B4" s="38">
        <v>1524.5</v>
      </c>
    </row>
    <row r="5" spans="1:2" x14ac:dyDescent="0.15">
      <c r="A5" s="37" t="s">
        <v>54</v>
      </c>
      <c r="B5" s="38">
        <v>1476.4</v>
      </c>
    </row>
    <row r="6" spans="1:2" x14ac:dyDescent="0.15">
      <c r="A6" s="37" t="s">
        <v>55</v>
      </c>
      <c r="B6" s="38">
        <v>1516</v>
      </c>
    </row>
    <row r="7" spans="1:2" x14ac:dyDescent="0.15">
      <c r="A7" s="37" t="s">
        <v>56</v>
      </c>
      <c r="B7" s="38">
        <v>1961.7</v>
      </c>
    </row>
    <row r="8" spans="1:2" x14ac:dyDescent="0.15">
      <c r="A8" s="37" t="s">
        <v>57</v>
      </c>
      <c r="B8" s="38">
        <v>1586.3</v>
      </c>
    </row>
    <row r="9" spans="1:2" x14ac:dyDescent="0.15">
      <c r="A9" s="37" t="s">
        <v>58</v>
      </c>
      <c r="B9" s="38">
        <v>1363.904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34C8-2659-C743-A4E6-F2FCD5A19B77}">
  <dimension ref="A1:C9"/>
  <sheetViews>
    <sheetView workbookViewId="0">
      <selection activeCell="A10" sqref="A10"/>
    </sheetView>
  </sheetViews>
  <sheetFormatPr baseColWidth="10" defaultRowHeight="13" x14ac:dyDescent="0.15"/>
  <cols>
    <col min="2" max="3" width="15.33203125" bestFit="1" customWidth="1"/>
  </cols>
  <sheetData>
    <row r="1" spans="1:3" x14ac:dyDescent="0.15">
      <c r="A1" s="44" t="s">
        <v>0</v>
      </c>
      <c r="B1" s="44" t="s">
        <v>47</v>
      </c>
      <c r="C1" s="44" t="s">
        <v>48</v>
      </c>
    </row>
    <row r="2" spans="1:3" x14ac:dyDescent="0.15">
      <c r="A2" s="37" t="s">
        <v>51</v>
      </c>
      <c r="B2" s="38">
        <v>30</v>
      </c>
      <c r="C2">
        <v>12</v>
      </c>
    </row>
    <row r="3" spans="1:3" x14ac:dyDescent="0.15">
      <c r="A3" s="37" t="s">
        <v>52</v>
      </c>
      <c r="B3" s="38">
        <v>32</v>
      </c>
      <c r="C3">
        <v>22</v>
      </c>
    </row>
    <row r="4" spans="1:3" x14ac:dyDescent="0.15">
      <c r="A4" s="37" t="s">
        <v>53</v>
      </c>
      <c r="B4" s="38">
        <v>35</v>
      </c>
      <c r="C4">
        <v>41</v>
      </c>
    </row>
    <row r="5" spans="1:3" x14ac:dyDescent="0.15">
      <c r="A5" s="37" t="s">
        <v>54</v>
      </c>
      <c r="B5" s="38">
        <v>34</v>
      </c>
      <c r="C5">
        <v>34</v>
      </c>
    </row>
    <row r="6" spans="1:3" x14ac:dyDescent="0.15">
      <c r="A6" s="37" t="s">
        <v>55</v>
      </c>
      <c r="B6" s="38">
        <v>32</v>
      </c>
      <c r="C6">
        <v>36</v>
      </c>
    </row>
    <row r="7" spans="1:3" x14ac:dyDescent="0.15">
      <c r="A7" s="37" t="s">
        <v>56</v>
      </c>
      <c r="B7" s="38">
        <v>38</v>
      </c>
      <c r="C7">
        <v>40</v>
      </c>
    </row>
    <row r="8" spans="1:3" x14ac:dyDescent="0.15">
      <c r="A8" s="37" t="s">
        <v>57</v>
      </c>
      <c r="B8" s="38">
        <v>28</v>
      </c>
      <c r="C8">
        <v>22</v>
      </c>
    </row>
    <row r="9" spans="1:3" x14ac:dyDescent="0.15">
      <c r="A9" s="37" t="s">
        <v>58</v>
      </c>
      <c r="B9" s="38">
        <v>29</v>
      </c>
      <c r="C9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A223-6A73-AA4C-A911-53AFD937BB1E}">
  <dimension ref="A1:R166"/>
  <sheetViews>
    <sheetView tabSelected="1" workbookViewId="0">
      <selection activeCell="F20" sqref="F20"/>
    </sheetView>
  </sheetViews>
  <sheetFormatPr baseColWidth="10" defaultRowHeight="13" x14ac:dyDescent="0.15"/>
  <cols>
    <col min="1" max="1" width="8.83203125" style="57"/>
    <col min="2" max="2" width="10.83203125" style="57"/>
    <col min="3" max="3" width="14.1640625" style="51" customWidth="1"/>
    <col min="4" max="4" width="16" style="51" customWidth="1"/>
    <col min="5" max="6" width="10.83203125" style="51"/>
    <col min="7" max="7" width="12.6640625" style="51" customWidth="1"/>
    <col min="8" max="8" width="10.83203125" style="51"/>
    <col min="9" max="9" width="16" style="51" customWidth="1"/>
    <col min="10" max="10" width="14.83203125" style="51" customWidth="1"/>
    <col min="11" max="11" width="13.6640625" style="51" customWidth="1"/>
    <col min="12" max="13" width="10.83203125" style="51"/>
    <col min="14" max="14" width="14.83203125" style="51" customWidth="1"/>
    <col min="15" max="15" width="12.5" style="51" customWidth="1"/>
    <col min="16" max="16" width="13.1640625" style="51" customWidth="1"/>
  </cols>
  <sheetData>
    <row r="1" spans="1:16" ht="17" x14ac:dyDescent="0.2">
      <c r="A1" s="58" t="s">
        <v>0</v>
      </c>
      <c r="B1" s="58" t="s">
        <v>45</v>
      </c>
      <c r="C1" s="49" t="s">
        <v>59</v>
      </c>
      <c r="D1" s="49" t="s">
        <v>60</v>
      </c>
      <c r="E1" s="49" t="s">
        <v>61</v>
      </c>
      <c r="F1" s="49" t="s">
        <v>62</v>
      </c>
      <c r="G1" s="49" t="s">
        <v>63</v>
      </c>
      <c r="H1" s="50" t="s">
        <v>71</v>
      </c>
      <c r="I1" s="49" t="s">
        <v>64</v>
      </c>
      <c r="J1" s="49" t="s">
        <v>65</v>
      </c>
      <c r="K1" s="49" t="s">
        <v>66</v>
      </c>
      <c r="L1" s="49" t="s">
        <v>67</v>
      </c>
      <c r="M1" s="49" t="s">
        <v>68</v>
      </c>
      <c r="N1" s="49" t="s">
        <v>69</v>
      </c>
      <c r="O1" s="49" t="s">
        <v>72</v>
      </c>
      <c r="P1" s="49" t="s">
        <v>70</v>
      </c>
    </row>
    <row r="2" spans="1:16" ht="16" x14ac:dyDescent="0.2">
      <c r="A2" s="48" t="s">
        <v>51</v>
      </c>
      <c r="B2" s="48">
        <v>0</v>
      </c>
      <c r="C2" s="52" t="s">
        <v>73</v>
      </c>
      <c r="D2" s="53" t="s">
        <v>74</v>
      </c>
      <c r="E2" s="52" t="s">
        <v>77</v>
      </c>
      <c r="F2" s="52" t="s">
        <v>75</v>
      </c>
      <c r="G2" s="52" t="s">
        <v>78</v>
      </c>
      <c r="H2" s="52" t="s">
        <v>79</v>
      </c>
      <c r="I2" s="52">
        <v>0.48</v>
      </c>
      <c r="J2" s="52" t="s">
        <v>73</v>
      </c>
      <c r="K2" s="53" t="s">
        <v>74</v>
      </c>
      <c r="L2" s="52" t="s">
        <v>77</v>
      </c>
      <c r="M2" s="52" t="s">
        <v>75</v>
      </c>
      <c r="N2" s="52" t="s">
        <v>78</v>
      </c>
      <c r="O2" s="53" t="s">
        <v>80</v>
      </c>
      <c r="P2" s="53">
        <f>L2/O2*N2/1000000*1000000</f>
        <v>0.22556390977443608</v>
      </c>
    </row>
    <row r="3" spans="1:16" ht="16" x14ac:dyDescent="0.2">
      <c r="A3" s="48" t="s">
        <v>51</v>
      </c>
      <c r="B3" s="48">
        <v>2</v>
      </c>
      <c r="C3" s="52" t="s">
        <v>73</v>
      </c>
      <c r="D3" s="53" t="s">
        <v>74</v>
      </c>
      <c r="E3" s="52" t="s">
        <v>77</v>
      </c>
      <c r="F3" s="52" t="s">
        <v>75</v>
      </c>
      <c r="G3" s="52" t="s">
        <v>78</v>
      </c>
      <c r="H3" s="52" t="s">
        <v>79</v>
      </c>
      <c r="I3" s="52">
        <v>0.48</v>
      </c>
      <c r="J3" s="52" t="s">
        <v>73</v>
      </c>
      <c r="K3" s="53" t="s">
        <v>74</v>
      </c>
      <c r="L3" s="52" t="s">
        <v>77</v>
      </c>
      <c r="M3" s="52" t="s">
        <v>75</v>
      </c>
      <c r="N3" s="52" t="s">
        <v>78</v>
      </c>
      <c r="O3" s="53" t="s">
        <v>80</v>
      </c>
      <c r="P3" s="53">
        <f>L3/O3*N3/1000000*1000000</f>
        <v>0.22556390977443608</v>
      </c>
    </row>
    <row r="4" spans="1:16" ht="16" x14ac:dyDescent="0.2">
      <c r="A4" s="48" t="s">
        <v>51</v>
      </c>
      <c r="B4" s="48">
        <v>2</v>
      </c>
      <c r="C4" s="52" t="s">
        <v>73</v>
      </c>
      <c r="D4" s="53" t="s">
        <v>74</v>
      </c>
      <c r="E4" s="52" t="s">
        <v>81</v>
      </c>
      <c r="F4" s="52" t="s">
        <v>75</v>
      </c>
      <c r="G4" s="52" t="s">
        <v>76</v>
      </c>
      <c r="H4" s="52" t="s">
        <v>79</v>
      </c>
      <c r="I4" s="52">
        <v>0.9900000000000001</v>
      </c>
      <c r="J4" s="52" t="s">
        <v>73</v>
      </c>
      <c r="K4" s="53">
        <v>3</v>
      </c>
      <c r="L4" s="52" t="s">
        <v>82</v>
      </c>
      <c r="M4" s="52" t="s">
        <v>75</v>
      </c>
      <c r="N4" s="52" t="s">
        <v>78</v>
      </c>
      <c r="O4" s="53" t="s">
        <v>83</v>
      </c>
      <c r="P4" s="53">
        <f>L4/O4*N4/1000000*1000000</f>
        <v>0.45378151260504201</v>
      </c>
    </row>
    <row r="5" spans="1:16" ht="16" x14ac:dyDescent="0.2">
      <c r="A5" s="48" t="s">
        <v>51</v>
      </c>
      <c r="B5" s="48">
        <v>4</v>
      </c>
      <c r="C5" s="52" t="s">
        <v>73</v>
      </c>
      <c r="D5" s="53" t="s">
        <v>74</v>
      </c>
      <c r="E5" s="52" t="s">
        <v>84</v>
      </c>
      <c r="F5" s="52" t="s">
        <v>75</v>
      </c>
      <c r="G5" s="52" t="s">
        <v>76</v>
      </c>
      <c r="H5" s="52" t="s">
        <v>79</v>
      </c>
      <c r="I5" s="52">
        <v>1.08</v>
      </c>
      <c r="J5" s="52" t="s">
        <v>73</v>
      </c>
      <c r="K5" s="53">
        <v>3</v>
      </c>
      <c r="L5" s="52" t="s">
        <v>81</v>
      </c>
      <c r="M5" s="52" t="s">
        <v>75</v>
      </c>
      <c r="N5" s="52" t="s">
        <v>78</v>
      </c>
      <c r="O5" s="53" t="s">
        <v>85</v>
      </c>
      <c r="P5" s="53">
        <f>L5/O5*N5/1000000*1000000</f>
        <v>0.45143638850889189</v>
      </c>
    </row>
    <row r="6" spans="1:16" ht="16" x14ac:dyDescent="0.2">
      <c r="A6" s="48" t="s">
        <v>51</v>
      </c>
      <c r="B6" s="48">
        <v>6</v>
      </c>
      <c r="C6" s="52" t="s">
        <v>73</v>
      </c>
      <c r="D6" s="53" t="s">
        <v>74</v>
      </c>
      <c r="E6" s="52" t="s">
        <v>86</v>
      </c>
      <c r="F6" s="52" t="s">
        <v>75</v>
      </c>
      <c r="G6" s="52" t="s">
        <v>78</v>
      </c>
      <c r="H6" s="52" t="s">
        <v>79</v>
      </c>
      <c r="I6" s="52">
        <v>0.96</v>
      </c>
      <c r="J6" s="52" t="s">
        <v>87</v>
      </c>
      <c r="K6" s="52" t="s">
        <v>87</v>
      </c>
      <c r="L6" s="53" t="s">
        <v>87</v>
      </c>
      <c r="M6" s="52" t="s">
        <v>87</v>
      </c>
      <c r="N6" s="52" t="s">
        <v>87</v>
      </c>
      <c r="O6" s="53" t="s">
        <v>87</v>
      </c>
      <c r="P6" s="53">
        <v>0</v>
      </c>
    </row>
    <row r="7" spans="1:16" ht="16" x14ac:dyDescent="0.2">
      <c r="A7" s="48" t="s">
        <v>51</v>
      </c>
      <c r="B7" s="48">
        <v>0</v>
      </c>
      <c r="C7" s="52" t="s">
        <v>73</v>
      </c>
      <c r="D7" s="53" t="s">
        <v>74</v>
      </c>
      <c r="E7" s="52" t="s">
        <v>84</v>
      </c>
      <c r="F7" s="52" t="s">
        <v>88</v>
      </c>
      <c r="G7" s="52" t="s">
        <v>78</v>
      </c>
      <c r="H7" s="53" t="s">
        <v>79</v>
      </c>
      <c r="I7" s="52">
        <v>0.72</v>
      </c>
      <c r="J7" s="52" t="s">
        <v>73</v>
      </c>
      <c r="K7" s="53">
        <v>3</v>
      </c>
      <c r="L7" s="52" t="s">
        <v>89</v>
      </c>
      <c r="M7" s="52" t="s">
        <v>88</v>
      </c>
      <c r="N7" s="52" t="s">
        <v>78</v>
      </c>
      <c r="O7" s="53" t="s">
        <v>90</v>
      </c>
      <c r="P7" s="53">
        <f>L7/O7*N7/1000000*1000000</f>
        <v>0.2294455066921606</v>
      </c>
    </row>
    <row r="8" spans="1:16" ht="16" x14ac:dyDescent="0.2">
      <c r="A8" s="48" t="s">
        <v>51</v>
      </c>
      <c r="B8" s="48">
        <v>10</v>
      </c>
      <c r="C8" s="52" t="s">
        <v>73</v>
      </c>
      <c r="D8" s="53" t="s">
        <v>74</v>
      </c>
      <c r="E8" s="52" t="s">
        <v>84</v>
      </c>
      <c r="F8" s="52" t="s">
        <v>78</v>
      </c>
      <c r="G8" s="52" t="s">
        <v>78</v>
      </c>
      <c r="H8" s="52" t="s">
        <v>79</v>
      </c>
      <c r="I8" s="52">
        <v>0.72</v>
      </c>
      <c r="J8" s="52" t="s">
        <v>73</v>
      </c>
      <c r="K8" s="53">
        <v>0</v>
      </c>
      <c r="L8" s="52" t="s">
        <v>91</v>
      </c>
      <c r="M8" s="52" t="s">
        <v>78</v>
      </c>
      <c r="N8" s="52" t="s">
        <v>78</v>
      </c>
      <c r="O8" s="53" t="s">
        <v>92</v>
      </c>
      <c r="P8" s="53">
        <f>L8/O8*N8/1000000*1000000</f>
        <v>0.22876949740034663</v>
      </c>
    </row>
    <row r="9" spans="1:16" ht="16" x14ac:dyDescent="0.2">
      <c r="A9" s="48" t="s">
        <v>51</v>
      </c>
      <c r="B9" s="48">
        <v>5</v>
      </c>
      <c r="C9" s="52" t="s">
        <v>73</v>
      </c>
      <c r="D9" s="53" t="s">
        <v>74</v>
      </c>
      <c r="E9" s="52" t="s">
        <v>84</v>
      </c>
      <c r="F9" s="52" t="s">
        <v>78</v>
      </c>
      <c r="G9" s="52" t="s">
        <v>78</v>
      </c>
      <c r="H9" s="52" t="s">
        <v>79</v>
      </c>
      <c r="I9" s="52">
        <v>0.72</v>
      </c>
      <c r="J9" s="52" t="s">
        <v>73</v>
      </c>
      <c r="K9" s="53">
        <v>0</v>
      </c>
      <c r="L9" s="52" t="s">
        <v>93</v>
      </c>
      <c r="M9" s="52" t="s">
        <v>78</v>
      </c>
      <c r="N9" s="52" t="s">
        <v>78</v>
      </c>
      <c r="O9" s="53" t="s">
        <v>94</v>
      </c>
      <c r="P9" s="53">
        <f>L9/O9*N9/1000000*1000000</f>
        <v>0.22796352583586627</v>
      </c>
    </row>
    <row r="10" spans="1:16" ht="16" x14ac:dyDescent="0.2">
      <c r="A10" s="48" t="s">
        <v>51</v>
      </c>
      <c r="B10" s="48">
        <v>10</v>
      </c>
      <c r="C10" s="52" t="s">
        <v>73</v>
      </c>
      <c r="D10" s="53" t="s">
        <v>74</v>
      </c>
      <c r="E10" s="52" t="s">
        <v>82</v>
      </c>
      <c r="F10" s="52" t="s">
        <v>95</v>
      </c>
      <c r="G10" s="52" t="s">
        <v>78</v>
      </c>
      <c r="H10" s="52" t="s">
        <v>79</v>
      </c>
      <c r="I10" s="52">
        <v>0.53999999999999992</v>
      </c>
      <c r="J10" s="52" t="s">
        <v>73</v>
      </c>
      <c r="K10" s="53">
        <v>0</v>
      </c>
      <c r="L10" s="52" t="s">
        <v>93</v>
      </c>
      <c r="M10" s="52" t="s">
        <v>95</v>
      </c>
      <c r="N10" s="52" t="s">
        <v>78</v>
      </c>
      <c r="O10" s="53" t="s">
        <v>94</v>
      </c>
      <c r="P10" s="53">
        <f>L10/O10*N10/1000000*1000000</f>
        <v>0.22796352583586627</v>
      </c>
    </row>
    <row r="11" spans="1:16" ht="16" x14ac:dyDescent="0.2">
      <c r="A11" s="48" t="s">
        <v>51</v>
      </c>
      <c r="B11" s="48">
        <v>13</v>
      </c>
      <c r="C11" s="52" t="s">
        <v>73</v>
      </c>
      <c r="D11" s="53" t="s">
        <v>74</v>
      </c>
      <c r="E11" s="52" t="s">
        <v>82</v>
      </c>
      <c r="F11" s="52" t="s">
        <v>95</v>
      </c>
      <c r="G11" s="52" t="s">
        <v>78</v>
      </c>
      <c r="H11" s="52" t="s">
        <v>79</v>
      </c>
      <c r="I11" s="52">
        <v>0.53999999999999992</v>
      </c>
      <c r="J11" s="52" t="s">
        <v>73</v>
      </c>
      <c r="K11" s="53">
        <v>0</v>
      </c>
      <c r="L11" s="52" t="s">
        <v>93</v>
      </c>
      <c r="M11" s="52" t="s">
        <v>95</v>
      </c>
      <c r="N11" s="52" t="s">
        <v>78</v>
      </c>
      <c r="O11" s="53" t="s">
        <v>94</v>
      </c>
      <c r="P11" s="53">
        <f>L11/O11*N11/1000000*1000000</f>
        <v>0.22796352583586627</v>
      </c>
    </row>
    <row r="12" spans="1:16" ht="16" x14ac:dyDescent="0.2">
      <c r="A12" s="48" t="s">
        <v>51</v>
      </c>
      <c r="B12" s="48">
        <v>35</v>
      </c>
      <c r="C12" s="52" t="s">
        <v>73</v>
      </c>
      <c r="D12" s="53" t="s">
        <v>74</v>
      </c>
      <c r="E12" s="52" t="s">
        <v>82</v>
      </c>
      <c r="F12" s="52" t="s">
        <v>95</v>
      </c>
      <c r="G12" s="52" t="s">
        <v>78</v>
      </c>
      <c r="H12" s="52" t="s">
        <v>79</v>
      </c>
      <c r="I12" s="52">
        <v>0.53999999999999992</v>
      </c>
      <c r="J12" s="52" t="s">
        <v>87</v>
      </c>
      <c r="K12" s="52" t="s">
        <v>87</v>
      </c>
      <c r="L12" s="53" t="s">
        <v>87</v>
      </c>
      <c r="M12" s="52" t="s">
        <v>87</v>
      </c>
      <c r="N12" s="52" t="s">
        <v>87</v>
      </c>
      <c r="O12" s="53" t="s">
        <v>87</v>
      </c>
      <c r="P12" s="53">
        <v>0</v>
      </c>
    </row>
    <row r="13" spans="1:16" ht="16" x14ac:dyDescent="0.2">
      <c r="A13" s="48" t="s">
        <v>51</v>
      </c>
      <c r="B13" s="48">
        <v>17</v>
      </c>
      <c r="C13" s="52" t="s">
        <v>73</v>
      </c>
      <c r="D13" s="53" t="s">
        <v>74</v>
      </c>
      <c r="E13" s="52" t="s">
        <v>82</v>
      </c>
      <c r="F13" s="52" t="s">
        <v>95</v>
      </c>
      <c r="G13" s="52" t="s">
        <v>78</v>
      </c>
      <c r="H13" s="52" t="s">
        <v>79</v>
      </c>
      <c r="I13" s="52">
        <v>0.53999999999999992</v>
      </c>
      <c r="J13" s="52" t="s">
        <v>73</v>
      </c>
      <c r="K13" s="53">
        <v>0</v>
      </c>
      <c r="L13" s="52" t="s">
        <v>82</v>
      </c>
      <c r="M13" s="52" t="s">
        <v>96</v>
      </c>
      <c r="N13" s="52" t="s">
        <v>78</v>
      </c>
      <c r="O13" s="53">
        <v>1000</v>
      </c>
      <c r="P13" s="53">
        <f>L13/O13*N13/1000000*1000000</f>
        <v>0.26999999999999996</v>
      </c>
    </row>
    <row r="14" spans="1:16" ht="16" x14ac:dyDescent="0.2">
      <c r="A14" s="48" t="s">
        <v>51</v>
      </c>
      <c r="B14" s="48">
        <v>25</v>
      </c>
      <c r="C14" s="52" t="s">
        <v>73</v>
      </c>
      <c r="D14" s="53">
        <v>1</v>
      </c>
      <c r="E14" s="52" t="s">
        <v>81</v>
      </c>
      <c r="F14" s="52" t="s">
        <v>75</v>
      </c>
      <c r="G14" s="52" t="s">
        <v>76</v>
      </c>
      <c r="H14" s="53" t="s">
        <v>79</v>
      </c>
      <c r="I14" s="52">
        <v>0.9900000000000001</v>
      </c>
      <c r="J14" s="52" t="s">
        <v>73</v>
      </c>
      <c r="K14" s="53">
        <v>0</v>
      </c>
      <c r="L14" s="52" t="s">
        <v>93</v>
      </c>
      <c r="M14" s="52" t="s">
        <v>95</v>
      </c>
      <c r="N14" s="52" t="s">
        <v>78</v>
      </c>
      <c r="O14" s="53" t="s">
        <v>94</v>
      </c>
      <c r="P14" s="53">
        <f>L14/O14*N14/1000000*1000000</f>
        <v>0.22796352583586627</v>
      </c>
    </row>
    <row r="15" spans="1:16" ht="16" x14ac:dyDescent="0.2">
      <c r="A15" s="48" t="s">
        <v>51</v>
      </c>
      <c r="B15" s="48">
        <v>7</v>
      </c>
      <c r="C15" s="52" t="s">
        <v>73</v>
      </c>
      <c r="D15" s="53">
        <v>1</v>
      </c>
      <c r="E15" s="52" t="s">
        <v>81</v>
      </c>
      <c r="F15" s="52" t="s">
        <v>75</v>
      </c>
      <c r="G15" s="52" t="s">
        <v>97</v>
      </c>
      <c r="H15" s="53" t="s">
        <v>79</v>
      </c>
      <c r="I15" s="52">
        <v>1.65</v>
      </c>
      <c r="J15" s="52" t="s">
        <v>98</v>
      </c>
      <c r="K15" s="53" t="s">
        <v>99</v>
      </c>
      <c r="L15" s="52" t="s">
        <v>100</v>
      </c>
      <c r="M15" s="52" t="s">
        <v>75</v>
      </c>
      <c r="N15" s="52" t="s">
        <v>97</v>
      </c>
      <c r="O15" s="53" t="s">
        <v>101</v>
      </c>
      <c r="P15" s="53">
        <f>L15/O15*N15/1000000*1000000</f>
        <v>0.90799031476997571</v>
      </c>
    </row>
    <row r="16" spans="1:16" ht="16" x14ac:dyDescent="0.2">
      <c r="A16" s="48" t="s">
        <v>51</v>
      </c>
      <c r="B16" s="48">
        <v>34</v>
      </c>
      <c r="C16" s="52" t="s">
        <v>87</v>
      </c>
      <c r="D16" s="52" t="s">
        <v>87</v>
      </c>
      <c r="E16" s="53" t="s">
        <v>87</v>
      </c>
      <c r="F16" s="52" t="s">
        <v>87</v>
      </c>
      <c r="G16" s="52" t="s">
        <v>87</v>
      </c>
      <c r="H16" s="52"/>
      <c r="I16" s="52">
        <v>0</v>
      </c>
      <c r="J16" s="52" t="s">
        <v>98</v>
      </c>
      <c r="K16" s="53" t="s">
        <v>99</v>
      </c>
      <c r="L16" s="52" t="s">
        <v>100</v>
      </c>
      <c r="M16" s="52" t="s">
        <v>75</v>
      </c>
      <c r="N16" s="52" t="s">
        <v>102</v>
      </c>
      <c r="O16" s="53">
        <v>1000</v>
      </c>
      <c r="P16" s="53">
        <f>L16/O16*N16/1000000*1000000</f>
        <v>0.9</v>
      </c>
    </row>
    <row r="17" spans="1:16" ht="16" x14ac:dyDescent="0.2">
      <c r="A17" s="48" t="s">
        <v>51</v>
      </c>
      <c r="B17" s="48">
        <v>27</v>
      </c>
      <c r="C17" s="52" t="s">
        <v>87</v>
      </c>
      <c r="D17" s="52" t="s">
        <v>87</v>
      </c>
      <c r="E17" s="53" t="s">
        <v>87</v>
      </c>
      <c r="F17" s="52" t="s">
        <v>87</v>
      </c>
      <c r="G17" s="52" t="s">
        <v>87</v>
      </c>
      <c r="H17" s="52"/>
      <c r="I17" s="52">
        <v>0</v>
      </c>
      <c r="J17" s="52" t="s">
        <v>73</v>
      </c>
      <c r="K17" s="53" t="s">
        <v>99</v>
      </c>
      <c r="L17" s="52" t="s">
        <v>81</v>
      </c>
      <c r="M17" s="52" t="s">
        <v>75</v>
      </c>
      <c r="N17" s="52" t="s">
        <v>96</v>
      </c>
      <c r="O17" s="53" t="s">
        <v>103</v>
      </c>
      <c r="P17" s="53">
        <f>L17/O17*N17/1000000*1000000</f>
        <v>1.0909090909090908</v>
      </c>
    </row>
    <row r="18" spans="1:16" ht="16" x14ac:dyDescent="0.2">
      <c r="A18" s="48" t="s">
        <v>51</v>
      </c>
      <c r="B18" s="48">
        <v>1</v>
      </c>
      <c r="C18" s="52" t="s">
        <v>73</v>
      </c>
      <c r="D18" s="53">
        <v>1</v>
      </c>
      <c r="E18" s="52" t="s">
        <v>81</v>
      </c>
      <c r="F18" s="52" t="s">
        <v>75</v>
      </c>
      <c r="G18" s="52" t="s">
        <v>97</v>
      </c>
      <c r="H18" s="53" t="s">
        <v>104</v>
      </c>
      <c r="I18" s="52">
        <v>0.82499999999999996</v>
      </c>
      <c r="J18" s="52" t="s">
        <v>73</v>
      </c>
      <c r="K18" s="53" t="s">
        <v>99</v>
      </c>
      <c r="L18" s="52" t="s">
        <v>81</v>
      </c>
      <c r="M18" s="52" t="s">
        <v>75</v>
      </c>
      <c r="N18" s="52" t="s">
        <v>97</v>
      </c>
      <c r="O18" s="53">
        <v>500</v>
      </c>
      <c r="P18" s="53">
        <f>L18/O18*N18/1000000*1000000</f>
        <v>1.65</v>
      </c>
    </row>
    <row r="19" spans="1:16" ht="16" x14ac:dyDescent="0.2">
      <c r="A19" s="48" t="s">
        <v>51</v>
      </c>
      <c r="B19" s="48">
        <v>9</v>
      </c>
      <c r="C19" s="52" t="s">
        <v>73</v>
      </c>
      <c r="D19" s="53">
        <v>1</v>
      </c>
      <c r="E19" s="52" t="s">
        <v>81</v>
      </c>
      <c r="F19" s="52" t="s">
        <v>75</v>
      </c>
      <c r="G19" s="52" t="s">
        <v>97</v>
      </c>
      <c r="H19" s="52" t="s">
        <v>104</v>
      </c>
      <c r="I19" s="52">
        <v>0.82499999999999996</v>
      </c>
      <c r="J19" s="52" t="s">
        <v>73</v>
      </c>
      <c r="K19" s="53">
        <v>1</v>
      </c>
      <c r="L19" s="52" t="s">
        <v>81</v>
      </c>
      <c r="M19" s="52" t="s">
        <v>75</v>
      </c>
      <c r="N19" s="52" t="s">
        <v>97</v>
      </c>
      <c r="O19" s="53" t="s">
        <v>105</v>
      </c>
      <c r="P19" s="53">
        <f>L19/O19*N19/1000000*1000000</f>
        <v>1.1301369863013699</v>
      </c>
    </row>
    <row r="20" spans="1:16" ht="16" x14ac:dyDescent="0.2">
      <c r="A20" s="48" t="s">
        <v>52</v>
      </c>
      <c r="B20" s="48">
        <v>0</v>
      </c>
      <c r="C20" s="52" t="s">
        <v>73</v>
      </c>
      <c r="D20" s="53" t="s">
        <v>99</v>
      </c>
      <c r="E20" s="52" t="s">
        <v>81</v>
      </c>
      <c r="F20" s="52" t="s">
        <v>75</v>
      </c>
      <c r="G20" s="52" t="s">
        <v>96</v>
      </c>
      <c r="H20" s="53" t="s">
        <v>104</v>
      </c>
      <c r="I20" s="52">
        <v>0.65999999999999992</v>
      </c>
      <c r="J20" s="52" t="s">
        <v>87</v>
      </c>
      <c r="K20" s="52" t="s">
        <v>87</v>
      </c>
      <c r="L20" s="53" t="s">
        <v>87</v>
      </c>
      <c r="M20" s="52" t="s">
        <v>87</v>
      </c>
      <c r="N20" s="52" t="s">
        <v>87</v>
      </c>
      <c r="O20" s="53" t="s">
        <v>87</v>
      </c>
      <c r="P20" s="53">
        <v>0</v>
      </c>
    </row>
    <row r="21" spans="1:16" ht="16" x14ac:dyDescent="0.2">
      <c r="A21" s="48" t="s">
        <v>52</v>
      </c>
      <c r="B21" s="48">
        <v>2</v>
      </c>
      <c r="C21" s="52" t="s">
        <v>73</v>
      </c>
      <c r="D21" s="53" t="s">
        <v>99</v>
      </c>
      <c r="E21" s="52" t="s">
        <v>100</v>
      </c>
      <c r="F21" s="52" t="s">
        <v>75</v>
      </c>
      <c r="G21" s="52" t="s">
        <v>96</v>
      </c>
      <c r="H21" s="52" t="s">
        <v>79</v>
      </c>
      <c r="I21" s="52">
        <v>1.2</v>
      </c>
      <c r="J21" s="52" t="s">
        <v>73</v>
      </c>
      <c r="K21" s="53">
        <v>2</v>
      </c>
      <c r="L21" s="52" t="s">
        <v>100</v>
      </c>
      <c r="M21" s="52" t="s">
        <v>75</v>
      </c>
      <c r="N21" s="52" t="s">
        <v>96</v>
      </c>
      <c r="O21" s="53" t="s">
        <v>106</v>
      </c>
      <c r="P21" s="53">
        <f>L21/O21*N21/1000000*1000000</f>
        <v>1.0327022375215145</v>
      </c>
    </row>
    <row r="22" spans="1:16" ht="16" x14ac:dyDescent="0.2">
      <c r="A22" s="48" t="s">
        <v>52</v>
      </c>
      <c r="B22" s="48">
        <v>2</v>
      </c>
      <c r="C22" s="52" t="s">
        <v>73</v>
      </c>
      <c r="D22" s="53" t="s">
        <v>99</v>
      </c>
      <c r="E22" s="52" t="s">
        <v>107</v>
      </c>
      <c r="F22" s="52" t="s">
        <v>75</v>
      </c>
      <c r="G22" s="52" t="s">
        <v>96</v>
      </c>
      <c r="H22" s="52" t="s">
        <v>79</v>
      </c>
      <c r="I22" s="52">
        <v>1.272</v>
      </c>
      <c r="J22" s="52" t="s">
        <v>73</v>
      </c>
      <c r="K22" s="53">
        <v>2</v>
      </c>
      <c r="L22" s="52" t="s">
        <v>107</v>
      </c>
      <c r="M22" s="52" t="s">
        <v>75</v>
      </c>
      <c r="N22" s="52" t="s">
        <v>96</v>
      </c>
      <c r="O22" s="53" t="s">
        <v>108</v>
      </c>
      <c r="P22" s="53">
        <f>L22/O22*N22/1000000*1000000</f>
        <v>1.0307941653160453</v>
      </c>
    </row>
    <row r="23" spans="1:16" ht="16" x14ac:dyDescent="0.2">
      <c r="A23" s="48" t="s">
        <v>52</v>
      </c>
      <c r="B23" s="48">
        <v>4</v>
      </c>
      <c r="C23" s="52" t="s">
        <v>73</v>
      </c>
      <c r="D23" s="53" t="s">
        <v>99</v>
      </c>
      <c r="E23" s="52" t="s">
        <v>109</v>
      </c>
      <c r="F23" s="52" t="s">
        <v>75</v>
      </c>
      <c r="G23" s="52" t="s">
        <v>96</v>
      </c>
      <c r="H23" s="52" t="s">
        <v>79</v>
      </c>
      <c r="I23" s="52">
        <v>1.296</v>
      </c>
      <c r="J23" s="52" t="s">
        <v>73</v>
      </c>
      <c r="K23" s="53">
        <v>2</v>
      </c>
      <c r="L23" s="52" t="s">
        <v>107</v>
      </c>
      <c r="M23" s="52" t="s">
        <v>75</v>
      </c>
      <c r="N23" s="52" t="s">
        <v>96</v>
      </c>
      <c r="O23" s="53">
        <v>500</v>
      </c>
      <c r="P23" s="53">
        <f>L23/O23*N23/1000000*1000000</f>
        <v>1.272</v>
      </c>
    </row>
    <row r="24" spans="1:16" ht="16" x14ac:dyDescent="0.2">
      <c r="A24" s="48" t="s">
        <v>52</v>
      </c>
      <c r="B24" s="48">
        <v>4</v>
      </c>
      <c r="C24" s="52" t="s">
        <v>73</v>
      </c>
      <c r="D24" s="53" t="s">
        <v>99</v>
      </c>
      <c r="E24" s="52" t="s">
        <v>110</v>
      </c>
      <c r="F24" s="52" t="s">
        <v>75</v>
      </c>
      <c r="G24" s="52" t="s">
        <v>96</v>
      </c>
      <c r="H24" s="52" t="s">
        <v>79</v>
      </c>
      <c r="I24" s="52">
        <v>1.4160000000000001</v>
      </c>
      <c r="J24" s="52" t="s">
        <v>73</v>
      </c>
      <c r="K24" s="53">
        <v>2</v>
      </c>
      <c r="L24" s="52" t="s">
        <v>111</v>
      </c>
      <c r="M24" s="52" t="s">
        <v>75</v>
      </c>
      <c r="N24" s="52" t="s">
        <v>96</v>
      </c>
      <c r="O24" s="53">
        <v>500</v>
      </c>
      <c r="P24" s="53">
        <f>L24/O24*N24/1000000*1000000</f>
        <v>1.248</v>
      </c>
    </row>
    <row r="25" spans="1:16" ht="16" x14ac:dyDescent="0.2">
      <c r="A25" s="48" t="s">
        <v>52</v>
      </c>
      <c r="B25" s="48">
        <v>3</v>
      </c>
      <c r="C25" s="52" t="s">
        <v>73</v>
      </c>
      <c r="D25" s="53" t="s">
        <v>99</v>
      </c>
      <c r="E25" s="52" t="s">
        <v>112</v>
      </c>
      <c r="F25" s="52" t="s">
        <v>75</v>
      </c>
      <c r="G25" s="52" t="s">
        <v>96</v>
      </c>
      <c r="H25" s="52" t="s">
        <v>79</v>
      </c>
      <c r="I25" s="52">
        <v>1.68</v>
      </c>
      <c r="J25" s="52" t="s">
        <v>73</v>
      </c>
      <c r="K25" s="53">
        <v>2</v>
      </c>
      <c r="L25" s="52" t="s">
        <v>111</v>
      </c>
      <c r="M25" s="52" t="s">
        <v>75</v>
      </c>
      <c r="N25" s="52" t="s">
        <v>96</v>
      </c>
      <c r="O25" s="53" t="s">
        <v>103</v>
      </c>
      <c r="P25" s="53">
        <f>L25/O25*N25/1000000*1000000</f>
        <v>1.0314049586776859</v>
      </c>
    </row>
    <row r="26" spans="1:16" ht="16" x14ac:dyDescent="0.2">
      <c r="A26" s="48" t="s">
        <v>52</v>
      </c>
      <c r="B26" s="48">
        <v>10</v>
      </c>
      <c r="C26" s="52" t="s">
        <v>73</v>
      </c>
      <c r="D26" s="53" t="s">
        <v>99</v>
      </c>
      <c r="E26" s="52" t="s">
        <v>113</v>
      </c>
      <c r="F26" s="52" t="s">
        <v>75</v>
      </c>
      <c r="G26" s="52" t="s">
        <v>96</v>
      </c>
      <c r="H26" s="52" t="s">
        <v>79</v>
      </c>
      <c r="I26" s="52">
        <v>1.7999999999999998</v>
      </c>
      <c r="J26" s="52" t="s">
        <v>73</v>
      </c>
      <c r="K26" s="53">
        <v>2</v>
      </c>
      <c r="L26" s="52" t="s">
        <v>111</v>
      </c>
      <c r="M26" s="52" t="s">
        <v>75</v>
      </c>
      <c r="N26" s="52" t="s">
        <v>96</v>
      </c>
      <c r="O26" s="53" t="s">
        <v>103</v>
      </c>
      <c r="P26" s="53">
        <f>L26/O26*N26/1000000*1000000</f>
        <v>1.0314049586776859</v>
      </c>
    </row>
    <row r="27" spans="1:16" ht="16" x14ac:dyDescent="0.2">
      <c r="A27" s="48" t="s">
        <v>52</v>
      </c>
      <c r="B27" s="48">
        <v>9</v>
      </c>
      <c r="C27" s="52" t="s">
        <v>73</v>
      </c>
      <c r="D27" s="53" t="s">
        <v>99</v>
      </c>
      <c r="E27" s="52" t="s">
        <v>114</v>
      </c>
      <c r="F27" s="52" t="s">
        <v>75</v>
      </c>
      <c r="G27" s="52" t="s">
        <v>76</v>
      </c>
      <c r="H27" s="52" t="s">
        <v>115</v>
      </c>
      <c r="I27" s="52">
        <v>0.54</v>
      </c>
      <c r="J27" s="52" t="s">
        <v>73</v>
      </c>
      <c r="K27" s="53">
        <v>2</v>
      </c>
      <c r="L27" s="52" t="s">
        <v>111</v>
      </c>
      <c r="M27" s="52" t="s">
        <v>75</v>
      </c>
      <c r="N27" s="52" t="s">
        <v>96</v>
      </c>
      <c r="O27" s="53" t="s">
        <v>103</v>
      </c>
      <c r="P27" s="53">
        <f>L27/O27*N27/1000000*1000000</f>
        <v>1.0314049586776859</v>
      </c>
    </row>
    <row r="28" spans="1:16" ht="16" x14ac:dyDescent="0.2">
      <c r="A28" s="48" t="s">
        <v>52</v>
      </c>
      <c r="B28" s="48">
        <v>5</v>
      </c>
      <c r="C28" s="52" t="s">
        <v>73</v>
      </c>
      <c r="D28" s="53" t="s">
        <v>99</v>
      </c>
      <c r="E28" s="52" t="s">
        <v>116</v>
      </c>
      <c r="F28" s="52" t="s">
        <v>117</v>
      </c>
      <c r="G28" s="52" t="s">
        <v>96</v>
      </c>
      <c r="H28" s="52" t="s">
        <v>104</v>
      </c>
      <c r="I28" s="52">
        <v>1.02</v>
      </c>
      <c r="J28" s="52" t="s">
        <v>73</v>
      </c>
      <c r="K28" s="53">
        <v>2</v>
      </c>
      <c r="L28" s="52" t="s">
        <v>111</v>
      </c>
      <c r="M28" s="52" t="s">
        <v>117</v>
      </c>
      <c r="N28" s="52" t="s">
        <v>96</v>
      </c>
      <c r="O28" s="53" t="s">
        <v>103</v>
      </c>
      <c r="P28" s="53">
        <f>L28/O28*N28/1000000*1000000</f>
        <v>1.0314049586776859</v>
      </c>
    </row>
    <row r="29" spans="1:16" ht="16" x14ac:dyDescent="0.2">
      <c r="A29" s="48" t="s">
        <v>52</v>
      </c>
      <c r="B29" s="48">
        <v>25</v>
      </c>
      <c r="C29" s="52" t="s">
        <v>73</v>
      </c>
      <c r="D29" s="53" t="s">
        <v>118</v>
      </c>
      <c r="E29" s="52" t="s">
        <v>119</v>
      </c>
      <c r="F29" s="52" t="s">
        <v>95</v>
      </c>
      <c r="G29" s="52" t="s">
        <v>97</v>
      </c>
      <c r="H29" s="53" t="s">
        <v>104</v>
      </c>
      <c r="I29" s="52">
        <v>1.08</v>
      </c>
      <c r="J29" s="52" t="s">
        <v>73</v>
      </c>
      <c r="K29" s="53">
        <v>2</v>
      </c>
      <c r="L29" s="52" t="s">
        <v>120</v>
      </c>
      <c r="M29" s="52" t="s">
        <v>96</v>
      </c>
      <c r="N29" s="52" t="s">
        <v>78</v>
      </c>
      <c r="O29" s="53" t="s">
        <v>121</v>
      </c>
      <c r="P29" s="53">
        <f>L29/O29*N29/1000000*1000000</f>
        <v>0.43421052631578955</v>
      </c>
    </row>
    <row r="30" spans="1:16" ht="16" x14ac:dyDescent="0.2">
      <c r="A30" s="48" t="s">
        <v>52</v>
      </c>
      <c r="B30" s="48">
        <v>10</v>
      </c>
      <c r="C30" s="52" t="s">
        <v>98</v>
      </c>
      <c r="D30" s="53">
        <v>1</v>
      </c>
      <c r="E30" s="52" t="s">
        <v>112</v>
      </c>
      <c r="F30" s="52" t="s">
        <v>122</v>
      </c>
      <c r="G30" s="52" t="s">
        <v>76</v>
      </c>
      <c r="H30" s="53" t="s">
        <v>104</v>
      </c>
      <c r="I30" s="52">
        <v>0.63</v>
      </c>
      <c r="J30" s="52" t="s">
        <v>73</v>
      </c>
      <c r="K30" s="53">
        <v>2</v>
      </c>
      <c r="L30" s="52" t="s">
        <v>81</v>
      </c>
      <c r="M30" s="52" t="s">
        <v>96</v>
      </c>
      <c r="N30" s="52" t="s">
        <v>78</v>
      </c>
      <c r="O30" s="53">
        <v>500</v>
      </c>
      <c r="P30" s="53">
        <f>L30/O30*N30/1000000*1000000</f>
        <v>0.65999999999999992</v>
      </c>
    </row>
    <row r="31" spans="1:16" ht="16" x14ac:dyDescent="0.2">
      <c r="A31" s="48" t="s">
        <v>52</v>
      </c>
      <c r="B31" s="48">
        <v>17</v>
      </c>
      <c r="C31" s="52" t="s">
        <v>73</v>
      </c>
      <c r="D31" s="53">
        <v>2</v>
      </c>
      <c r="E31" s="52" t="s">
        <v>112</v>
      </c>
      <c r="F31" s="52" t="s">
        <v>122</v>
      </c>
      <c r="G31" s="52" t="s">
        <v>76</v>
      </c>
      <c r="H31" s="52" t="s">
        <v>104</v>
      </c>
      <c r="I31" s="52">
        <v>0.63</v>
      </c>
      <c r="J31" s="52" t="s">
        <v>98</v>
      </c>
      <c r="K31" s="53">
        <v>1</v>
      </c>
      <c r="L31" s="52" t="s">
        <v>81</v>
      </c>
      <c r="M31" s="52" t="s">
        <v>122</v>
      </c>
      <c r="N31" s="52" t="s">
        <v>76</v>
      </c>
      <c r="O31" s="53" t="s">
        <v>123</v>
      </c>
      <c r="P31" s="53">
        <f>L31/O31*N31/1000000*1000000</f>
        <v>0.67622950819672123</v>
      </c>
    </row>
    <row r="32" spans="1:16" ht="16" x14ac:dyDescent="0.2">
      <c r="A32" s="48" t="s">
        <v>52</v>
      </c>
      <c r="B32" s="48">
        <v>26</v>
      </c>
      <c r="C32" s="52" t="s">
        <v>98</v>
      </c>
      <c r="D32" s="53">
        <v>1</v>
      </c>
      <c r="E32" s="52" t="s">
        <v>112</v>
      </c>
      <c r="F32" s="52" t="s">
        <v>122</v>
      </c>
      <c r="G32" s="52" t="s">
        <v>76</v>
      </c>
      <c r="H32" s="53" t="s">
        <v>104</v>
      </c>
      <c r="I32" s="52">
        <v>0.63</v>
      </c>
      <c r="J32" s="52" t="s">
        <v>73</v>
      </c>
      <c r="K32" s="53">
        <v>2</v>
      </c>
      <c r="L32" s="52" t="s">
        <v>81</v>
      </c>
      <c r="M32" s="52" t="s">
        <v>96</v>
      </c>
      <c r="N32" s="52" t="s">
        <v>78</v>
      </c>
      <c r="O32" s="53">
        <v>500</v>
      </c>
      <c r="P32" s="53">
        <f>L32/O32*N32/1000000*1000000</f>
        <v>0.65999999999999992</v>
      </c>
    </row>
    <row r="33" spans="1:16" ht="16" x14ac:dyDescent="0.2">
      <c r="A33" s="48" t="s">
        <v>52</v>
      </c>
      <c r="B33" s="48">
        <v>26</v>
      </c>
      <c r="C33" s="52" t="s">
        <v>98</v>
      </c>
      <c r="D33" s="53">
        <v>1</v>
      </c>
      <c r="E33" s="52" t="s">
        <v>84</v>
      </c>
      <c r="F33" s="52" t="s">
        <v>122</v>
      </c>
      <c r="G33" s="52" t="s">
        <v>97</v>
      </c>
      <c r="H33" s="53" t="s">
        <v>104</v>
      </c>
      <c r="I33" s="52">
        <v>0.9</v>
      </c>
      <c r="J33" s="52" t="s">
        <v>73</v>
      </c>
      <c r="K33" s="53">
        <v>2</v>
      </c>
      <c r="L33" s="52" t="s">
        <v>81</v>
      </c>
      <c r="M33" s="52" t="s">
        <v>96</v>
      </c>
      <c r="N33" s="52" t="s">
        <v>96</v>
      </c>
      <c r="O33" s="53">
        <v>1000</v>
      </c>
      <c r="P33" s="53">
        <f>L33/O33*N33/1000000*1000000</f>
        <v>0.65999999999999992</v>
      </c>
    </row>
    <row r="34" spans="1:16" ht="16" x14ac:dyDescent="0.2">
      <c r="A34" s="48" t="s">
        <v>52</v>
      </c>
      <c r="B34" s="48">
        <v>26</v>
      </c>
      <c r="C34" s="52" t="s">
        <v>98</v>
      </c>
      <c r="D34" s="53">
        <v>1</v>
      </c>
      <c r="E34" s="52" t="s">
        <v>81</v>
      </c>
      <c r="F34" s="52" t="s">
        <v>122</v>
      </c>
      <c r="G34" s="52" t="s">
        <v>96</v>
      </c>
      <c r="H34" s="52" t="s">
        <v>104</v>
      </c>
      <c r="I34" s="52">
        <v>0.65999999999999992</v>
      </c>
      <c r="J34" s="52" t="s">
        <v>73</v>
      </c>
      <c r="K34" s="53">
        <v>2</v>
      </c>
      <c r="L34" s="52" t="s">
        <v>100</v>
      </c>
      <c r="M34" s="52" t="s">
        <v>122</v>
      </c>
      <c r="N34" s="52" t="s">
        <v>96</v>
      </c>
      <c r="O34" s="53" t="s">
        <v>124</v>
      </c>
      <c r="P34" s="53">
        <f>L34/O34*N34/1000000*1000000</f>
        <v>0.78947368421052633</v>
      </c>
    </row>
    <row r="35" spans="1:16" ht="16" x14ac:dyDescent="0.2">
      <c r="A35" s="48" t="s">
        <v>52</v>
      </c>
      <c r="B35" s="48">
        <v>26</v>
      </c>
      <c r="C35" s="52" t="s">
        <v>98</v>
      </c>
      <c r="D35" s="53">
        <v>1</v>
      </c>
      <c r="E35" s="52" t="s">
        <v>81</v>
      </c>
      <c r="F35" s="52" t="s">
        <v>122</v>
      </c>
      <c r="G35" s="52" t="s">
        <v>96</v>
      </c>
      <c r="H35" s="52" t="s">
        <v>104</v>
      </c>
      <c r="I35" s="52">
        <v>0.65999999999999992</v>
      </c>
      <c r="J35" s="52" t="s">
        <v>73</v>
      </c>
      <c r="K35" s="53">
        <v>2</v>
      </c>
      <c r="L35" s="52" t="s">
        <v>100</v>
      </c>
      <c r="M35" s="52" t="s">
        <v>122</v>
      </c>
      <c r="N35" s="52" t="s">
        <v>96</v>
      </c>
      <c r="O35" s="53" t="s">
        <v>124</v>
      </c>
      <c r="P35" s="53">
        <f>L35/O35*N35/1000000*1000000</f>
        <v>0.78947368421052633</v>
      </c>
    </row>
    <row r="36" spans="1:16" ht="16" x14ac:dyDescent="0.2">
      <c r="A36" s="48" t="s">
        <v>53</v>
      </c>
      <c r="B36" s="48">
        <v>0</v>
      </c>
      <c r="C36" s="53">
        <v>3</v>
      </c>
      <c r="D36" s="53" t="s">
        <v>99</v>
      </c>
      <c r="E36" s="54">
        <v>6</v>
      </c>
      <c r="F36" s="53">
        <v>135</v>
      </c>
      <c r="G36" s="53">
        <v>150</v>
      </c>
      <c r="H36" s="55">
        <v>500</v>
      </c>
      <c r="I36" s="53">
        <v>1.8</v>
      </c>
      <c r="J36" s="53">
        <v>3</v>
      </c>
      <c r="K36" s="53" t="s">
        <v>125</v>
      </c>
      <c r="L36" s="53">
        <v>6</v>
      </c>
      <c r="M36" s="53">
        <v>135</v>
      </c>
      <c r="N36" s="53">
        <v>150</v>
      </c>
      <c r="O36" s="53">
        <v>1000</v>
      </c>
      <c r="P36" s="53">
        <f>L36/O36*N36/1000000*1000000</f>
        <v>0.9</v>
      </c>
    </row>
    <row r="37" spans="1:16" ht="16" x14ac:dyDescent="0.2">
      <c r="A37" s="48" t="s">
        <v>53</v>
      </c>
      <c r="B37" s="48">
        <v>0</v>
      </c>
      <c r="C37" s="53">
        <v>3</v>
      </c>
      <c r="D37" s="53" t="s">
        <v>99</v>
      </c>
      <c r="E37" s="54">
        <v>6</v>
      </c>
      <c r="F37" s="53">
        <v>135</v>
      </c>
      <c r="G37" s="53">
        <v>150</v>
      </c>
      <c r="H37" s="55">
        <v>500</v>
      </c>
      <c r="I37" s="53">
        <v>1.8</v>
      </c>
      <c r="J37" s="53">
        <v>3</v>
      </c>
      <c r="K37" s="53" t="s">
        <v>125</v>
      </c>
      <c r="L37" s="53">
        <v>6</v>
      </c>
      <c r="M37" s="53">
        <v>135</v>
      </c>
      <c r="N37" s="53">
        <v>150</v>
      </c>
      <c r="O37" s="53">
        <v>1000</v>
      </c>
      <c r="P37" s="53">
        <f>L37/O37*N37/1000000*1000000</f>
        <v>0.9</v>
      </c>
    </row>
    <row r="38" spans="1:16" ht="16" x14ac:dyDescent="0.2">
      <c r="A38" s="48" t="s">
        <v>53</v>
      </c>
      <c r="B38" s="48">
        <v>0</v>
      </c>
      <c r="C38" s="53">
        <v>3</v>
      </c>
      <c r="D38" s="53" t="s">
        <v>99</v>
      </c>
      <c r="E38" s="54">
        <v>8</v>
      </c>
      <c r="F38" s="53">
        <v>135</v>
      </c>
      <c r="G38" s="53">
        <v>150</v>
      </c>
      <c r="H38" s="55">
        <v>500</v>
      </c>
      <c r="I38" s="53">
        <v>2.4</v>
      </c>
      <c r="J38" s="53">
        <v>3</v>
      </c>
      <c r="K38" s="53" t="s">
        <v>125</v>
      </c>
      <c r="L38" s="53">
        <v>8</v>
      </c>
      <c r="M38" s="53">
        <v>135</v>
      </c>
      <c r="N38" s="53">
        <v>150</v>
      </c>
      <c r="O38" s="53">
        <v>1000</v>
      </c>
      <c r="P38" s="53">
        <f>L38/O38*N38/1000000*1000000</f>
        <v>1.2</v>
      </c>
    </row>
    <row r="39" spans="1:16" ht="16" x14ac:dyDescent="0.2">
      <c r="A39" s="48" t="s">
        <v>53</v>
      </c>
      <c r="B39" s="48">
        <v>4</v>
      </c>
      <c r="C39" s="53">
        <v>3</v>
      </c>
      <c r="D39" s="53" t="s">
        <v>99</v>
      </c>
      <c r="E39" s="54">
        <v>7</v>
      </c>
      <c r="F39" s="53">
        <v>135</v>
      </c>
      <c r="G39" s="53">
        <v>150</v>
      </c>
      <c r="H39" s="55">
        <v>500</v>
      </c>
      <c r="I39" s="53">
        <v>2.1</v>
      </c>
      <c r="J39" s="53">
        <v>3</v>
      </c>
      <c r="K39" s="53" t="s">
        <v>125</v>
      </c>
      <c r="L39" s="53">
        <v>7</v>
      </c>
      <c r="M39" s="53">
        <v>135</v>
      </c>
      <c r="N39" s="53">
        <v>150</v>
      </c>
      <c r="O39" s="53">
        <v>1000</v>
      </c>
      <c r="P39" s="53">
        <f>L39/O39*N39/1000000*1000000</f>
        <v>1.05</v>
      </c>
    </row>
    <row r="40" spans="1:16" ht="16" x14ac:dyDescent="0.2">
      <c r="A40" s="48" t="s">
        <v>53</v>
      </c>
      <c r="B40" s="48">
        <v>5</v>
      </c>
      <c r="C40" s="53">
        <v>3</v>
      </c>
      <c r="D40" s="53" t="s">
        <v>99</v>
      </c>
      <c r="E40" s="54">
        <v>7</v>
      </c>
      <c r="F40" s="53">
        <v>135</v>
      </c>
      <c r="G40" s="53">
        <v>150</v>
      </c>
      <c r="H40" s="55">
        <v>500</v>
      </c>
      <c r="I40" s="53">
        <v>2.1</v>
      </c>
      <c r="J40" s="53">
        <v>3</v>
      </c>
      <c r="K40" s="53" t="s">
        <v>125</v>
      </c>
      <c r="L40" s="53">
        <v>7</v>
      </c>
      <c r="M40" s="53">
        <v>135</v>
      </c>
      <c r="N40" s="53">
        <v>150</v>
      </c>
      <c r="O40" s="53">
        <v>1000</v>
      </c>
      <c r="P40" s="53">
        <f>L40/O40*N40/1000000*1000000</f>
        <v>1.05</v>
      </c>
    </row>
    <row r="41" spans="1:16" ht="16" x14ac:dyDescent="0.2">
      <c r="A41" s="48" t="s">
        <v>53</v>
      </c>
      <c r="B41" s="48">
        <v>2</v>
      </c>
      <c r="C41" s="53">
        <v>3</v>
      </c>
      <c r="D41" s="53" t="s">
        <v>99</v>
      </c>
      <c r="E41" s="54">
        <v>6</v>
      </c>
      <c r="F41" s="53">
        <v>135</v>
      </c>
      <c r="G41" s="53">
        <v>150</v>
      </c>
      <c r="H41" s="55">
        <v>500</v>
      </c>
      <c r="I41" s="53">
        <v>1.8</v>
      </c>
      <c r="J41" s="53">
        <v>3</v>
      </c>
      <c r="K41" s="53" t="s">
        <v>125</v>
      </c>
      <c r="L41" s="53">
        <v>6</v>
      </c>
      <c r="M41" s="53">
        <v>135</v>
      </c>
      <c r="N41" s="53">
        <v>150</v>
      </c>
      <c r="O41" s="53">
        <v>1000</v>
      </c>
      <c r="P41" s="53">
        <f>L41/O41*N41/1000000*1000000</f>
        <v>0.9</v>
      </c>
    </row>
    <row r="42" spans="1:16" ht="16" x14ac:dyDescent="0.2">
      <c r="A42" s="48" t="s">
        <v>53</v>
      </c>
      <c r="B42" s="48">
        <v>3</v>
      </c>
      <c r="C42" s="53">
        <v>3</v>
      </c>
      <c r="D42" s="53" t="s">
        <v>99</v>
      </c>
      <c r="E42" s="54">
        <v>6.5</v>
      </c>
      <c r="F42" s="53">
        <v>135</v>
      </c>
      <c r="G42" s="53">
        <v>150</v>
      </c>
      <c r="H42" s="55">
        <v>500</v>
      </c>
      <c r="I42" s="53">
        <v>1.95</v>
      </c>
      <c r="J42" s="53">
        <v>3</v>
      </c>
      <c r="K42" s="53" t="s">
        <v>125</v>
      </c>
      <c r="L42" s="53">
        <v>6.5</v>
      </c>
      <c r="M42" s="53">
        <v>135</v>
      </c>
      <c r="N42" s="53">
        <v>150</v>
      </c>
      <c r="O42" s="53">
        <v>1000</v>
      </c>
      <c r="P42" s="53">
        <f>L42/O42*N42/1000000*1000000</f>
        <v>0.97499999999999998</v>
      </c>
    </row>
    <row r="43" spans="1:16" ht="16" x14ac:dyDescent="0.2">
      <c r="A43" s="48" t="s">
        <v>53</v>
      </c>
      <c r="B43" s="48">
        <v>2</v>
      </c>
      <c r="C43" s="53">
        <v>3</v>
      </c>
      <c r="D43" s="53" t="s">
        <v>99</v>
      </c>
      <c r="E43" s="54">
        <v>7</v>
      </c>
      <c r="F43" s="53">
        <v>135</v>
      </c>
      <c r="G43" s="53">
        <v>150</v>
      </c>
      <c r="H43" s="55">
        <v>500</v>
      </c>
      <c r="I43" s="53">
        <v>2.1</v>
      </c>
      <c r="J43" s="53">
        <v>3</v>
      </c>
      <c r="K43" s="53" t="s">
        <v>125</v>
      </c>
      <c r="L43" s="53">
        <v>7</v>
      </c>
      <c r="M43" s="53">
        <v>135</v>
      </c>
      <c r="N43" s="53">
        <v>150</v>
      </c>
      <c r="O43" s="53">
        <v>1000</v>
      </c>
      <c r="P43" s="53">
        <f>L43/O43*N43/1000000*1000000</f>
        <v>1.05</v>
      </c>
    </row>
    <row r="44" spans="1:16" ht="16" x14ac:dyDescent="0.2">
      <c r="A44" s="48" t="s">
        <v>53</v>
      </c>
      <c r="B44" s="48">
        <v>12</v>
      </c>
      <c r="C44" s="53">
        <v>3</v>
      </c>
      <c r="D44" s="53" t="s">
        <v>99</v>
      </c>
      <c r="E44" s="54">
        <v>6.5</v>
      </c>
      <c r="F44" s="53">
        <v>135</v>
      </c>
      <c r="G44" s="53">
        <v>150</v>
      </c>
      <c r="H44" s="55">
        <v>500</v>
      </c>
      <c r="I44" s="53">
        <v>1.95</v>
      </c>
      <c r="J44" s="53">
        <v>3</v>
      </c>
      <c r="K44" s="53" t="s">
        <v>125</v>
      </c>
      <c r="L44" s="53">
        <v>6.5</v>
      </c>
      <c r="M44" s="53">
        <v>135</v>
      </c>
      <c r="N44" s="53">
        <v>150</v>
      </c>
      <c r="O44" s="53">
        <v>1000</v>
      </c>
      <c r="P44" s="53">
        <f>L44/O44*N44/1000000*1000000</f>
        <v>0.97499999999999998</v>
      </c>
    </row>
    <row r="45" spans="1:16" ht="16" x14ac:dyDescent="0.2">
      <c r="A45" s="48" t="s">
        <v>53</v>
      </c>
      <c r="B45" s="48">
        <v>2</v>
      </c>
      <c r="C45" s="53">
        <v>3</v>
      </c>
      <c r="D45" s="53" t="s">
        <v>99</v>
      </c>
      <c r="E45" s="54">
        <v>7</v>
      </c>
      <c r="F45" s="53">
        <v>135</v>
      </c>
      <c r="G45" s="53">
        <v>150</v>
      </c>
      <c r="H45" s="55">
        <v>500</v>
      </c>
      <c r="I45" s="53">
        <v>2.1</v>
      </c>
      <c r="J45" s="53">
        <v>3</v>
      </c>
      <c r="K45" s="53" t="s">
        <v>125</v>
      </c>
      <c r="L45" s="53">
        <v>7</v>
      </c>
      <c r="M45" s="53">
        <v>135</v>
      </c>
      <c r="N45" s="53">
        <v>150</v>
      </c>
      <c r="O45" s="53">
        <v>1000</v>
      </c>
      <c r="P45" s="53">
        <f>L45/O45*N45/1000000*1000000</f>
        <v>1.05</v>
      </c>
    </row>
    <row r="46" spans="1:16" ht="16" x14ac:dyDescent="0.2">
      <c r="A46" s="48" t="s">
        <v>53</v>
      </c>
      <c r="B46" s="48">
        <v>2</v>
      </c>
      <c r="C46" s="53">
        <v>4</v>
      </c>
      <c r="D46" s="53">
        <v>2</v>
      </c>
      <c r="E46" s="54">
        <v>8</v>
      </c>
      <c r="F46" s="53">
        <v>135</v>
      </c>
      <c r="G46" s="53">
        <v>150</v>
      </c>
      <c r="H46" s="55">
        <v>500</v>
      </c>
      <c r="I46" s="53">
        <v>2.4</v>
      </c>
      <c r="J46" s="53">
        <v>3</v>
      </c>
      <c r="K46" s="53" t="s">
        <v>125</v>
      </c>
      <c r="L46" s="53">
        <v>7</v>
      </c>
      <c r="M46" s="53">
        <v>135</v>
      </c>
      <c r="N46" s="53">
        <v>150</v>
      </c>
      <c r="O46" s="53">
        <v>1000</v>
      </c>
      <c r="P46" s="53">
        <f>L46/O46*N46/1000000*1000000</f>
        <v>1.05</v>
      </c>
    </row>
    <row r="47" spans="1:16" ht="16" x14ac:dyDescent="0.2">
      <c r="A47" s="48" t="s">
        <v>53</v>
      </c>
      <c r="B47" s="48">
        <v>4</v>
      </c>
      <c r="C47" s="53">
        <v>4</v>
      </c>
      <c r="D47" s="53">
        <v>2</v>
      </c>
      <c r="E47" s="54">
        <v>6.5</v>
      </c>
      <c r="F47" s="53">
        <v>135</v>
      </c>
      <c r="G47" s="53">
        <v>150</v>
      </c>
      <c r="H47" s="55">
        <v>500</v>
      </c>
      <c r="I47" s="53">
        <v>1.95</v>
      </c>
      <c r="J47" s="53">
        <v>3</v>
      </c>
      <c r="K47" s="53" t="s">
        <v>125</v>
      </c>
      <c r="L47" s="53">
        <v>7</v>
      </c>
      <c r="M47" s="53">
        <v>135</v>
      </c>
      <c r="N47" s="53">
        <v>150</v>
      </c>
      <c r="O47" s="53">
        <v>1000</v>
      </c>
      <c r="P47" s="53">
        <f>L47/O47*N47/1000000*1000000</f>
        <v>1.05</v>
      </c>
    </row>
    <row r="48" spans="1:16" ht="16" x14ac:dyDescent="0.2">
      <c r="A48" s="48" t="s">
        <v>53</v>
      </c>
      <c r="B48" s="48">
        <v>5</v>
      </c>
      <c r="C48" s="53">
        <v>4</v>
      </c>
      <c r="D48" s="53">
        <v>2</v>
      </c>
      <c r="E48" s="54">
        <v>7.5</v>
      </c>
      <c r="F48" s="53">
        <v>135</v>
      </c>
      <c r="G48" s="53">
        <v>150</v>
      </c>
      <c r="H48" s="55">
        <v>500</v>
      </c>
      <c r="I48" s="53">
        <v>2.25</v>
      </c>
      <c r="J48" s="53">
        <v>3</v>
      </c>
      <c r="K48" s="53" t="s">
        <v>125</v>
      </c>
      <c r="L48" s="53">
        <v>7</v>
      </c>
      <c r="M48" s="53">
        <v>135</v>
      </c>
      <c r="N48" s="53">
        <v>150</v>
      </c>
      <c r="O48" s="53">
        <v>1000</v>
      </c>
      <c r="P48" s="53">
        <f>L48/O48*N48/1000000*1000000</f>
        <v>1.05</v>
      </c>
    </row>
    <row r="49" spans="1:16" ht="16" x14ac:dyDescent="0.2">
      <c r="A49" s="48" t="s">
        <v>53</v>
      </c>
      <c r="B49" s="48">
        <v>8</v>
      </c>
      <c r="C49" s="53">
        <v>4</v>
      </c>
      <c r="D49" s="53">
        <v>2</v>
      </c>
      <c r="E49" s="54">
        <v>6.5</v>
      </c>
      <c r="F49" s="53">
        <v>135</v>
      </c>
      <c r="G49" s="53">
        <v>150</v>
      </c>
      <c r="H49" s="55">
        <v>500</v>
      </c>
      <c r="I49" s="53">
        <v>1.95</v>
      </c>
      <c r="J49" s="53">
        <v>3</v>
      </c>
      <c r="K49" s="53" t="s">
        <v>125</v>
      </c>
      <c r="L49" s="53">
        <v>8</v>
      </c>
      <c r="M49" s="53">
        <v>135</v>
      </c>
      <c r="N49" s="53">
        <v>150</v>
      </c>
      <c r="O49" s="53">
        <v>1000</v>
      </c>
      <c r="P49" s="53">
        <f>L49/O49*N49/1000000*1000000</f>
        <v>1.2</v>
      </c>
    </row>
    <row r="50" spans="1:16" ht="16" x14ac:dyDescent="0.2">
      <c r="A50" s="48" t="s">
        <v>53</v>
      </c>
      <c r="B50" s="48">
        <v>5</v>
      </c>
      <c r="C50" s="53">
        <v>4</v>
      </c>
      <c r="D50" s="53">
        <v>2</v>
      </c>
      <c r="E50" s="54">
        <v>7.5</v>
      </c>
      <c r="F50" s="53">
        <v>135</v>
      </c>
      <c r="G50" s="53">
        <v>150</v>
      </c>
      <c r="H50" s="53">
        <v>711</v>
      </c>
      <c r="I50" s="53">
        <v>1.5822784810126582</v>
      </c>
      <c r="J50" s="53">
        <v>3</v>
      </c>
      <c r="K50" s="53" t="s">
        <v>125</v>
      </c>
      <c r="L50" s="53">
        <v>8.5</v>
      </c>
      <c r="M50" s="53">
        <v>135</v>
      </c>
      <c r="N50" s="53">
        <v>150</v>
      </c>
      <c r="O50" s="53">
        <v>1000</v>
      </c>
      <c r="P50" s="53">
        <f>L50/O50*N50/1000000*1000000</f>
        <v>1.2750000000000001</v>
      </c>
    </row>
    <row r="51" spans="1:16" ht="16" x14ac:dyDescent="0.2">
      <c r="A51" s="48" t="s">
        <v>53</v>
      </c>
      <c r="B51" s="48">
        <v>6</v>
      </c>
      <c r="C51" s="53">
        <v>4</v>
      </c>
      <c r="D51" s="53">
        <v>2</v>
      </c>
      <c r="E51" s="54">
        <v>7.5</v>
      </c>
      <c r="F51" s="53">
        <v>135</v>
      </c>
      <c r="G51" s="53">
        <v>150</v>
      </c>
      <c r="H51" s="53">
        <v>711</v>
      </c>
      <c r="I51" s="53">
        <v>1.5822784810126582</v>
      </c>
      <c r="J51" s="53">
        <v>3</v>
      </c>
      <c r="K51" s="53" t="s">
        <v>125</v>
      </c>
      <c r="L51" s="53">
        <v>8</v>
      </c>
      <c r="M51" s="53">
        <v>135</v>
      </c>
      <c r="N51" s="53">
        <v>150</v>
      </c>
      <c r="O51" s="53">
        <v>1000</v>
      </c>
      <c r="P51" s="53">
        <f>L51/O51*N51/1000000*1000000</f>
        <v>1.2</v>
      </c>
    </row>
    <row r="52" spans="1:16" ht="16" x14ac:dyDescent="0.2">
      <c r="A52" s="48" t="s">
        <v>53</v>
      </c>
      <c r="B52" s="48">
        <v>8</v>
      </c>
      <c r="C52" s="53">
        <v>4</v>
      </c>
      <c r="D52" s="53">
        <v>2</v>
      </c>
      <c r="E52" s="54">
        <v>8</v>
      </c>
      <c r="F52" s="53">
        <v>135</v>
      </c>
      <c r="G52" s="53">
        <v>150</v>
      </c>
      <c r="H52" s="53">
        <v>760</v>
      </c>
      <c r="I52" s="53">
        <v>1.5789473684210527</v>
      </c>
      <c r="J52" s="53">
        <v>3</v>
      </c>
      <c r="K52" s="53" t="s">
        <v>125</v>
      </c>
      <c r="L52" s="53">
        <v>8.5</v>
      </c>
      <c r="M52" s="53">
        <v>135</v>
      </c>
      <c r="N52" s="53">
        <v>150</v>
      </c>
      <c r="O52" s="53">
        <v>1000</v>
      </c>
      <c r="P52" s="53">
        <f>L52/O52*N52/1000000*1000000</f>
        <v>1.2750000000000001</v>
      </c>
    </row>
    <row r="53" spans="1:16" ht="16" x14ac:dyDescent="0.2">
      <c r="A53" s="48" t="s">
        <v>53</v>
      </c>
      <c r="B53" s="48">
        <v>8</v>
      </c>
      <c r="C53" s="53">
        <v>4</v>
      </c>
      <c r="D53" s="53">
        <v>2</v>
      </c>
      <c r="E53" s="54">
        <v>7.5</v>
      </c>
      <c r="F53" s="53">
        <v>135</v>
      </c>
      <c r="G53" s="53">
        <v>150</v>
      </c>
      <c r="H53" s="55">
        <v>735.5</v>
      </c>
      <c r="I53" s="53">
        <v>1.5295717199184229</v>
      </c>
      <c r="J53" s="53">
        <v>3</v>
      </c>
      <c r="K53" s="53" t="s">
        <v>125</v>
      </c>
      <c r="L53" s="53">
        <v>8</v>
      </c>
      <c r="M53" s="53">
        <v>135</v>
      </c>
      <c r="N53" s="53">
        <v>150</v>
      </c>
      <c r="O53" s="53">
        <v>1000</v>
      </c>
      <c r="P53" s="53">
        <f>L53/O53*N53/1000000*1000000</f>
        <v>1.2</v>
      </c>
    </row>
    <row r="54" spans="1:16" ht="16" x14ac:dyDescent="0.2">
      <c r="A54" s="48" t="s">
        <v>53</v>
      </c>
      <c r="B54" s="48">
        <v>6</v>
      </c>
      <c r="C54" s="53">
        <v>4</v>
      </c>
      <c r="D54" s="53">
        <v>2</v>
      </c>
      <c r="E54" s="54">
        <v>7.5</v>
      </c>
      <c r="F54" s="53">
        <v>135</v>
      </c>
      <c r="G54" s="53">
        <v>150</v>
      </c>
      <c r="H54" s="55">
        <v>711</v>
      </c>
      <c r="I54" s="53">
        <v>1.5822784810126582</v>
      </c>
      <c r="J54" s="53">
        <v>3</v>
      </c>
      <c r="K54" s="53" t="s">
        <v>125</v>
      </c>
      <c r="L54" s="53">
        <v>8.5</v>
      </c>
      <c r="M54" s="53">
        <v>135</v>
      </c>
      <c r="N54" s="53">
        <v>150</v>
      </c>
      <c r="O54" s="55">
        <v>500</v>
      </c>
      <c r="P54" s="53">
        <f>L54/O54*N54/1000000*1000000</f>
        <v>2.5500000000000003</v>
      </c>
    </row>
    <row r="55" spans="1:16" ht="16" x14ac:dyDescent="0.2">
      <c r="A55" s="48" t="s">
        <v>53</v>
      </c>
      <c r="B55" s="48">
        <v>2</v>
      </c>
      <c r="C55" s="53">
        <v>4</v>
      </c>
      <c r="D55" s="53">
        <v>2</v>
      </c>
      <c r="E55" s="54">
        <v>6.4</v>
      </c>
      <c r="F55" s="53">
        <v>135</v>
      </c>
      <c r="G55" s="53">
        <v>150</v>
      </c>
      <c r="H55" s="55">
        <v>652</v>
      </c>
      <c r="I55" s="53">
        <v>1.47239263803681</v>
      </c>
      <c r="J55" s="53">
        <v>3</v>
      </c>
      <c r="K55" s="53" t="s">
        <v>125</v>
      </c>
      <c r="L55" s="53">
        <v>7.2</v>
      </c>
      <c r="M55" s="53">
        <v>135</v>
      </c>
      <c r="N55" s="53">
        <v>150</v>
      </c>
      <c r="O55" s="55">
        <v>500</v>
      </c>
      <c r="P55" s="53">
        <f>L55/O55*N55/1000000*1000000</f>
        <v>2.16</v>
      </c>
    </row>
    <row r="56" spans="1:16" ht="16" x14ac:dyDescent="0.2">
      <c r="A56" s="48" t="s">
        <v>53</v>
      </c>
      <c r="B56" s="48">
        <v>4</v>
      </c>
      <c r="C56" s="53">
        <v>4</v>
      </c>
      <c r="D56" s="53">
        <v>2</v>
      </c>
      <c r="E56" s="54">
        <v>6.4</v>
      </c>
      <c r="F56" s="53">
        <v>135</v>
      </c>
      <c r="G56" s="53">
        <v>150</v>
      </c>
      <c r="H56" s="55">
        <v>652</v>
      </c>
      <c r="I56" s="53">
        <v>1.47239263803681</v>
      </c>
      <c r="J56" s="53">
        <v>4</v>
      </c>
      <c r="K56" s="53">
        <v>1</v>
      </c>
      <c r="L56" s="53">
        <v>7.2</v>
      </c>
      <c r="M56" s="53">
        <v>135</v>
      </c>
      <c r="N56" s="53">
        <v>150</v>
      </c>
      <c r="O56" s="55">
        <v>500</v>
      </c>
      <c r="P56" s="53">
        <f>L56/O56*N56/1000000*1000000</f>
        <v>2.16</v>
      </c>
    </row>
    <row r="57" spans="1:16" ht="16" x14ac:dyDescent="0.2">
      <c r="A57" s="48" t="s">
        <v>53</v>
      </c>
      <c r="B57" s="48">
        <v>14</v>
      </c>
      <c r="C57" s="53">
        <v>4</v>
      </c>
      <c r="D57" s="53">
        <v>2</v>
      </c>
      <c r="E57" s="54">
        <v>9</v>
      </c>
      <c r="F57" s="53">
        <v>135</v>
      </c>
      <c r="G57" s="53">
        <v>150</v>
      </c>
      <c r="H57" s="55">
        <v>652</v>
      </c>
      <c r="I57" s="53">
        <v>2.0705521472392636</v>
      </c>
      <c r="J57" s="53">
        <v>4</v>
      </c>
      <c r="K57" s="53">
        <v>1</v>
      </c>
      <c r="L57" s="53">
        <v>7.5</v>
      </c>
      <c r="M57" s="53">
        <v>135</v>
      </c>
      <c r="N57" s="53">
        <v>150</v>
      </c>
      <c r="O57" s="55">
        <v>500</v>
      </c>
      <c r="P57" s="53">
        <f>L57/O57*N57/1000000*1000000</f>
        <v>2.25</v>
      </c>
    </row>
    <row r="58" spans="1:16" ht="16" x14ac:dyDescent="0.2">
      <c r="A58" s="48" t="s">
        <v>53</v>
      </c>
      <c r="B58" s="48">
        <v>14</v>
      </c>
      <c r="C58" s="53">
        <v>4</v>
      </c>
      <c r="D58" s="53" t="s">
        <v>125</v>
      </c>
      <c r="E58" s="54">
        <v>6</v>
      </c>
      <c r="F58" s="53">
        <v>135</v>
      </c>
      <c r="G58" s="53">
        <v>150</v>
      </c>
      <c r="H58" s="55">
        <v>593</v>
      </c>
      <c r="I58" s="53">
        <v>1.5177065767284992</v>
      </c>
      <c r="J58" s="53">
        <v>4</v>
      </c>
      <c r="K58" s="53" t="s">
        <v>125</v>
      </c>
      <c r="L58" s="53">
        <v>6</v>
      </c>
      <c r="M58" s="53">
        <v>135</v>
      </c>
      <c r="N58" s="53">
        <v>150</v>
      </c>
      <c r="O58" s="55">
        <v>500</v>
      </c>
      <c r="P58" s="53">
        <f>L58/O58*N58/1000000*1000000</f>
        <v>1.8</v>
      </c>
    </row>
    <row r="59" spans="1:16" ht="16" x14ac:dyDescent="0.2">
      <c r="A59" s="48" t="s">
        <v>53</v>
      </c>
      <c r="B59" s="48">
        <v>5</v>
      </c>
      <c r="C59" s="53">
        <v>4</v>
      </c>
      <c r="D59" s="53" t="s">
        <v>125</v>
      </c>
      <c r="E59" s="54">
        <v>6</v>
      </c>
      <c r="F59" s="53">
        <v>135</v>
      </c>
      <c r="G59" s="53">
        <v>150</v>
      </c>
      <c r="H59" s="55">
        <v>607</v>
      </c>
      <c r="I59" s="53">
        <v>1.4827018121911038</v>
      </c>
      <c r="J59" s="53">
        <v>4</v>
      </c>
      <c r="K59" s="53" t="s">
        <v>125</v>
      </c>
      <c r="L59" s="53">
        <v>6</v>
      </c>
      <c r="M59" s="53">
        <v>135</v>
      </c>
      <c r="N59" s="53">
        <v>150</v>
      </c>
      <c r="O59" s="55">
        <v>500</v>
      </c>
      <c r="P59" s="53">
        <f>L59/O59*N59/1000000*1000000</f>
        <v>1.8</v>
      </c>
    </row>
    <row r="60" spans="1:16" ht="16" x14ac:dyDescent="0.2">
      <c r="A60" s="48" t="s">
        <v>53</v>
      </c>
      <c r="B60" s="48">
        <v>4</v>
      </c>
      <c r="C60" s="53">
        <v>4</v>
      </c>
      <c r="D60" s="53" t="s">
        <v>125</v>
      </c>
      <c r="E60" s="54">
        <v>6</v>
      </c>
      <c r="F60" s="53">
        <v>135</v>
      </c>
      <c r="G60" s="53">
        <v>150</v>
      </c>
      <c r="H60" s="55">
        <v>615</v>
      </c>
      <c r="I60" s="53">
        <v>1.4634146341463414</v>
      </c>
      <c r="J60" s="53">
        <v>4</v>
      </c>
      <c r="K60" s="53" t="s">
        <v>125</v>
      </c>
      <c r="L60" s="53">
        <v>8</v>
      </c>
      <c r="M60" s="53">
        <v>135</v>
      </c>
      <c r="N60" s="53">
        <v>150</v>
      </c>
      <c r="O60" s="55">
        <v>500</v>
      </c>
      <c r="P60" s="53">
        <f>L60/O60*N60/1000000*1000000</f>
        <v>2.4</v>
      </c>
    </row>
    <row r="61" spans="1:16" ht="16" x14ac:dyDescent="0.2">
      <c r="A61" s="48" t="s">
        <v>53</v>
      </c>
      <c r="B61" s="48">
        <v>9</v>
      </c>
      <c r="C61" s="53">
        <v>4</v>
      </c>
      <c r="D61" s="53" t="s">
        <v>125</v>
      </c>
      <c r="E61" s="54">
        <v>5.5</v>
      </c>
      <c r="F61" s="53">
        <v>135</v>
      </c>
      <c r="G61" s="53">
        <v>150</v>
      </c>
      <c r="H61" s="55">
        <v>644</v>
      </c>
      <c r="I61" s="53">
        <v>1.2810559006211182</v>
      </c>
      <c r="J61" s="53">
        <v>4</v>
      </c>
      <c r="K61" s="53" t="s">
        <v>125</v>
      </c>
      <c r="L61" s="53">
        <v>8</v>
      </c>
      <c r="M61" s="53">
        <v>135</v>
      </c>
      <c r="N61" s="53">
        <v>150</v>
      </c>
      <c r="O61" s="55">
        <v>500</v>
      </c>
      <c r="P61" s="53">
        <f>L61/O61*N61/1000000*1000000</f>
        <v>2.4</v>
      </c>
    </row>
    <row r="62" spans="1:16" ht="16" x14ac:dyDescent="0.2">
      <c r="A62" s="48" t="s">
        <v>53</v>
      </c>
      <c r="B62" s="48">
        <v>7</v>
      </c>
      <c r="C62" s="53">
        <v>4</v>
      </c>
      <c r="D62" s="53" t="s">
        <v>125</v>
      </c>
      <c r="E62" s="54">
        <v>6.5</v>
      </c>
      <c r="F62" s="53">
        <v>135</v>
      </c>
      <c r="G62" s="53">
        <v>150</v>
      </c>
      <c r="H62" s="55">
        <v>609</v>
      </c>
      <c r="I62" s="53">
        <v>1.600985221674877</v>
      </c>
      <c r="J62" s="53">
        <v>4</v>
      </c>
      <c r="K62" s="53" t="s">
        <v>125</v>
      </c>
      <c r="L62" s="53">
        <v>8</v>
      </c>
      <c r="M62" s="53">
        <v>135</v>
      </c>
      <c r="N62" s="53">
        <v>150</v>
      </c>
      <c r="O62" s="55">
        <v>500</v>
      </c>
      <c r="P62" s="53">
        <f>L62/O62*N62/1000000*1000000</f>
        <v>2.4</v>
      </c>
    </row>
    <row r="63" spans="1:16" ht="16" x14ac:dyDescent="0.2">
      <c r="A63" s="48" t="s">
        <v>53</v>
      </c>
      <c r="B63" s="48">
        <v>17</v>
      </c>
      <c r="C63" s="53">
        <v>4</v>
      </c>
      <c r="D63" s="53" t="s">
        <v>125</v>
      </c>
      <c r="E63" s="54">
        <v>6</v>
      </c>
      <c r="F63" s="53">
        <v>135</v>
      </c>
      <c r="G63" s="53">
        <v>150</v>
      </c>
      <c r="H63" s="55">
        <v>500</v>
      </c>
      <c r="I63" s="53">
        <v>1.8</v>
      </c>
      <c r="J63" s="53">
        <v>4</v>
      </c>
      <c r="K63" s="53" t="s">
        <v>125</v>
      </c>
      <c r="L63" s="53">
        <v>8</v>
      </c>
      <c r="M63" s="53">
        <v>135</v>
      </c>
      <c r="N63" s="53">
        <v>150</v>
      </c>
      <c r="O63" s="55">
        <v>500</v>
      </c>
      <c r="P63" s="53">
        <f>L63/O63*N63/1000000*1000000</f>
        <v>2.4</v>
      </c>
    </row>
    <row r="64" spans="1:16" ht="16" x14ac:dyDescent="0.2">
      <c r="A64" s="48" t="s">
        <v>53</v>
      </c>
      <c r="B64" s="48">
        <v>11</v>
      </c>
      <c r="C64" s="53">
        <v>4</v>
      </c>
      <c r="D64" s="53" t="s">
        <v>125</v>
      </c>
      <c r="E64" s="54">
        <v>6</v>
      </c>
      <c r="F64" s="53">
        <v>135</v>
      </c>
      <c r="G64" s="53">
        <v>150</v>
      </c>
      <c r="H64" s="55">
        <v>500</v>
      </c>
      <c r="I64" s="53">
        <v>1.8</v>
      </c>
      <c r="J64" s="53">
        <v>4</v>
      </c>
      <c r="K64" s="53" t="s">
        <v>125</v>
      </c>
      <c r="L64" s="53">
        <v>8</v>
      </c>
      <c r="M64" s="53">
        <v>135</v>
      </c>
      <c r="N64" s="53">
        <v>150</v>
      </c>
      <c r="O64" s="55">
        <v>500</v>
      </c>
      <c r="P64" s="53">
        <f>L64/O64*N64/1000000*1000000</f>
        <v>2.4</v>
      </c>
    </row>
    <row r="65" spans="1:16" ht="16" x14ac:dyDescent="0.2">
      <c r="A65" s="48" t="s">
        <v>53</v>
      </c>
      <c r="B65" s="48">
        <v>9</v>
      </c>
      <c r="C65" s="53">
        <v>4</v>
      </c>
      <c r="D65" s="53" t="s">
        <v>125</v>
      </c>
      <c r="E65" s="54">
        <v>6</v>
      </c>
      <c r="F65" s="53">
        <v>135</v>
      </c>
      <c r="G65" s="53">
        <v>150</v>
      </c>
      <c r="H65" s="55">
        <v>500</v>
      </c>
      <c r="I65" s="53">
        <v>1.8</v>
      </c>
      <c r="J65" s="53">
        <v>4</v>
      </c>
      <c r="K65" s="53" t="s">
        <v>125</v>
      </c>
      <c r="L65" s="53">
        <v>7.5</v>
      </c>
      <c r="M65" s="53">
        <v>135</v>
      </c>
      <c r="N65" s="53">
        <v>150</v>
      </c>
      <c r="O65" s="55">
        <v>500</v>
      </c>
      <c r="P65" s="53">
        <f>L65/O65*N65/1000000*1000000</f>
        <v>2.25</v>
      </c>
    </row>
    <row r="66" spans="1:16" ht="16" x14ac:dyDescent="0.2">
      <c r="A66" s="48" t="s">
        <v>53</v>
      </c>
      <c r="B66" s="48">
        <v>20</v>
      </c>
      <c r="C66" s="53">
        <v>4</v>
      </c>
      <c r="D66" s="53" t="s">
        <v>125</v>
      </c>
      <c r="E66" s="54">
        <v>7</v>
      </c>
      <c r="F66" s="53">
        <v>135</v>
      </c>
      <c r="G66" s="53">
        <v>150</v>
      </c>
      <c r="H66" s="55">
        <v>500</v>
      </c>
      <c r="I66" s="53">
        <v>2.1</v>
      </c>
      <c r="J66" s="53">
        <v>4</v>
      </c>
      <c r="K66" s="53" t="s">
        <v>125</v>
      </c>
      <c r="L66" s="53">
        <v>7</v>
      </c>
      <c r="M66" s="53">
        <v>135</v>
      </c>
      <c r="N66" s="53">
        <v>150</v>
      </c>
      <c r="O66" s="55">
        <v>500</v>
      </c>
      <c r="P66" s="53">
        <f>L66/O66*N66/1000000*1000000</f>
        <v>2.1</v>
      </c>
    </row>
    <row r="67" spans="1:16" ht="16" x14ac:dyDescent="0.2">
      <c r="A67" s="59" t="s">
        <v>54</v>
      </c>
      <c r="B67" s="48">
        <v>0</v>
      </c>
      <c r="C67" s="53">
        <v>4</v>
      </c>
      <c r="D67" s="53">
        <v>1</v>
      </c>
      <c r="E67" s="54">
        <v>3</v>
      </c>
      <c r="F67" s="53"/>
      <c r="G67" s="53">
        <v>150</v>
      </c>
      <c r="H67" s="53">
        <v>1000</v>
      </c>
      <c r="I67" s="53">
        <v>0.45</v>
      </c>
      <c r="J67" s="53">
        <v>4</v>
      </c>
      <c r="K67" s="53">
        <v>1</v>
      </c>
      <c r="L67" s="53">
        <v>3</v>
      </c>
      <c r="M67" s="53">
        <v>130</v>
      </c>
      <c r="N67" s="53">
        <v>150</v>
      </c>
      <c r="O67" s="53">
        <v>877</v>
      </c>
      <c r="P67" s="53">
        <f>L67/O67*N67/1000000*1000000</f>
        <v>0.51311288483466366</v>
      </c>
    </row>
    <row r="68" spans="1:16" ht="16" x14ac:dyDescent="0.2">
      <c r="A68" s="59" t="s">
        <v>54</v>
      </c>
      <c r="B68" s="48">
        <v>4</v>
      </c>
      <c r="C68" s="53">
        <v>4</v>
      </c>
      <c r="D68" s="53">
        <v>1</v>
      </c>
      <c r="E68" s="54">
        <v>1</v>
      </c>
      <c r="F68" s="53">
        <v>130</v>
      </c>
      <c r="G68" s="53">
        <v>150</v>
      </c>
      <c r="H68" s="53">
        <v>1000</v>
      </c>
      <c r="I68" s="53">
        <v>0.15</v>
      </c>
      <c r="J68" s="53">
        <v>4</v>
      </c>
      <c r="K68" s="53">
        <v>1</v>
      </c>
      <c r="L68" s="53">
        <v>1</v>
      </c>
      <c r="M68" s="53">
        <v>130</v>
      </c>
      <c r="N68" s="53">
        <v>150</v>
      </c>
      <c r="O68" s="53">
        <v>977</v>
      </c>
      <c r="P68" s="53">
        <f>L68/O68*N68/1000000*1000000</f>
        <v>0.15353121801432959</v>
      </c>
    </row>
    <row r="69" spans="1:16" ht="16" x14ac:dyDescent="0.2">
      <c r="A69" s="59" t="s">
        <v>54</v>
      </c>
      <c r="B69" s="48">
        <v>6</v>
      </c>
      <c r="C69" s="53">
        <v>4</v>
      </c>
      <c r="D69" s="53">
        <v>1</v>
      </c>
      <c r="E69" s="54">
        <v>1.3</v>
      </c>
      <c r="F69" s="53">
        <v>130</v>
      </c>
      <c r="G69" s="53">
        <v>150</v>
      </c>
      <c r="H69" s="53">
        <v>1000</v>
      </c>
      <c r="I69" s="53">
        <v>0.19499999999999998</v>
      </c>
      <c r="J69" s="53">
        <v>4</v>
      </c>
      <c r="K69" s="53">
        <v>1</v>
      </c>
      <c r="L69" s="53">
        <v>1.3</v>
      </c>
      <c r="M69" s="53">
        <v>130</v>
      </c>
      <c r="N69" s="53">
        <v>150</v>
      </c>
      <c r="O69" s="53">
        <v>977</v>
      </c>
      <c r="P69" s="53">
        <f>L69/O69*N69/1000000*1000000</f>
        <v>0.19959058341862848</v>
      </c>
    </row>
    <row r="70" spans="1:16" ht="16" x14ac:dyDescent="0.2">
      <c r="A70" s="59" t="s">
        <v>54</v>
      </c>
      <c r="B70" s="48">
        <v>5</v>
      </c>
      <c r="C70" s="53">
        <v>4</v>
      </c>
      <c r="D70" s="53">
        <v>1</v>
      </c>
      <c r="E70" s="54">
        <v>1.3</v>
      </c>
      <c r="F70" s="53">
        <v>130</v>
      </c>
      <c r="G70" s="53">
        <v>150</v>
      </c>
      <c r="H70" s="53">
        <v>1000</v>
      </c>
      <c r="I70" s="53">
        <v>0.19499999999999998</v>
      </c>
      <c r="J70" s="53">
        <v>4</v>
      </c>
      <c r="K70" s="53">
        <v>1</v>
      </c>
      <c r="L70" s="53">
        <v>1.3</v>
      </c>
      <c r="M70" s="53">
        <v>130</v>
      </c>
      <c r="N70" s="53">
        <v>150</v>
      </c>
      <c r="O70" s="53">
        <v>989</v>
      </c>
      <c r="P70" s="53">
        <f>L70/O70*N70/1000000*1000000</f>
        <v>0.19716885743174925</v>
      </c>
    </row>
    <row r="71" spans="1:16" ht="16" x14ac:dyDescent="0.2">
      <c r="A71" s="59" t="s">
        <v>54</v>
      </c>
      <c r="B71" s="48">
        <v>12</v>
      </c>
      <c r="C71" s="53">
        <v>4</v>
      </c>
      <c r="D71" s="53">
        <v>1</v>
      </c>
      <c r="E71" s="54">
        <v>1.3</v>
      </c>
      <c r="F71" s="53">
        <v>130</v>
      </c>
      <c r="G71" s="53">
        <v>150</v>
      </c>
      <c r="H71" s="53">
        <v>1000</v>
      </c>
      <c r="I71" s="53">
        <v>0.19499999999999998</v>
      </c>
      <c r="J71" s="53">
        <v>4</v>
      </c>
      <c r="K71" s="53">
        <v>1</v>
      </c>
      <c r="L71" s="53">
        <v>1.3</v>
      </c>
      <c r="M71" s="53">
        <v>130</v>
      </c>
      <c r="N71" s="53">
        <v>150</v>
      </c>
      <c r="O71" s="53">
        <v>957</v>
      </c>
      <c r="P71" s="53">
        <f>L71/O71*N71/1000000*1000000</f>
        <v>0.2037617554858934</v>
      </c>
    </row>
    <row r="72" spans="1:16" ht="16" x14ac:dyDescent="0.2">
      <c r="A72" s="59" t="s">
        <v>54</v>
      </c>
      <c r="B72" s="48">
        <v>14</v>
      </c>
      <c r="C72" s="53">
        <v>4</v>
      </c>
      <c r="D72" s="53">
        <v>1</v>
      </c>
      <c r="E72" s="54">
        <v>1.3</v>
      </c>
      <c r="F72" s="53">
        <v>130</v>
      </c>
      <c r="G72" s="53">
        <v>150</v>
      </c>
      <c r="H72" s="53">
        <v>1000</v>
      </c>
      <c r="I72" s="53">
        <v>0.19499999999999998</v>
      </c>
      <c r="J72" s="53">
        <v>4</v>
      </c>
      <c r="K72" s="53">
        <v>1</v>
      </c>
      <c r="L72" s="53">
        <v>1.3</v>
      </c>
      <c r="M72" s="53">
        <v>130</v>
      </c>
      <c r="N72" s="53">
        <v>150</v>
      </c>
      <c r="O72" s="53">
        <v>901</v>
      </c>
      <c r="P72" s="53">
        <f>L72/O72*N72/1000000*1000000</f>
        <v>0.21642619311875694</v>
      </c>
    </row>
    <row r="73" spans="1:16" ht="16" x14ac:dyDescent="0.2">
      <c r="A73" s="59" t="s">
        <v>54</v>
      </c>
      <c r="B73" s="48">
        <v>26</v>
      </c>
      <c r="C73" s="53">
        <v>4</v>
      </c>
      <c r="D73" s="53">
        <v>1</v>
      </c>
      <c r="E73" s="54">
        <v>1.5</v>
      </c>
      <c r="F73" s="53">
        <v>130</v>
      </c>
      <c r="G73" s="53">
        <v>150</v>
      </c>
      <c r="H73" s="53">
        <v>1000</v>
      </c>
      <c r="I73" s="53">
        <v>0.22500000000000001</v>
      </c>
      <c r="J73" s="53">
        <v>4</v>
      </c>
      <c r="K73" s="53">
        <v>1</v>
      </c>
      <c r="L73" s="53">
        <v>1.5</v>
      </c>
      <c r="M73" s="53">
        <v>130</v>
      </c>
      <c r="N73" s="53">
        <v>150</v>
      </c>
      <c r="O73" s="53">
        <v>1000</v>
      </c>
      <c r="P73" s="53">
        <f>L73/O73*N73/1000000*1000000</f>
        <v>0.22500000000000001</v>
      </c>
    </row>
    <row r="74" spans="1:16" ht="16" x14ac:dyDescent="0.2">
      <c r="A74" s="59" t="s">
        <v>54</v>
      </c>
      <c r="B74" s="48">
        <v>28</v>
      </c>
      <c r="C74" s="53">
        <v>4</v>
      </c>
      <c r="D74" s="53">
        <v>1</v>
      </c>
      <c r="E74" s="54">
        <v>3.1</v>
      </c>
      <c r="F74" s="53">
        <v>130</v>
      </c>
      <c r="G74" s="53">
        <v>150</v>
      </c>
      <c r="H74" s="53">
        <v>1000</v>
      </c>
      <c r="I74" s="53">
        <v>0.46499999999999997</v>
      </c>
      <c r="J74" s="53">
        <v>4</v>
      </c>
      <c r="K74" s="53">
        <v>1</v>
      </c>
      <c r="L74" s="53">
        <v>4.3600000000000003</v>
      </c>
      <c r="M74" s="53">
        <v>130</v>
      </c>
      <c r="N74" s="53">
        <v>150</v>
      </c>
      <c r="O74" s="53">
        <v>775</v>
      </c>
      <c r="P74" s="53">
        <f>L74/O74*N74/1000000*1000000</f>
        <v>0.8438709677419356</v>
      </c>
    </row>
    <row r="75" spans="1:16" ht="16" x14ac:dyDescent="0.2">
      <c r="A75" s="59" t="s">
        <v>54</v>
      </c>
      <c r="B75" s="48">
        <v>113</v>
      </c>
      <c r="C75" s="53">
        <v>4</v>
      </c>
      <c r="D75" s="53">
        <v>1</v>
      </c>
      <c r="E75" s="54">
        <v>5.98</v>
      </c>
      <c r="F75" s="53"/>
      <c r="G75" s="53">
        <v>120</v>
      </c>
      <c r="H75" s="53">
        <v>1000</v>
      </c>
      <c r="I75" s="53">
        <v>0.71760000000000002</v>
      </c>
      <c r="J75" s="53">
        <v>4</v>
      </c>
      <c r="K75" s="53">
        <v>1</v>
      </c>
      <c r="L75" s="54">
        <v>7</v>
      </c>
      <c r="M75" s="53"/>
      <c r="N75" s="53">
        <v>90</v>
      </c>
      <c r="O75" s="53">
        <v>928</v>
      </c>
      <c r="P75" s="53">
        <f>L75/O75*N75/1000000*1000000</f>
        <v>0.67887931034482762</v>
      </c>
    </row>
    <row r="76" spans="1:16" ht="16" x14ac:dyDescent="0.2">
      <c r="A76" s="59" t="s">
        <v>54</v>
      </c>
      <c r="B76" s="48">
        <v>14</v>
      </c>
      <c r="C76" s="53">
        <v>4</v>
      </c>
      <c r="D76" s="53">
        <v>1</v>
      </c>
      <c r="E76" s="54">
        <v>6.7</v>
      </c>
      <c r="F76" s="53">
        <v>130</v>
      </c>
      <c r="G76" s="53">
        <v>120</v>
      </c>
      <c r="H76" s="53">
        <v>1000</v>
      </c>
      <c r="I76" s="53">
        <v>0.80400000000000005</v>
      </c>
      <c r="J76" s="53">
        <v>4</v>
      </c>
      <c r="K76" s="53">
        <v>1</v>
      </c>
      <c r="L76" s="53">
        <v>7.6</v>
      </c>
      <c r="M76" s="53">
        <v>130</v>
      </c>
      <c r="N76" s="53">
        <v>90</v>
      </c>
      <c r="O76" s="53">
        <v>844</v>
      </c>
      <c r="P76" s="53">
        <f>L76/O76*N76/1000000*1000000</f>
        <v>0.81042654028436012</v>
      </c>
    </row>
    <row r="77" spans="1:16" ht="16" x14ac:dyDescent="0.2">
      <c r="A77" s="59" t="s">
        <v>54</v>
      </c>
      <c r="B77" s="48">
        <v>19</v>
      </c>
      <c r="C77" s="52" t="s">
        <v>87</v>
      </c>
      <c r="D77" s="52" t="s">
        <v>87</v>
      </c>
      <c r="E77" s="53" t="s">
        <v>87</v>
      </c>
      <c r="F77" s="52"/>
      <c r="G77" s="52" t="s">
        <v>87</v>
      </c>
      <c r="H77" s="52">
        <v>1000</v>
      </c>
      <c r="I77" s="53">
        <v>0</v>
      </c>
      <c r="J77" s="53">
        <v>4</v>
      </c>
      <c r="K77" s="53">
        <v>1</v>
      </c>
      <c r="L77" s="53">
        <v>7.95</v>
      </c>
      <c r="M77" s="53"/>
      <c r="N77" s="53">
        <v>90</v>
      </c>
      <c r="O77" s="53">
        <v>863</v>
      </c>
      <c r="P77" s="53">
        <f>L77/O77*N77/1000000*1000000</f>
        <v>0.82908458864426426</v>
      </c>
    </row>
    <row r="78" spans="1:16" ht="16" x14ac:dyDescent="0.2">
      <c r="A78" s="48" t="s">
        <v>55</v>
      </c>
      <c r="B78" s="48">
        <v>0</v>
      </c>
      <c r="C78" s="53">
        <v>3</v>
      </c>
      <c r="D78" s="53" t="s">
        <v>99</v>
      </c>
      <c r="E78" s="54">
        <v>6</v>
      </c>
      <c r="F78" s="53">
        <v>180</v>
      </c>
      <c r="G78" s="53">
        <v>150</v>
      </c>
      <c r="H78" s="53">
        <v>1000</v>
      </c>
      <c r="I78" s="53">
        <v>0.9</v>
      </c>
      <c r="J78" s="52" t="s">
        <v>87</v>
      </c>
      <c r="K78" s="52" t="s">
        <v>87</v>
      </c>
      <c r="L78" s="53" t="s">
        <v>87</v>
      </c>
      <c r="M78" s="52" t="s">
        <v>87</v>
      </c>
      <c r="N78" s="52" t="s">
        <v>87</v>
      </c>
      <c r="O78" s="53" t="s">
        <v>87</v>
      </c>
      <c r="P78" s="53">
        <v>0</v>
      </c>
    </row>
    <row r="79" spans="1:16" ht="16" x14ac:dyDescent="0.2">
      <c r="A79" s="48" t="s">
        <v>55</v>
      </c>
      <c r="B79" s="48">
        <v>1</v>
      </c>
      <c r="C79" s="53">
        <v>3</v>
      </c>
      <c r="D79" s="53" t="s">
        <v>99</v>
      </c>
      <c r="E79" s="54">
        <v>6</v>
      </c>
      <c r="F79" s="53">
        <v>180</v>
      </c>
      <c r="G79" s="53">
        <v>150</v>
      </c>
      <c r="H79" s="53">
        <v>1000</v>
      </c>
      <c r="I79" s="53">
        <v>0.9</v>
      </c>
      <c r="J79" s="53">
        <v>3</v>
      </c>
      <c r="K79" s="53" t="s">
        <v>99</v>
      </c>
      <c r="L79" s="53">
        <v>6</v>
      </c>
      <c r="M79" s="53">
        <v>180</v>
      </c>
      <c r="N79" s="53">
        <v>150</v>
      </c>
      <c r="O79" s="53">
        <v>875</v>
      </c>
      <c r="P79" s="53">
        <f>L79/O79*N79/1000000*1000000</f>
        <v>1.0285714285714285</v>
      </c>
    </row>
    <row r="80" spans="1:16" ht="16" x14ac:dyDescent="0.2">
      <c r="A80" s="48" t="s">
        <v>55</v>
      </c>
      <c r="B80" s="48">
        <v>4</v>
      </c>
      <c r="C80" s="53">
        <v>3</v>
      </c>
      <c r="D80" s="53" t="s">
        <v>99</v>
      </c>
      <c r="E80" s="54">
        <v>5</v>
      </c>
      <c r="F80" s="53">
        <v>180</v>
      </c>
      <c r="G80" s="53">
        <v>150</v>
      </c>
      <c r="H80" s="53">
        <v>1000</v>
      </c>
      <c r="I80" s="53">
        <v>0.75</v>
      </c>
      <c r="J80" s="53">
        <v>3</v>
      </c>
      <c r="K80" s="53" t="s">
        <v>99</v>
      </c>
      <c r="L80" s="53">
        <v>5</v>
      </c>
      <c r="M80" s="53">
        <v>180</v>
      </c>
      <c r="N80" s="53">
        <v>150</v>
      </c>
      <c r="O80" s="53">
        <v>1262</v>
      </c>
      <c r="P80" s="53">
        <f>L80/O80*N80/1000000*1000000</f>
        <v>0.59429477020602217</v>
      </c>
    </row>
    <row r="81" spans="1:16" ht="16" x14ac:dyDescent="0.2">
      <c r="A81" s="48" t="s">
        <v>55</v>
      </c>
      <c r="B81" s="48">
        <v>1</v>
      </c>
      <c r="C81" s="53">
        <v>3</v>
      </c>
      <c r="D81" s="53" t="s">
        <v>99</v>
      </c>
      <c r="E81" s="54">
        <v>5.5</v>
      </c>
      <c r="F81" s="53">
        <v>180</v>
      </c>
      <c r="G81" s="53">
        <v>150</v>
      </c>
      <c r="H81" s="53">
        <v>1000</v>
      </c>
      <c r="I81" s="53">
        <v>0.82499999999999996</v>
      </c>
      <c r="J81" s="53">
        <v>3</v>
      </c>
      <c r="K81" s="53" t="s">
        <v>99</v>
      </c>
      <c r="L81" s="53">
        <v>5.5</v>
      </c>
      <c r="M81" s="53">
        <v>180</v>
      </c>
      <c r="N81" s="53">
        <v>150</v>
      </c>
      <c r="O81" s="53">
        <v>1232</v>
      </c>
      <c r="P81" s="53">
        <f>L81/O81*N81/1000000*1000000</f>
        <v>0.6696428571428571</v>
      </c>
    </row>
    <row r="82" spans="1:16" ht="16" x14ac:dyDescent="0.2">
      <c r="A82" s="48" t="s">
        <v>55</v>
      </c>
      <c r="B82" s="48">
        <v>1</v>
      </c>
      <c r="C82" s="53">
        <v>3</v>
      </c>
      <c r="D82" s="53" t="s">
        <v>99</v>
      </c>
      <c r="E82" s="54">
        <v>6</v>
      </c>
      <c r="F82" s="53">
        <v>180</v>
      </c>
      <c r="G82" s="53">
        <v>150</v>
      </c>
      <c r="H82" s="53">
        <v>1000</v>
      </c>
      <c r="I82" s="53">
        <v>0.9</v>
      </c>
      <c r="J82" s="53">
        <v>3</v>
      </c>
      <c r="K82" s="53" t="s">
        <v>99</v>
      </c>
      <c r="L82" s="53">
        <v>6</v>
      </c>
      <c r="M82" s="53">
        <v>180</v>
      </c>
      <c r="N82" s="53">
        <v>150</v>
      </c>
      <c r="O82" s="53">
        <v>1232</v>
      </c>
      <c r="P82" s="53">
        <f>L82/O82*N82/1000000*1000000</f>
        <v>0.73051948051948046</v>
      </c>
    </row>
    <row r="83" spans="1:16" ht="16" x14ac:dyDescent="0.2">
      <c r="A83" s="48" t="s">
        <v>55</v>
      </c>
      <c r="B83" s="48">
        <v>2</v>
      </c>
      <c r="C83" s="53">
        <v>3</v>
      </c>
      <c r="D83" s="53" t="s">
        <v>99</v>
      </c>
      <c r="E83" s="54">
        <v>6</v>
      </c>
      <c r="F83" s="53">
        <v>180</v>
      </c>
      <c r="G83" s="53">
        <v>150</v>
      </c>
      <c r="H83" s="53">
        <v>1000</v>
      </c>
      <c r="I83" s="53">
        <v>0.9</v>
      </c>
      <c r="J83" s="53">
        <v>3</v>
      </c>
      <c r="K83" s="53" t="s">
        <v>99</v>
      </c>
      <c r="L83" s="53">
        <v>6</v>
      </c>
      <c r="M83" s="53">
        <v>180</v>
      </c>
      <c r="N83" s="53">
        <v>150</v>
      </c>
      <c r="O83" s="53">
        <v>1000</v>
      </c>
      <c r="P83" s="53">
        <f>L83/O83*N83/1000000*1000000</f>
        <v>0.9</v>
      </c>
    </row>
    <row r="84" spans="1:16" ht="16" x14ac:dyDescent="0.2">
      <c r="A84" s="48" t="s">
        <v>55</v>
      </c>
      <c r="B84" s="48">
        <v>5</v>
      </c>
      <c r="C84" s="53">
        <v>3</v>
      </c>
      <c r="D84" s="53" t="s">
        <v>99</v>
      </c>
      <c r="E84" s="54">
        <v>6</v>
      </c>
      <c r="F84" s="53">
        <v>180</v>
      </c>
      <c r="G84" s="53">
        <v>150</v>
      </c>
      <c r="H84" s="53">
        <v>1000</v>
      </c>
      <c r="I84" s="53">
        <v>0.9</v>
      </c>
      <c r="J84" s="53">
        <v>3</v>
      </c>
      <c r="K84" s="53" t="s">
        <v>99</v>
      </c>
      <c r="L84" s="53">
        <v>6</v>
      </c>
      <c r="M84" s="53">
        <v>180</v>
      </c>
      <c r="N84" s="53">
        <v>150</v>
      </c>
      <c r="O84" s="53">
        <v>1000</v>
      </c>
      <c r="P84" s="53">
        <f>L84/O84*N84/1000000*1000000</f>
        <v>0.9</v>
      </c>
    </row>
    <row r="85" spans="1:16" ht="16" x14ac:dyDescent="0.2">
      <c r="A85" s="48" t="s">
        <v>55</v>
      </c>
      <c r="B85" s="48">
        <v>0</v>
      </c>
      <c r="C85" s="53">
        <v>2</v>
      </c>
      <c r="D85" s="53">
        <v>1</v>
      </c>
      <c r="E85" s="54">
        <v>3</v>
      </c>
      <c r="F85" s="56">
        <v>130</v>
      </c>
      <c r="G85" s="56">
        <v>150</v>
      </c>
      <c r="H85" s="56">
        <v>1000</v>
      </c>
      <c r="I85" s="53">
        <v>0.45</v>
      </c>
      <c r="J85" s="53">
        <v>2</v>
      </c>
      <c r="K85" s="53">
        <v>1</v>
      </c>
      <c r="L85" s="53">
        <v>3</v>
      </c>
      <c r="M85" s="56">
        <v>130</v>
      </c>
      <c r="N85" s="56">
        <v>150</v>
      </c>
      <c r="O85" s="53">
        <v>1434</v>
      </c>
      <c r="P85" s="53">
        <f>L85/O85*N85/1000000*1000000</f>
        <v>0.31380753138075312</v>
      </c>
    </row>
    <row r="86" spans="1:16" ht="16" x14ac:dyDescent="0.2">
      <c r="A86" s="48" t="s">
        <v>55</v>
      </c>
      <c r="B86" s="48">
        <v>4</v>
      </c>
      <c r="C86" s="53">
        <v>2</v>
      </c>
      <c r="D86" s="53">
        <v>1</v>
      </c>
      <c r="E86" s="54">
        <v>3</v>
      </c>
      <c r="F86" s="53">
        <v>130</v>
      </c>
      <c r="G86" s="53">
        <v>150</v>
      </c>
      <c r="H86" s="53">
        <v>1500</v>
      </c>
      <c r="I86" s="53">
        <v>0.3</v>
      </c>
      <c r="J86" s="53">
        <v>2</v>
      </c>
      <c r="K86" s="53">
        <v>1</v>
      </c>
      <c r="L86" s="53">
        <v>3</v>
      </c>
      <c r="M86" s="53">
        <v>130</v>
      </c>
      <c r="N86" s="53">
        <v>150</v>
      </c>
      <c r="O86" s="53">
        <v>1500</v>
      </c>
      <c r="P86" s="53">
        <f>L86/O86*N86/1000000*1000000</f>
        <v>0.3</v>
      </c>
    </row>
    <row r="87" spans="1:16" ht="16" x14ac:dyDescent="0.2">
      <c r="A87" s="48" t="s">
        <v>55</v>
      </c>
      <c r="B87" s="48">
        <v>9</v>
      </c>
      <c r="C87" s="53">
        <v>2</v>
      </c>
      <c r="D87" s="53">
        <v>1</v>
      </c>
      <c r="E87" s="54">
        <v>3</v>
      </c>
      <c r="F87" s="53">
        <v>130</v>
      </c>
      <c r="G87" s="53">
        <v>210</v>
      </c>
      <c r="H87" s="56">
        <v>1500</v>
      </c>
      <c r="I87" s="53">
        <v>0.42</v>
      </c>
      <c r="J87" s="53">
        <v>2</v>
      </c>
      <c r="K87" s="53">
        <v>1</v>
      </c>
      <c r="L87" s="53">
        <v>3</v>
      </c>
      <c r="M87" s="53">
        <v>130</v>
      </c>
      <c r="N87" s="53">
        <v>150</v>
      </c>
      <c r="O87" s="53">
        <v>1687</v>
      </c>
      <c r="P87" s="53">
        <f>L87/O87*N87/1000000*1000000</f>
        <v>0.26674570243034973</v>
      </c>
    </row>
    <row r="88" spans="1:16" ht="16" x14ac:dyDescent="0.2">
      <c r="A88" s="48" t="s">
        <v>55</v>
      </c>
      <c r="B88" s="48">
        <v>13</v>
      </c>
      <c r="C88" s="53">
        <v>2</v>
      </c>
      <c r="D88" s="53">
        <v>1</v>
      </c>
      <c r="E88" s="54">
        <v>3</v>
      </c>
      <c r="F88" s="53">
        <v>130</v>
      </c>
      <c r="G88" s="53">
        <v>210</v>
      </c>
      <c r="H88" s="53">
        <v>1500</v>
      </c>
      <c r="I88" s="53">
        <v>0.42</v>
      </c>
      <c r="J88" s="53">
        <v>2</v>
      </c>
      <c r="K88" s="53">
        <v>1</v>
      </c>
      <c r="L88" s="53">
        <v>3</v>
      </c>
      <c r="M88" s="53">
        <v>130</v>
      </c>
      <c r="N88" s="53">
        <v>150</v>
      </c>
      <c r="O88" s="53">
        <v>1500</v>
      </c>
      <c r="P88" s="53">
        <f>L88/O88*N88/1000000*1000000</f>
        <v>0.3</v>
      </c>
    </row>
    <row r="89" spans="1:16" ht="16" x14ac:dyDescent="0.2">
      <c r="A89" s="48" t="s">
        <v>55</v>
      </c>
      <c r="B89" s="48">
        <v>18</v>
      </c>
      <c r="C89" s="53">
        <v>2</v>
      </c>
      <c r="D89" s="53">
        <v>1</v>
      </c>
      <c r="E89" s="54">
        <v>3</v>
      </c>
      <c r="F89" s="53">
        <v>130</v>
      </c>
      <c r="G89" s="53">
        <v>180</v>
      </c>
      <c r="H89" s="53">
        <v>1000</v>
      </c>
      <c r="I89" s="53">
        <v>0.54</v>
      </c>
      <c r="J89" s="52" t="s">
        <v>87</v>
      </c>
      <c r="K89" s="52" t="s">
        <v>87</v>
      </c>
      <c r="L89" s="53" t="s">
        <v>87</v>
      </c>
      <c r="M89" s="52" t="s">
        <v>87</v>
      </c>
      <c r="N89" s="52" t="s">
        <v>87</v>
      </c>
      <c r="O89" s="53" t="s">
        <v>87</v>
      </c>
      <c r="P89" s="53">
        <v>0</v>
      </c>
    </row>
    <row r="90" spans="1:16" ht="16" x14ac:dyDescent="0.2">
      <c r="A90" s="48" t="s">
        <v>55</v>
      </c>
      <c r="B90" s="48">
        <v>2</v>
      </c>
      <c r="C90" s="53">
        <v>2</v>
      </c>
      <c r="D90" s="53">
        <v>1</v>
      </c>
      <c r="E90" s="54">
        <v>4</v>
      </c>
      <c r="F90" s="53">
        <v>130</v>
      </c>
      <c r="G90" s="53">
        <v>180</v>
      </c>
      <c r="H90" s="53">
        <v>1500</v>
      </c>
      <c r="I90" s="53">
        <v>0.48</v>
      </c>
      <c r="J90" s="52" t="s">
        <v>87</v>
      </c>
      <c r="K90" s="52" t="s">
        <v>87</v>
      </c>
      <c r="L90" s="53" t="s">
        <v>87</v>
      </c>
      <c r="M90" s="52" t="s">
        <v>87</v>
      </c>
      <c r="N90" s="52" t="s">
        <v>87</v>
      </c>
      <c r="O90" s="53" t="s">
        <v>87</v>
      </c>
      <c r="P90" s="53">
        <v>0</v>
      </c>
    </row>
    <row r="91" spans="1:16" ht="16" x14ac:dyDescent="0.2">
      <c r="A91" s="48" t="s">
        <v>55</v>
      </c>
      <c r="B91" s="48">
        <v>0</v>
      </c>
      <c r="C91" s="53">
        <v>2</v>
      </c>
      <c r="D91" s="53">
        <v>1</v>
      </c>
      <c r="E91" s="54">
        <v>4</v>
      </c>
      <c r="F91" s="53">
        <v>130</v>
      </c>
      <c r="G91" s="53">
        <v>180</v>
      </c>
      <c r="H91" s="53">
        <v>1500</v>
      </c>
      <c r="I91" s="53">
        <v>0.48</v>
      </c>
      <c r="J91" s="53">
        <v>3</v>
      </c>
      <c r="K91" s="53" t="s">
        <v>125</v>
      </c>
      <c r="L91" s="53">
        <v>3</v>
      </c>
      <c r="M91" s="53">
        <v>130</v>
      </c>
      <c r="N91" s="53">
        <v>90</v>
      </c>
      <c r="O91" s="53">
        <v>1500</v>
      </c>
      <c r="P91" s="53">
        <f>L91/O91*N91/1000000*1000000</f>
        <v>0.18</v>
      </c>
    </row>
    <row r="92" spans="1:16" ht="16" x14ac:dyDescent="0.2">
      <c r="A92" s="48" t="s">
        <v>55</v>
      </c>
      <c r="B92" s="48">
        <v>13</v>
      </c>
      <c r="C92" s="53">
        <v>2</v>
      </c>
      <c r="D92" s="53">
        <v>1</v>
      </c>
      <c r="E92" s="54">
        <v>4</v>
      </c>
      <c r="F92" s="53">
        <v>130</v>
      </c>
      <c r="G92" s="53">
        <v>180</v>
      </c>
      <c r="H92" s="53">
        <v>1500</v>
      </c>
      <c r="I92" s="53">
        <v>0.48</v>
      </c>
      <c r="J92" s="53">
        <v>3</v>
      </c>
      <c r="K92" s="53" t="s">
        <v>125</v>
      </c>
      <c r="L92" s="53">
        <v>2</v>
      </c>
      <c r="M92" s="53">
        <v>130</v>
      </c>
      <c r="N92" s="53">
        <v>90</v>
      </c>
      <c r="O92" s="53">
        <v>1123</v>
      </c>
      <c r="P92" s="53">
        <f>L92/O92*N92/1000000*1000000</f>
        <v>0.16028495102404275</v>
      </c>
    </row>
    <row r="93" spans="1:16" ht="16" x14ac:dyDescent="0.2">
      <c r="A93" s="48" t="s">
        <v>55</v>
      </c>
      <c r="B93" s="48">
        <v>22</v>
      </c>
      <c r="C93" s="53">
        <v>2</v>
      </c>
      <c r="D93" s="53">
        <v>1</v>
      </c>
      <c r="E93" s="54">
        <v>4</v>
      </c>
      <c r="F93" s="53">
        <v>130</v>
      </c>
      <c r="G93" s="53">
        <v>180</v>
      </c>
      <c r="H93" s="53">
        <v>1000</v>
      </c>
      <c r="I93" s="53">
        <v>0.72</v>
      </c>
      <c r="J93" s="53">
        <v>3</v>
      </c>
      <c r="K93" s="53" t="s">
        <v>125</v>
      </c>
      <c r="L93" s="53">
        <v>2</v>
      </c>
      <c r="M93" s="53">
        <v>130</v>
      </c>
      <c r="N93" s="53">
        <v>90</v>
      </c>
      <c r="O93" s="53">
        <v>1178</v>
      </c>
      <c r="P93" s="53">
        <f>L93/O93*N93/1000000*1000000</f>
        <v>0.15280135823429541</v>
      </c>
    </row>
    <row r="94" spans="1:16" ht="16" x14ac:dyDescent="0.2">
      <c r="A94" s="48" t="s">
        <v>55</v>
      </c>
      <c r="B94" s="48">
        <v>3</v>
      </c>
      <c r="C94" s="53">
        <v>2</v>
      </c>
      <c r="D94" s="53">
        <v>1</v>
      </c>
      <c r="E94" s="54">
        <v>4</v>
      </c>
      <c r="F94" s="53">
        <v>130</v>
      </c>
      <c r="G94" s="53">
        <v>180</v>
      </c>
      <c r="H94" s="53">
        <v>1000</v>
      </c>
      <c r="I94" s="53">
        <v>0.72</v>
      </c>
      <c r="J94" s="53">
        <v>3</v>
      </c>
      <c r="K94" s="53" t="s">
        <v>125</v>
      </c>
      <c r="L94" s="53">
        <v>2.5</v>
      </c>
      <c r="M94" s="53">
        <v>130</v>
      </c>
      <c r="N94" s="53">
        <v>90</v>
      </c>
      <c r="O94" s="53">
        <v>1500</v>
      </c>
      <c r="P94" s="53">
        <f>L94/O94*N94/1000000*1000000</f>
        <v>0.15000000000000002</v>
      </c>
    </row>
    <row r="95" spans="1:16" ht="16" x14ac:dyDescent="0.2">
      <c r="A95" s="48" t="s">
        <v>55</v>
      </c>
      <c r="B95" s="48">
        <v>12</v>
      </c>
      <c r="C95" s="53">
        <v>2</v>
      </c>
      <c r="D95" s="53">
        <v>1</v>
      </c>
      <c r="E95" s="54">
        <v>4</v>
      </c>
      <c r="F95" s="53">
        <v>130</v>
      </c>
      <c r="G95" s="53">
        <v>180</v>
      </c>
      <c r="H95" s="53">
        <v>1000</v>
      </c>
      <c r="I95" s="53">
        <v>0.72</v>
      </c>
      <c r="J95" s="53">
        <v>3</v>
      </c>
      <c r="K95" s="53" t="s">
        <v>125</v>
      </c>
      <c r="L95" s="53">
        <v>2.5</v>
      </c>
      <c r="M95" s="53">
        <v>130</v>
      </c>
      <c r="N95" s="53">
        <v>90</v>
      </c>
      <c r="O95" s="53">
        <v>1342</v>
      </c>
      <c r="P95" s="53">
        <f>L95/O95*N95/1000000*1000000</f>
        <v>0.1676602086438152</v>
      </c>
    </row>
    <row r="96" spans="1:16" ht="16" x14ac:dyDescent="0.2">
      <c r="A96" s="59" t="s">
        <v>56</v>
      </c>
      <c r="B96" s="48">
        <v>0</v>
      </c>
      <c r="C96" s="53">
        <v>4</v>
      </c>
      <c r="D96" s="53">
        <v>2</v>
      </c>
      <c r="E96" s="54">
        <v>1.44</v>
      </c>
      <c r="F96" s="53">
        <v>130</v>
      </c>
      <c r="G96" s="53">
        <v>90</v>
      </c>
      <c r="H96" s="53">
        <v>1000</v>
      </c>
      <c r="I96" s="53">
        <v>0.12959999999999999</v>
      </c>
      <c r="J96" s="53">
        <v>2</v>
      </c>
      <c r="K96" s="53">
        <v>1</v>
      </c>
      <c r="L96" s="53">
        <v>2.94</v>
      </c>
      <c r="M96" s="53">
        <v>130</v>
      </c>
      <c r="N96" s="53">
        <v>150</v>
      </c>
      <c r="O96" s="53">
        <v>3631</v>
      </c>
      <c r="P96" s="53">
        <f>L96/O96*N96/1000000*1000000</f>
        <v>0.12145414486367391</v>
      </c>
    </row>
    <row r="97" spans="1:16" ht="16" x14ac:dyDescent="0.2">
      <c r="A97" s="59" t="s">
        <v>56</v>
      </c>
      <c r="B97" s="48">
        <v>0</v>
      </c>
      <c r="C97" s="53">
        <v>4</v>
      </c>
      <c r="D97" s="53">
        <v>2</v>
      </c>
      <c r="E97" s="54">
        <v>1.97</v>
      </c>
      <c r="F97" s="53">
        <v>130</v>
      </c>
      <c r="G97" s="53">
        <v>90</v>
      </c>
      <c r="H97" s="53">
        <v>1000</v>
      </c>
      <c r="I97" s="53">
        <v>0.17729999999999999</v>
      </c>
      <c r="J97" s="53">
        <v>2</v>
      </c>
      <c r="K97" s="53">
        <v>1</v>
      </c>
      <c r="L97" s="53">
        <v>2.96</v>
      </c>
      <c r="M97" s="53">
        <v>130</v>
      </c>
      <c r="N97" s="53">
        <v>150</v>
      </c>
      <c r="O97" s="53">
        <v>1300</v>
      </c>
      <c r="P97" s="53">
        <f>L97/O97*N97/1000000*1000000</f>
        <v>0.34153846153846157</v>
      </c>
    </row>
    <row r="98" spans="1:16" ht="16" x14ac:dyDescent="0.2">
      <c r="A98" s="59" t="s">
        <v>56</v>
      </c>
      <c r="B98" s="48">
        <v>4</v>
      </c>
      <c r="C98" s="53">
        <v>4</v>
      </c>
      <c r="D98" s="53">
        <v>2</v>
      </c>
      <c r="E98" s="54">
        <v>1.97</v>
      </c>
      <c r="F98" s="53">
        <v>130</v>
      </c>
      <c r="G98" s="53">
        <v>150</v>
      </c>
      <c r="H98" s="53">
        <v>1000</v>
      </c>
      <c r="I98" s="53">
        <v>0.29549999999999998</v>
      </c>
      <c r="J98" s="53">
        <v>2</v>
      </c>
      <c r="K98" s="53">
        <v>1</v>
      </c>
      <c r="L98" s="53">
        <v>2.96</v>
      </c>
      <c r="M98" s="53">
        <v>130</v>
      </c>
      <c r="N98" s="53">
        <v>150</v>
      </c>
      <c r="O98" s="53">
        <v>1300</v>
      </c>
      <c r="P98" s="53">
        <f>L98/O98*N98/1000000*1000000</f>
        <v>0.34153846153846157</v>
      </c>
    </row>
    <row r="99" spans="1:16" ht="16" x14ac:dyDescent="0.2">
      <c r="A99" s="59" t="s">
        <v>56</v>
      </c>
      <c r="B99" s="48">
        <v>6</v>
      </c>
      <c r="C99" s="53">
        <v>4</v>
      </c>
      <c r="D99" s="53">
        <v>2</v>
      </c>
      <c r="E99" s="54">
        <v>2.33</v>
      </c>
      <c r="F99" s="53">
        <v>130</v>
      </c>
      <c r="G99" s="53">
        <v>150</v>
      </c>
      <c r="H99" s="53">
        <v>1000</v>
      </c>
      <c r="I99" s="53">
        <v>0.34950000000000003</v>
      </c>
      <c r="J99" s="53">
        <v>2</v>
      </c>
      <c r="K99" s="53">
        <v>1</v>
      </c>
      <c r="L99" s="53">
        <v>3.64</v>
      </c>
      <c r="M99" s="53">
        <v>130</v>
      </c>
      <c r="N99" s="53">
        <v>150</v>
      </c>
      <c r="O99" s="53">
        <v>1264.5</v>
      </c>
      <c r="P99" s="53">
        <f>L99/O99*N99/1000000*1000000</f>
        <v>0.43179122182680901</v>
      </c>
    </row>
    <row r="100" spans="1:16" ht="16" x14ac:dyDescent="0.2">
      <c r="A100" s="59" t="s">
        <v>56</v>
      </c>
      <c r="B100" s="48">
        <v>0</v>
      </c>
      <c r="C100" s="53">
        <v>4</v>
      </c>
      <c r="D100" s="53">
        <v>2</v>
      </c>
      <c r="E100" s="54">
        <v>2.9</v>
      </c>
      <c r="F100" s="53">
        <v>130</v>
      </c>
      <c r="G100" s="53">
        <v>150</v>
      </c>
      <c r="H100" s="53">
        <v>1000</v>
      </c>
      <c r="I100" s="53">
        <v>0.43499999999999994</v>
      </c>
      <c r="J100" s="53">
        <v>2</v>
      </c>
      <c r="K100" s="53">
        <v>1</v>
      </c>
      <c r="L100" s="53">
        <v>4.24</v>
      </c>
      <c r="M100" s="53">
        <v>130</v>
      </c>
      <c r="N100" s="53">
        <v>150</v>
      </c>
      <c r="O100" s="53">
        <v>1229</v>
      </c>
      <c r="P100" s="53">
        <f>L100/O100*N100/1000000*1000000</f>
        <v>0.51749389747762409</v>
      </c>
    </row>
    <row r="101" spans="1:16" ht="16" x14ac:dyDescent="0.2">
      <c r="A101" s="59" t="s">
        <v>56</v>
      </c>
      <c r="B101" s="48">
        <v>5</v>
      </c>
      <c r="C101" s="53">
        <v>4</v>
      </c>
      <c r="D101" s="53">
        <v>2</v>
      </c>
      <c r="E101" s="54">
        <v>2.9</v>
      </c>
      <c r="F101" s="53">
        <v>130</v>
      </c>
      <c r="G101" s="53">
        <v>150</v>
      </c>
      <c r="H101" s="53">
        <v>1000</v>
      </c>
      <c r="I101" s="53">
        <v>0.43499999999999994</v>
      </c>
      <c r="J101" s="53">
        <v>2</v>
      </c>
      <c r="K101" s="53">
        <v>1</v>
      </c>
      <c r="L101" s="53">
        <v>4.24</v>
      </c>
      <c r="M101" s="53">
        <v>130</v>
      </c>
      <c r="N101" s="53">
        <v>150</v>
      </c>
      <c r="O101" s="53">
        <v>1229</v>
      </c>
      <c r="P101" s="53">
        <f>L101/O101*N101/1000000*1000000</f>
        <v>0.51749389747762409</v>
      </c>
    </row>
    <row r="102" spans="1:16" ht="16" x14ac:dyDescent="0.2">
      <c r="A102" s="59" t="s">
        <v>56</v>
      </c>
      <c r="B102" s="48">
        <v>6</v>
      </c>
      <c r="C102" s="53">
        <v>4</v>
      </c>
      <c r="D102" s="53">
        <v>2</v>
      </c>
      <c r="E102" s="54">
        <v>3.49</v>
      </c>
      <c r="F102" s="53">
        <v>130</v>
      </c>
      <c r="G102" s="53">
        <v>90</v>
      </c>
      <c r="H102" s="53">
        <v>1000</v>
      </c>
      <c r="I102" s="53">
        <v>0.31409999999999999</v>
      </c>
      <c r="J102" s="53">
        <v>2</v>
      </c>
      <c r="K102" s="53">
        <v>1</v>
      </c>
      <c r="L102" s="53">
        <v>4.6399999999999997</v>
      </c>
      <c r="M102" s="53">
        <v>130</v>
      </c>
      <c r="N102" s="53">
        <v>90</v>
      </c>
      <c r="O102" s="53">
        <v>1165</v>
      </c>
      <c r="P102" s="53">
        <f>L102/O102*N102/1000000*1000000</f>
        <v>0.35845493562231756</v>
      </c>
    </row>
    <row r="103" spans="1:16" ht="16" x14ac:dyDescent="0.2">
      <c r="A103" s="59" t="s">
        <v>56</v>
      </c>
      <c r="B103" s="48">
        <v>1</v>
      </c>
      <c r="C103" s="53">
        <v>4</v>
      </c>
      <c r="D103" s="53">
        <v>2</v>
      </c>
      <c r="E103" s="54">
        <v>2.48</v>
      </c>
      <c r="F103" s="53">
        <v>130</v>
      </c>
      <c r="G103" s="53">
        <v>90</v>
      </c>
      <c r="H103" s="53">
        <v>1000</v>
      </c>
      <c r="I103" s="53">
        <v>0.22320000000000001</v>
      </c>
      <c r="J103" s="53">
        <v>2</v>
      </c>
      <c r="K103" s="53">
        <v>1</v>
      </c>
      <c r="L103" s="53">
        <v>3.88</v>
      </c>
      <c r="M103" s="53">
        <v>130</v>
      </c>
      <c r="N103" s="53">
        <v>90</v>
      </c>
      <c r="O103" s="53">
        <v>1200</v>
      </c>
      <c r="P103" s="53">
        <f>L103/O103*N103/1000000*1000000</f>
        <v>0.29099999999999998</v>
      </c>
    </row>
    <row r="104" spans="1:16" ht="16" x14ac:dyDescent="0.2">
      <c r="A104" s="59" t="s">
        <v>56</v>
      </c>
      <c r="B104" s="48">
        <v>1</v>
      </c>
      <c r="C104" s="53">
        <v>4</v>
      </c>
      <c r="D104" s="53">
        <v>2</v>
      </c>
      <c r="E104" s="54">
        <v>2.96</v>
      </c>
      <c r="F104" s="53">
        <v>130</v>
      </c>
      <c r="G104" s="53">
        <v>90</v>
      </c>
      <c r="H104" s="53">
        <v>1000</v>
      </c>
      <c r="I104" s="53">
        <v>0.26639999999999997</v>
      </c>
      <c r="J104" s="53">
        <v>2</v>
      </c>
      <c r="K104" s="53">
        <v>1</v>
      </c>
      <c r="L104" s="53">
        <v>3.88</v>
      </c>
      <c r="M104" s="53">
        <v>130</v>
      </c>
      <c r="N104" s="53">
        <v>90</v>
      </c>
      <c r="O104" s="53">
        <v>1200</v>
      </c>
      <c r="P104" s="53">
        <f>L104/O104*N104/1000000*1000000</f>
        <v>0.29099999999999998</v>
      </c>
    </row>
    <row r="105" spans="1:16" ht="16" x14ac:dyDescent="0.2">
      <c r="A105" s="59" t="s">
        <v>56</v>
      </c>
      <c r="B105" s="48">
        <v>5</v>
      </c>
      <c r="C105" s="53">
        <v>4</v>
      </c>
      <c r="D105" s="53">
        <v>2</v>
      </c>
      <c r="E105" s="54">
        <v>2.65</v>
      </c>
      <c r="F105" s="53">
        <v>130</v>
      </c>
      <c r="G105" s="53">
        <v>90</v>
      </c>
      <c r="H105" s="53">
        <v>1000</v>
      </c>
      <c r="I105" s="53">
        <v>0.23849999999999996</v>
      </c>
      <c r="J105" s="53">
        <v>2</v>
      </c>
      <c r="K105" s="53">
        <v>1</v>
      </c>
      <c r="L105" s="53">
        <v>4</v>
      </c>
      <c r="M105" s="53">
        <v>130</v>
      </c>
      <c r="N105" s="53">
        <v>90</v>
      </c>
      <c r="O105" s="53">
        <v>1196</v>
      </c>
      <c r="P105" s="53">
        <f>L105/O105*N105/1000000*1000000</f>
        <v>0.30100334448160537</v>
      </c>
    </row>
    <row r="106" spans="1:16" ht="16" x14ac:dyDescent="0.2">
      <c r="A106" s="59" t="s">
        <v>56</v>
      </c>
      <c r="B106" s="48">
        <v>5</v>
      </c>
      <c r="C106" s="53">
        <v>4</v>
      </c>
      <c r="D106" s="53">
        <v>2</v>
      </c>
      <c r="E106" s="54">
        <v>2.76</v>
      </c>
      <c r="F106" s="53">
        <v>130</v>
      </c>
      <c r="G106" s="53">
        <v>90</v>
      </c>
      <c r="H106" s="53">
        <v>1000</v>
      </c>
      <c r="I106" s="53">
        <v>0.24839999999999998</v>
      </c>
      <c r="J106" s="53">
        <v>2</v>
      </c>
      <c r="K106" s="53">
        <v>1</v>
      </c>
      <c r="L106" s="53">
        <v>4</v>
      </c>
      <c r="M106" s="53">
        <v>130</v>
      </c>
      <c r="N106" s="53">
        <v>90</v>
      </c>
      <c r="O106" s="53">
        <v>1000</v>
      </c>
      <c r="P106" s="53">
        <f>L106/O106*N106/1000000*1000000</f>
        <v>0.36</v>
      </c>
    </row>
    <row r="107" spans="1:16" ht="16" x14ac:dyDescent="0.2">
      <c r="A107" s="59" t="s">
        <v>56</v>
      </c>
      <c r="B107" s="48">
        <v>8</v>
      </c>
      <c r="C107" s="53">
        <v>4</v>
      </c>
      <c r="D107" s="53">
        <v>2</v>
      </c>
      <c r="E107" s="54">
        <v>3.1</v>
      </c>
      <c r="F107" s="53">
        <v>130</v>
      </c>
      <c r="G107" s="53">
        <v>90</v>
      </c>
      <c r="H107" s="53">
        <v>1000</v>
      </c>
      <c r="I107" s="53">
        <v>0.27899999999999997</v>
      </c>
      <c r="J107" s="53">
        <v>2</v>
      </c>
      <c r="K107" s="53">
        <v>1</v>
      </c>
      <c r="L107" s="53">
        <v>5</v>
      </c>
      <c r="M107" s="53">
        <v>130</v>
      </c>
      <c r="N107" s="53">
        <v>90</v>
      </c>
      <c r="O107" s="53">
        <v>1281</v>
      </c>
      <c r="P107" s="53">
        <f>L107/O107*N107/1000000*1000000</f>
        <v>0.35128805620608899</v>
      </c>
    </row>
    <row r="108" spans="1:16" ht="16" x14ac:dyDescent="0.2">
      <c r="A108" s="59" t="s">
        <v>56</v>
      </c>
      <c r="B108" s="48">
        <v>13</v>
      </c>
      <c r="C108" s="53">
        <v>4</v>
      </c>
      <c r="D108" s="53">
        <v>1</v>
      </c>
      <c r="E108" s="54">
        <v>3.5</v>
      </c>
      <c r="F108" s="53">
        <v>130</v>
      </c>
      <c r="G108" s="53">
        <v>90</v>
      </c>
      <c r="H108" s="53">
        <v>1000</v>
      </c>
      <c r="I108" s="53">
        <v>0.315</v>
      </c>
      <c r="J108" s="53">
        <v>0</v>
      </c>
      <c r="K108" s="53">
        <v>1</v>
      </c>
      <c r="L108" s="53">
        <v>5.37</v>
      </c>
      <c r="M108" s="53">
        <v>130</v>
      </c>
      <c r="N108" s="53">
        <v>90</v>
      </c>
      <c r="O108" s="53">
        <v>1202</v>
      </c>
      <c r="P108" s="53">
        <f>L108/O108*N108/1000000*1000000</f>
        <v>0.40207986688851916</v>
      </c>
    </row>
    <row r="109" spans="1:16" ht="16" x14ac:dyDescent="0.2">
      <c r="A109" s="59" t="s">
        <v>56</v>
      </c>
      <c r="B109" s="48">
        <v>14</v>
      </c>
      <c r="C109" s="53">
        <v>4</v>
      </c>
      <c r="D109" s="53">
        <v>1</v>
      </c>
      <c r="E109" s="54">
        <v>4.5</v>
      </c>
      <c r="F109" s="53">
        <v>130</v>
      </c>
      <c r="G109" s="53">
        <v>90</v>
      </c>
      <c r="H109" s="53">
        <v>500</v>
      </c>
      <c r="I109" s="53">
        <v>0.80999999999999994</v>
      </c>
      <c r="J109" s="53">
        <v>0</v>
      </c>
      <c r="K109" s="53">
        <v>1</v>
      </c>
      <c r="L109" s="53">
        <v>7.37</v>
      </c>
      <c r="M109" s="53">
        <v>130</v>
      </c>
      <c r="N109" s="53">
        <v>90</v>
      </c>
      <c r="O109" s="53">
        <v>1000</v>
      </c>
      <c r="P109" s="53">
        <f>L109/O109*N109/1000000*1000000</f>
        <v>0.6633</v>
      </c>
    </row>
    <row r="110" spans="1:16" ht="16" x14ac:dyDescent="0.2">
      <c r="A110" s="59" t="s">
        <v>56</v>
      </c>
      <c r="B110" s="48">
        <v>14</v>
      </c>
      <c r="C110" s="53">
        <v>4</v>
      </c>
      <c r="D110" s="53">
        <v>1</v>
      </c>
      <c r="E110" s="54">
        <v>2.94</v>
      </c>
      <c r="F110" s="53">
        <v>130</v>
      </c>
      <c r="G110" s="53">
        <v>90</v>
      </c>
      <c r="H110" s="53">
        <v>500</v>
      </c>
      <c r="I110" s="53">
        <v>0.5292</v>
      </c>
      <c r="J110" s="53">
        <v>0</v>
      </c>
      <c r="K110" s="53">
        <v>1</v>
      </c>
      <c r="L110" s="53">
        <v>2.88</v>
      </c>
      <c r="M110" s="53">
        <v>130</v>
      </c>
      <c r="N110" s="53">
        <v>90</v>
      </c>
      <c r="O110" s="53">
        <v>1000</v>
      </c>
      <c r="P110" s="53">
        <f>L110/O110*N110/1000000*1000000</f>
        <v>0.25919999999999999</v>
      </c>
    </row>
    <row r="111" spans="1:16" ht="16" x14ac:dyDescent="0.2">
      <c r="A111" s="59" t="s">
        <v>56</v>
      </c>
      <c r="B111" s="48">
        <v>0</v>
      </c>
      <c r="C111" s="53">
        <v>4</v>
      </c>
      <c r="D111" s="53" t="s">
        <v>125</v>
      </c>
      <c r="E111" s="54">
        <v>3</v>
      </c>
      <c r="F111" s="53">
        <v>130</v>
      </c>
      <c r="G111" s="53">
        <v>210</v>
      </c>
      <c r="H111" s="53">
        <v>500</v>
      </c>
      <c r="I111" s="53">
        <v>1.26</v>
      </c>
      <c r="J111" s="53">
        <v>0</v>
      </c>
      <c r="K111" s="53" t="s">
        <v>125</v>
      </c>
      <c r="L111" s="53">
        <v>4.5</v>
      </c>
      <c r="M111" s="53">
        <v>130</v>
      </c>
      <c r="N111" s="53">
        <v>90</v>
      </c>
      <c r="O111" s="53">
        <v>1000</v>
      </c>
      <c r="P111" s="53">
        <f>L111/O111*N111/1000000*1000000</f>
        <v>0.40499999999999997</v>
      </c>
    </row>
    <row r="112" spans="1:16" ht="16" x14ac:dyDescent="0.2">
      <c r="A112" s="59" t="s">
        <v>56</v>
      </c>
      <c r="B112" s="48">
        <v>4</v>
      </c>
      <c r="C112" s="53">
        <v>4</v>
      </c>
      <c r="D112" s="53" t="s">
        <v>125</v>
      </c>
      <c r="E112" s="54">
        <v>1.5</v>
      </c>
      <c r="F112" s="53">
        <v>130</v>
      </c>
      <c r="G112" s="53">
        <v>210</v>
      </c>
      <c r="H112" s="53">
        <v>500</v>
      </c>
      <c r="I112" s="53">
        <v>0.63</v>
      </c>
      <c r="J112" s="53">
        <v>0</v>
      </c>
      <c r="K112" s="53" t="s">
        <v>125</v>
      </c>
      <c r="L112" s="53">
        <v>2</v>
      </c>
      <c r="M112" s="53">
        <v>130</v>
      </c>
      <c r="N112" s="53">
        <v>90</v>
      </c>
      <c r="O112" s="53">
        <v>1000</v>
      </c>
      <c r="P112" s="53">
        <f>L112/O112*N112/1000000*1000000</f>
        <v>0.18</v>
      </c>
    </row>
    <row r="113" spans="1:16" ht="16" x14ac:dyDescent="0.2">
      <c r="A113" s="59" t="s">
        <v>56</v>
      </c>
      <c r="B113" s="48">
        <v>1</v>
      </c>
      <c r="C113" s="53">
        <v>4</v>
      </c>
      <c r="D113" s="53" t="s">
        <v>125</v>
      </c>
      <c r="E113" s="54">
        <v>1.5</v>
      </c>
      <c r="F113" s="53">
        <v>130</v>
      </c>
      <c r="G113" s="53">
        <v>210</v>
      </c>
      <c r="H113" s="53">
        <v>500</v>
      </c>
      <c r="I113" s="53">
        <v>0.63</v>
      </c>
      <c r="J113" s="53">
        <v>0</v>
      </c>
      <c r="K113" s="53" t="s">
        <v>125</v>
      </c>
      <c r="L113" s="53">
        <v>2</v>
      </c>
      <c r="M113" s="53">
        <v>130</v>
      </c>
      <c r="N113" s="53">
        <v>90</v>
      </c>
      <c r="O113" s="53">
        <v>1000</v>
      </c>
      <c r="P113" s="53">
        <f>L113/O113*N113/1000000*1000000</f>
        <v>0.18</v>
      </c>
    </row>
    <row r="114" spans="1:16" ht="16" x14ac:dyDescent="0.2">
      <c r="A114" s="59" t="s">
        <v>56</v>
      </c>
      <c r="B114" s="48">
        <v>0</v>
      </c>
      <c r="C114" s="53">
        <v>4</v>
      </c>
      <c r="D114" s="53" t="s">
        <v>125</v>
      </c>
      <c r="E114" s="54">
        <v>1.7</v>
      </c>
      <c r="F114" s="53">
        <v>130</v>
      </c>
      <c r="G114" s="53">
        <v>210</v>
      </c>
      <c r="H114" s="53">
        <v>500</v>
      </c>
      <c r="I114" s="53">
        <v>0.71399999999999997</v>
      </c>
      <c r="J114" s="53">
        <v>0</v>
      </c>
      <c r="K114" s="53" t="s">
        <v>125</v>
      </c>
      <c r="L114" s="53">
        <v>2.2000000000000002</v>
      </c>
      <c r="M114" s="53">
        <v>130</v>
      </c>
      <c r="N114" s="53">
        <v>90</v>
      </c>
      <c r="O114" s="53">
        <v>1000</v>
      </c>
      <c r="P114" s="53">
        <f>L114/O114*N114/1000000*1000000</f>
        <v>0.19800000000000001</v>
      </c>
    </row>
    <row r="115" spans="1:16" ht="16" x14ac:dyDescent="0.2">
      <c r="A115" s="59" t="s">
        <v>56</v>
      </c>
      <c r="B115" s="48">
        <v>8</v>
      </c>
      <c r="C115" s="53">
        <v>4</v>
      </c>
      <c r="D115" s="53" t="s">
        <v>125</v>
      </c>
      <c r="E115" s="54">
        <v>2.9</v>
      </c>
      <c r="F115" s="53">
        <v>130</v>
      </c>
      <c r="G115" s="53">
        <v>210</v>
      </c>
      <c r="H115" s="53">
        <v>500</v>
      </c>
      <c r="I115" s="53">
        <v>1.218</v>
      </c>
      <c r="J115" s="53">
        <v>0</v>
      </c>
      <c r="K115" s="53" t="s">
        <v>125</v>
      </c>
      <c r="L115" s="53">
        <v>2.9</v>
      </c>
      <c r="M115" s="53">
        <v>130</v>
      </c>
      <c r="N115" s="53">
        <v>90</v>
      </c>
      <c r="O115" s="53">
        <v>1000</v>
      </c>
      <c r="P115" s="53">
        <f>L115/O115*N115/1000000*1000000</f>
        <v>0.26100000000000001</v>
      </c>
    </row>
    <row r="116" spans="1:16" ht="16" x14ac:dyDescent="0.2">
      <c r="A116" s="59" t="s">
        <v>56</v>
      </c>
      <c r="B116" s="48">
        <v>1</v>
      </c>
      <c r="C116" s="53">
        <v>4</v>
      </c>
      <c r="D116" s="53" t="s">
        <v>125</v>
      </c>
      <c r="E116" s="54">
        <v>2</v>
      </c>
      <c r="F116" s="53">
        <v>130</v>
      </c>
      <c r="G116" s="53">
        <v>210</v>
      </c>
      <c r="H116" s="53">
        <v>500</v>
      </c>
      <c r="I116" s="53">
        <v>0.84</v>
      </c>
      <c r="J116" s="53">
        <v>0</v>
      </c>
      <c r="K116" s="53" t="s">
        <v>125</v>
      </c>
      <c r="L116" s="53">
        <v>2.8</v>
      </c>
      <c r="M116" s="53">
        <v>130</v>
      </c>
      <c r="N116" s="53">
        <v>90</v>
      </c>
      <c r="O116" s="53">
        <v>1000</v>
      </c>
      <c r="P116" s="53">
        <f>L116/O116*N116/1000000*1000000</f>
        <v>0.252</v>
      </c>
    </row>
    <row r="117" spans="1:16" ht="16" x14ac:dyDescent="0.2">
      <c r="A117" s="59" t="s">
        <v>56</v>
      </c>
      <c r="B117" s="48">
        <v>3</v>
      </c>
      <c r="C117" s="53">
        <v>4</v>
      </c>
      <c r="D117" s="53" t="s">
        <v>125</v>
      </c>
      <c r="E117" s="54">
        <v>1.9</v>
      </c>
      <c r="F117" s="53">
        <v>130</v>
      </c>
      <c r="G117" s="53">
        <v>210</v>
      </c>
      <c r="H117" s="53">
        <v>500</v>
      </c>
      <c r="I117" s="53">
        <v>0.79800000000000004</v>
      </c>
      <c r="J117" s="53">
        <v>0</v>
      </c>
      <c r="K117" s="53" t="s">
        <v>125</v>
      </c>
      <c r="L117" s="53">
        <v>2.7</v>
      </c>
      <c r="M117" s="53">
        <v>130</v>
      </c>
      <c r="N117" s="53">
        <v>90</v>
      </c>
      <c r="O117" s="53">
        <v>1000</v>
      </c>
      <c r="P117" s="53">
        <f>L117/O117*N117/1000000*1000000</f>
        <v>0.24300000000000005</v>
      </c>
    </row>
    <row r="118" spans="1:16" ht="16" x14ac:dyDescent="0.2">
      <c r="A118" s="59" t="s">
        <v>56</v>
      </c>
      <c r="B118" s="48">
        <v>0</v>
      </c>
      <c r="C118" s="53">
        <v>4</v>
      </c>
      <c r="D118" s="53" t="s">
        <v>125</v>
      </c>
      <c r="E118" s="54">
        <v>1.9</v>
      </c>
      <c r="F118" s="53">
        <v>130</v>
      </c>
      <c r="G118" s="53">
        <v>210</v>
      </c>
      <c r="H118" s="53">
        <v>500</v>
      </c>
      <c r="I118" s="53">
        <v>0.79800000000000004</v>
      </c>
      <c r="J118" s="53">
        <v>0</v>
      </c>
      <c r="K118" s="53" t="s">
        <v>125</v>
      </c>
      <c r="L118" s="53">
        <v>2.7</v>
      </c>
      <c r="M118" s="53">
        <v>90</v>
      </c>
      <c r="N118" s="53">
        <v>130</v>
      </c>
      <c r="O118" s="53">
        <v>1000</v>
      </c>
      <c r="P118" s="53">
        <f>L118/O118*N118/1000000*1000000</f>
        <v>0.35100000000000003</v>
      </c>
    </row>
    <row r="119" spans="1:16" ht="16" x14ac:dyDescent="0.2">
      <c r="A119" s="59" t="s">
        <v>56</v>
      </c>
      <c r="B119" s="48">
        <v>11</v>
      </c>
      <c r="C119" s="53">
        <v>4</v>
      </c>
      <c r="D119" s="53" t="s">
        <v>125</v>
      </c>
      <c r="E119" s="54">
        <v>2</v>
      </c>
      <c r="F119" s="53">
        <v>130</v>
      </c>
      <c r="G119" s="53">
        <v>210</v>
      </c>
      <c r="H119" s="53">
        <v>500</v>
      </c>
      <c r="I119" s="53">
        <v>0.84</v>
      </c>
      <c r="J119" s="53">
        <v>0</v>
      </c>
      <c r="K119" s="53" t="s">
        <v>125</v>
      </c>
      <c r="L119" s="53">
        <v>2.8</v>
      </c>
      <c r="M119" s="53">
        <v>90</v>
      </c>
      <c r="N119" s="53">
        <v>130</v>
      </c>
      <c r="O119" s="53">
        <v>1000</v>
      </c>
      <c r="P119" s="53">
        <f>L119/O119*N119/1000000*1000000</f>
        <v>0.36399999999999999</v>
      </c>
    </row>
    <row r="120" spans="1:16" ht="16" x14ac:dyDescent="0.2">
      <c r="A120" s="59" t="s">
        <v>56</v>
      </c>
      <c r="B120" s="48">
        <v>24</v>
      </c>
      <c r="C120" s="53">
        <v>4</v>
      </c>
      <c r="D120" s="53" t="s">
        <v>125</v>
      </c>
      <c r="E120" s="54">
        <v>2</v>
      </c>
      <c r="F120" s="53">
        <v>130</v>
      </c>
      <c r="G120" s="53">
        <v>210</v>
      </c>
      <c r="H120" s="53">
        <v>500</v>
      </c>
      <c r="I120" s="53">
        <v>0.84</v>
      </c>
      <c r="J120" s="53">
        <v>0</v>
      </c>
      <c r="K120" s="53" t="s">
        <v>125</v>
      </c>
      <c r="L120" s="53">
        <v>3</v>
      </c>
      <c r="M120" s="53">
        <v>130</v>
      </c>
      <c r="N120" s="53">
        <v>90</v>
      </c>
      <c r="O120" s="53">
        <v>1000</v>
      </c>
      <c r="P120" s="53">
        <f>L120/O120*N120/1000000*1000000</f>
        <v>0.27</v>
      </c>
    </row>
    <row r="121" spans="1:16" ht="16" x14ac:dyDescent="0.2">
      <c r="A121" s="59" t="s">
        <v>56</v>
      </c>
      <c r="B121" s="48">
        <v>20</v>
      </c>
      <c r="C121" s="53">
        <v>4</v>
      </c>
      <c r="D121" s="53" t="s">
        <v>125</v>
      </c>
      <c r="E121" s="54">
        <v>2.9</v>
      </c>
      <c r="F121" s="53">
        <v>130</v>
      </c>
      <c r="G121" s="53">
        <v>210</v>
      </c>
      <c r="H121" s="53">
        <v>500</v>
      </c>
      <c r="I121" s="53">
        <v>1.218</v>
      </c>
      <c r="J121" s="53">
        <v>0</v>
      </c>
      <c r="K121" s="53" t="s">
        <v>125</v>
      </c>
      <c r="L121" s="53">
        <v>4</v>
      </c>
      <c r="M121" s="53">
        <v>90</v>
      </c>
      <c r="N121" s="53">
        <v>130</v>
      </c>
      <c r="O121" s="53">
        <v>1000</v>
      </c>
      <c r="P121" s="53">
        <f>L121/O121*N121/1000000*1000000</f>
        <v>0.52</v>
      </c>
    </row>
    <row r="122" spans="1:16" ht="16" x14ac:dyDescent="0.2">
      <c r="A122" s="59" t="s">
        <v>56</v>
      </c>
      <c r="B122" s="48">
        <v>9</v>
      </c>
      <c r="C122" s="53">
        <v>4</v>
      </c>
      <c r="D122" s="53" t="s">
        <v>125</v>
      </c>
      <c r="E122" s="54">
        <v>3.5</v>
      </c>
      <c r="F122" s="53"/>
      <c r="G122" s="53">
        <v>210</v>
      </c>
      <c r="H122" s="53">
        <v>500</v>
      </c>
      <c r="I122" s="53">
        <v>1.47</v>
      </c>
      <c r="J122" s="53">
        <v>0</v>
      </c>
      <c r="K122" s="53" t="s">
        <v>125</v>
      </c>
      <c r="L122" s="53">
        <v>4.5</v>
      </c>
      <c r="M122" s="53"/>
      <c r="N122" s="53">
        <v>130</v>
      </c>
      <c r="O122" s="53">
        <v>801</v>
      </c>
      <c r="P122" s="53">
        <f>L122/O122*N122/1000000*1000000</f>
        <v>0.7303370786516854</v>
      </c>
    </row>
    <row r="123" spans="1:16" ht="16" x14ac:dyDescent="0.2">
      <c r="A123" s="59" t="s">
        <v>57</v>
      </c>
      <c r="B123" s="48">
        <v>0</v>
      </c>
      <c r="C123" s="53">
        <v>4</v>
      </c>
      <c r="D123" s="53">
        <v>0</v>
      </c>
      <c r="E123" s="54">
        <v>2</v>
      </c>
      <c r="F123" s="53">
        <v>130</v>
      </c>
      <c r="G123" s="53">
        <v>90</v>
      </c>
      <c r="H123" s="53">
        <v>1500</v>
      </c>
      <c r="I123" s="53">
        <v>0.12</v>
      </c>
      <c r="J123" s="53">
        <v>3</v>
      </c>
      <c r="K123" s="53" t="s">
        <v>99</v>
      </c>
      <c r="L123" s="53">
        <v>6</v>
      </c>
      <c r="M123" s="53">
        <v>130</v>
      </c>
      <c r="N123" s="53">
        <v>90</v>
      </c>
      <c r="O123" s="53">
        <v>2742.408068902992</v>
      </c>
      <c r="P123" s="53">
        <f>L123/O123*N123/1000000*1000000</f>
        <v>0.19690723861383941</v>
      </c>
    </row>
    <row r="124" spans="1:16" ht="16" x14ac:dyDescent="0.2">
      <c r="A124" s="59" t="s">
        <v>57</v>
      </c>
      <c r="B124" s="48">
        <v>0</v>
      </c>
      <c r="C124" s="53">
        <v>4</v>
      </c>
      <c r="D124" s="53">
        <v>0</v>
      </c>
      <c r="E124" s="54">
        <v>2</v>
      </c>
      <c r="F124" s="53">
        <v>130</v>
      </c>
      <c r="G124" s="53">
        <v>90</v>
      </c>
      <c r="H124" s="53">
        <v>1500</v>
      </c>
      <c r="I124" s="53">
        <v>0.12</v>
      </c>
      <c r="J124" s="53">
        <v>3</v>
      </c>
      <c r="K124" s="53" t="s">
        <v>99</v>
      </c>
      <c r="L124" s="53">
        <v>2</v>
      </c>
      <c r="M124" s="53">
        <v>130</v>
      </c>
      <c r="N124" s="53">
        <v>90</v>
      </c>
      <c r="O124" s="53">
        <v>2742.408068902992</v>
      </c>
      <c r="P124" s="53">
        <f>L124/O124*N124/1000000*1000000</f>
        <v>6.5635746204613141E-2</v>
      </c>
    </row>
    <row r="125" spans="1:16" ht="16" x14ac:dyDescent="0.2">
      <c r="A125" s="59" t="s">
        <v>57</v>
      </c>
      <c r="B125" s="48">
        <v>0</v>
      </c>
      <c r="C125" s="53">
        <v>4</v>
      </c>
      <c r="D125" s="53">
        <v>0</v>
      </c>
      <c r="E125" s="54">
        <v>2</v>
      </c>
      <c r="F125" s="53">
        <v>130</v>
      </c>
      <c r="G125" s="53">
        <v>90</v>
      </c>
      <c r="H125" s="53">
        <v>1500</v>
      </c>
      <c r="I125" s="53">
        <v>0.12</v>
      </c>
      <c r="J125" s="53">
        <v>3</v>
      </c>
      <c r="K125" s="53" t="s">
        <v>125</v>
      </c>
      <c r="L125" s="53">
        <v>6</v>
      </c>
      <c r="M125" s="53">
        <v>130</v>
      </c>
      <c r="N125" s="53">
        <v>90</v>
      </c>
      <c r="O125" s="53">
        <v>2452.1293770358307</v>
      </c>
      <c r="P125" s="53">
        <f>L125/O125*N125/1000000*1000000</f>
        <v>0.22021676550066857</v>
      </c>
    </row>
    <row r="126" spans="1:16" ht="16" x14ac:dyDescent="0.2">
      <c r="A126" s="59" t="s">
        <v>57</v>
      </c>
      <c r="B126" s="48">
        <v>0</v>
      </c>
      <c r="C126" s="53">
        <v>4</v>
      </c>
      <c r="D126" s="53">
        <v>0</v>
      </c>
      <c r="E126" s="54">
        <v>2</v>
      </c>
      <c r="F126" s="53">
        <v>130</v>
      </c>
      <c r="G126" s="53">
        <v>90</v>
      </c>
      <c r="H126" s="53">
        <v>1500</v>
      </c>
      <c r="I126" s="53">
        <v>0.12</v>
      </c>
      <c r="J126" s="53">
        <v>3</v>
      </c>
      <c r="K126" s="53" t="s">
        <v>125</v>
      </c>
      <c r="L126" s="53">
        <v>2</v>
      </c>
      <c r="M126" s="53">
        <v>130</v>
      </c>
      <c r="N126" s="53">
        <v>90</v>
      </c>
      <c r="O126" s="53">
        <v>2452.1293770358307</v>
      </c>
      <c r="P126" s="53">
        <f>L126/O126*N126/1000000*1000000</f>
        <v>7.3405588500222857E-2</v>
      </c>
    </row>
    <row r="127" spans="1:16" ht="16" x14ac:dyDescent="0.2">
      <c r="A127" s="59" t="s">
        <v>57</v>
      </c>
      <c r="B127" s="48">
        <v>0</v>
      </c>
      <c r="C127" s="53">
        <v>4</v>
      </c>
      <c r="D127" s="53">
        <v>0</v>
      </c>
      <c r="E127" s="54">
        <v>2</v>
      </c>
      <c r="F127" s="53">
        <v>130</v>
      </c>
      <c r="G127" s="53">
        <v>90</v>
      </c>
      <c r="H127" s="53">
        <v>1500</v>
      </c>
      <c r="I127" s="53">
        <v>0.12</v>
      </c>
      <c r="J127" s="53">
        <v>4</v>
      </c>
      <c r="K127" s="53">
        <v>1</v>
      </c>
      <c r="L127" s="53">
        <v>2</v>
      </c>
      <c r="M127" s="53">
        <v>130</v>
      </c>
      <c r="N127" s="53">
        <v>90</v>
      </c>
      <c r="O127" s="53">
        <v>2270</v>
      </c>
      <c r="P127" s="53">
        <f>L127/O127*N127/1000000*1000000</f>
        <v>7.9295154185022032E-2</v>
      </c>
    </row>
    <row r="128" spans="1:16" ht="16" x14ac:dyDescent="0.2">
      <c r="A128" s="59" t="s">
        <v>57</v>
      </c>
      <c r="B128" s="48">
        <v>2</v>
      </c>
      <c r="C128" s="52" t="s">
        <v>87</v>
      </c>
      <c r="D128" s="52" t="s">
        <v>87</v>
      </c>
      <c r="E128" s="53" t="s">
        <v>87</v>
      </c>
      <c r="F128" s="52" t="s">
        <v>126</v>
      </c>
      <c r="G128" s="52" t="s">
        <v>87</v>
      </c>
      <c r="H128" s="52"/>
      <c r="I128" s="53">
        <v>0</v>
      </c>
      <c r="J128" s="53">
        <v>4</v>
      </c>
      <c r="K128" s="53">
        <v>1</v>
      </c>
      <c r="L128" s="53">
        <v>2</v>
      </c>
      <c r="M128" s="53">
        <v>130</v>
      </c>
      <c r="N128" s="53">
        <v>90</v>
      </c>
      <c r="O128" s="53">
        <v>1093</v>
      </c>
      <c r="P128" s="53">
        <f>L128/O128*N128/1000000*1000000</f>
        <v>0.16468435498627632</v>
      </c>
    </row>
    <row r="129" spans="1:18" ht="16" x14ac:dyDescent="0.2">
      <c r="A129" s="59" t="s">
        <v>57</v>
      </c>
      <c r="B129" s="48">
        <v>3</v>
      </c>
      <c r="C129" s="52" t="s">
        <v>87</v>
      </c>
      <c r="D129" s="52" t="s">
        <v>87</v>
      </c>
      <c r="E129" s="53" t="s">
        <v>87</v>
      </c>
      <c r="F129" s="52"/>
      <c r="G129" s="52" t="s">
        <v>87</v>
      </c>
      <c r="H129" s="52"/>
      <c r="I129" s="53">
        <v>0</v>
      </c>
      <c r="J129" s="53">
        <v>4</v>
      </c>
      <c r="K129" s="53">
        <v>1</v>
      </c>
      <c r="L129" s="53">
        <v>2.2000000000000002</v>
      </c>
      <c r="M129" s="53"/>
      <c r="N129" s="53">
        <v>90</v>
      </c>
      <c r="O129" s="53">
        <v>1093</v>
      </c>
      <c r="P129" s="53">
        <f>L129/O129*N129/1000000*1000000</f>
        <v>0.18115279048490393</v>
      </c>
    </row>
    <row r="130" spans="1:18" ht="16" x14ac:dyDescent="0.2">
      <c r="A130" s="59" t="s">
        <v>57</v>
      </c>
      <c r="B130" s="48">
        <v>8</v>
      </c>
      <c r="C130" s="53">
        <v>4</v>
      </c>
      <c r="D130" s="53">
        <v>2</v>
      </c>
      <c r="E130" s="54">
        <v>2</v>
      </c>
      <c r="F130" s="53"/>
      <c r="G130" s="53">
        <v>90</v>
      </c>
      <c r="H130" s="53" t="s">
        <v>79</v>
      </c>
      <c r="I130" s="53">
        <v>0.36</v>
      </c>
      <c r="J130" s="53">
        <v>4</v>
      </c>
      <c r="K130" s="53">
        <v>1</v>
      </c>
      <c r="L130" s="53">
        <v>4</v>
      </c>
      <c r="M130" s="53"/>
      <c r="N130" s="53">
        <v>90</v>
      </c>
      <c r="O130" s="53">
        <v>1000</v>
      </c>
      <c r="P130" s="53">
        <f>L130/O130*N130/1000000*1000000</f>
        <v>0.36</v>
      </c>
    </row>
    <row r="131" spans="1:18" ht="16" x14ac:dyDescent="0.2">
      <c r="A131" s="59" t="s">
        <v>57</v>
      </c>
      <c r="B131" s="48">
        <v>0</v>
      </c>
      <c r="C131" s="53">
        <v>4</v>
      </c>
      <c r="D131" s="53">
        <v>1</v>
      </c>
      <c r="E131" s="54">
        <v>2</v>
      </c>
      <c r="F131" s="53"/>
      <c r="G131" s="53">
        <v>90</v>
      </c>
      <c r="H131" s="53">
        <v>500</v>
      </c>
      <c r="I131" s="53">
        <v>0.36</v>
      </c>
      <c r="J131" s="53">
        <v>4</v>
      </c>
      <c r="K131" s="53">
        <v>2</v>
      </c>
      <c r="L131" s="53">
        <v>4</v>
      </c>
      <c r="M131" s="53"/>
      <c r="N131" s="53">
        <v>90</v>
      </c>
      <c r="O131" s="53">
        <v>768</v>
      </c>
      <c r="P131" s="53">
        <f>L131/O131*N131/1000000*1000000</f>
        <v>0.46875</v>
      </c>
    </row>
    <row r="132" spans="1:18" ht="16" x14ac:dyDescent="0.2">
      <c r="A132" s="59" t="s">
        <v>57</v>
      </c>
      <c r="B132" s="48">
        <v>8</v>
      </c>
      <c r="C132" s="53">
        <v>4</v>
      </c>
      <c r="D132" s="53">
        <v>2</v>
      </c>
      <c r="E132" s="54" t="e">
        <f>3/1000*#REF!</f>
        <v>#REF!</v>
      </c>
      <c r="F132" s="53"/>
      <c r="G132" s="53">
        <v>90</v>
      </c>
      <c r="H132" s="53">
        <v>500</v>
      </c>
      <c r="I132" s="53">
        <v>0.48491999999999991</v>
      </c>
      <c r="J132" s="53">
        <v>4</v>
      </c>
      <c r="K132" s="53">
        <v>1</v>
      </c>
      <c r="L132" s="53" t="e">
        <f>5.5/1000*#REF!</f>
        <v>#REF!</v>
      </c>
      <c r="M132" s="53"/>
      <c r="N132" s="53">
        <v>90</v>
      </c>
      <c r="O132" s="53">
        <v>801</v>
      </c>
      <c r="P132" s="53" t="e">
        <f>L132/O132*N132/1000000*1000000</f>
        <v>#REF!</v>
      </c>
    </row>
    <row r="133" spans="1:18" ht="16" x14ac:dyDescent="0.2">
      <c r="A133" s="59" t="s">
        <v>57</v>
      </c>
      <c r="B133" s="48">
        <v>6</v>
      </c>
      <c r="C133" s="53">
        <v>4</v>
      </c>
      <c r="D133" s="53">
        <v>2</v>
      </c>
      <c r="E133" s="54" t="e">
        <f>3/1000*#REF!</f>
        <v>#REF!</v>
      </c>
      <c r="F133" s="53"/>
      <c r="G133" s="53">
        <v>90</v>
      </c>
      <c r="H133" s="53">
        <v>1000</v>
      </c>
      <c r="I133" s="53">
        <v>0.24245999999999995</v>
      </c>
      <c r="J133" s="53">
        <v>4</v>
      </c>
      <c r="K133" s="53">
        <v>1</v>
      </c>
      <c r="L133" s="53" t="e">
        <f>5.5/1000*#REF!</f>
        <v>#REF!</v>
      </c>
      <c r="M133" s="53"/>
      <c r="N133" s="53">
        <v>90</v>
      </c>
      <c r="O133" s="53">
        <v>801</v>
      </c>
      <c r="P133" s="53" t="e">
        <f>L133/O133*N133/1000000*1000000</f>
        <v>#REF!</v>
      </c>
    </row>
    <row r="134" spans="1:18" ht="16" x14ac:dyDescent="0.2">
      <c r="A134" s="59" t="s">
        <v>57</v>
      </c>
      <c r="B134" s="48">
        <v>15</v>
      </c>
      <c r="C134" s="53">
        <v>4</v>
      </c>
      <c r="D134" s="53">
        <v>2</v>
      </c>
      <c r="E134" s="54" t="e">
        <f>3/1000*#REF!</f>
        <v>#REF!</v>
      </c>
      <c r="F134" s="53"/>
      <c r="G134" s="53">
        <v>90</v>
      </c>
      <c r="H134" s="53">
        <v>1000</v>
      </c>
      <c r="I134" s="53">
        <v>0.18279000000000004</v>
      </c>
      <c r="J134" s="53">
        <v>4</v>
      </c>
      <c r="K134" s="53">
        <v>1</v>
      </c>
      <c r="L134" s="53" t="e">
        <f>5.5/1000*#REF!</f>
        <v>#REF!</v>
      </c>
      <c r="M134" s="53"/>
      <c r="N134" s="53">
        <v>90</v>
      </c>
      <c r="O134" s="53">
        <v>689</v>
      </c>
      <c r="P134" s="53" t="e">
        <f>L134/O134*N134/1000000*1000000</f>
        <v>#REF!</v>
      </c>
    </row>
    <row r="135" spans="1:18" ht="16" x14ac:dyDescent="0.2">
      <c r="A135" s="59" t="s">
        <v>57</v>
      </c>
      <c r="B135" s="48">
        <v>30</v>
      </c>
      <c r="C135" s="53">
        <v>4</v>
      </c>
      <c r="D135" s="53">
        <v>2</v>
      </c>
      <c r="E135" s="54" t="e">
        <f>3/1000*#REF!</f>
        <v>#REF!</v>
      </c>
      <c r="F135" s="53"/>
      <c r="G135" s="53">
        <v>90</v>
      </c>
      <c r="H135" s="53">
        <v>1000</v>
      </c>
      <c r="I135" s="53">
        <v>0.18279000000000004</v>
      </c>
      <c r="J135" s="53">
        <v>4</v>
      </c>
      <c r="K135" s="53">
        <v>1</v>
      </c>
      <c r="L135" s="53" t="e">
        <f>5.5/1000*#REF!</f>
        <v>#REF!</v>
      </c>
      <c r="M135" s="53"/>
      <c r="N135" s="53">
        <v>90</v>
      </c>
      <c r="O135" s="53">
        <v>689</v>
      </c>
      <c r="P135" s="53" t="e">
        <f>L135/O135*N135/1000000*1000000</f>
        <v>#REF!</v>
      </c>
    </row>
    <row r="136" spans="1:18" ht="16" x14ac:dyDescent="0.2">
      <c r="A136" s="59" t="s">
        <v>57</v>
      </c>
      <c r="B136" s="48">
        <v>13</v>
      </c>
      <c r="C136" s="53">
        <v>4</v>
      </c>
      <c r="D136" s="53">
        <v>2</v>
      </c>
      <c r="E136" s="54" t="e">
        <f>3/1000*#REF!</f>
        <v>#REF!</v>
      </c>
      <c r="F136" s="53"/>
      <c r="G136" s="53">
        <v>90</v>
      </c>
      <c r="H136" s="53">
        <v>1000</v>
      </c>
      <c r="I136" s="53">
        <v>0.18279000000000004</v>
      </c>
      <c r="J136" s="53">
        <v>4</v>
      </c>
      <c r="K136" s="53">
        <v>1</v>
      </c>
      <c r="L136" s="53" t="e">
        <f>5.5/1000*#REF!</f>
        <v>#REF!</v>
      </c>
      <c r="M136" s="53"/>
      <c r="N136" s="53">
        <v>90</v>
      </c>
      <c r="O136" s="53">
        <v>689</v>
      </c>
      <c r="P136" s="53" t="e">
        <f>L136/O136*N136/1000000*1000000</f>
        <v>#REF!</v>
      </c>
    </row>
    <row r="137" spans="1:18" ht="16" x14ac:dyDescent="0.2">
      <c r="A137" s="59" t="s">
        <v>57</v>
      </c>
      <c r="B137" s="48">
        <v>13</v>
      </c>
      <c r="C137" s="53">
        <v>4</v>
      </c>
      <c r="D137" s="53">
        <v>2</v>
      </c>
      <c r="E137" s="54" t="e">
        <f>3/1000*#REF!</f>
        <v>#REF!</v>
      </c>
      <c r="F137" s="53"/>
      <c r="G137" s="53">
        <v>90</v>
      </c>
      <c r="H137" s="53">
        <v>1000</v>
      </c>
      <c r="I137" s="53">
        <v>0.18279000000000004</v>
      </c>
      <c r="J137" s="53">
        <v>4</v>
      </c>
      <c r="K137" s="53">
        <v>1</v>
      </c>
      <c r="L137" s="53" t="e">
        <f>5.5/1000*#REF!</f>
        <v>#REF!</v>
      </c>
      <c r="M137" s="53"/>
      <c r="N137" s="53">
        <v>90</v>
      </c>
      <c r="O137" s="53">
        <v>689</v>
      </c>
      <c r="P137" s="53" t="e">
        <f>L137/O137*N137/1000000*1000000</f>
        <v>#REF!</v>
      </c>
    </row>
    <row r="138" spans="1:18" ht="16" x14ac:dyDescent="0.2">
      <c r="A138" s="59" t="s">
        <v>57</v>
      </c>
      <c r="B138" s="48">
        <v>13</v>
      </c>
      <c r="C138" s="53">
        <v>4</v>
      </c>
      <c r="D138" s="53">
        <v>2</v>
      </c>
      <c r="E138" s="54" t="e">
        <f>3/1000*#REF!</f>
        <v>#REF!</v>
      </c>
      <c r="F138" s="53"/>
      <c r="G138" s="53">
        <v>90</v>
      </c>
      <c r="H138" s="53">
        <v>1000</v>
      </c>
      <c r="I138" s="53">
        <v>0.18279000000000004</v>
      </c>
      <c r="J138" s="53">
        <v>4</v>
      </c>
      <c r="K138" s="53">
        <v>1</v>
      </c>
      <c r="L138" s="53" t="e">
        <f>5.5/1000*#REF!</f>
        <v>#REF!</v>
      </c>
      <c r="M138" s="53"/>
      <c r="N138" s="53">
        <v>90</v>
      </c>
      <c r="O138" s="53">
        <v>689</v>
      </c>
      <c r="P138" s="53" t="e">
        <f>L138/O138*N138/1000000*1000000</f>
        <v>#REF!</v>
      </c>
    </row>
    <row r="139" spans="1:18" ht="16" x14ac:dyDescent="0.2">
      <c r="A139" s="48" t="s">
        <v>58</v>
      </c>
      <c r="B139" s="48">
        <v>-24</v>
      </c>
      <c r="C139" s="53">
        <v>4</v>
      </c>
      <c r="D139" s="53">
        <v>0</v>
      </c>
      <c r="E139" s="54">
        <v>6</v>
      </c>
      <c r="F139" s="53">
        <v>130</v>
      </c>
      <c r="G139" s="53">
        <v>90</v>
      </c>
      <c r="H139" s="53" t="s">
        <v>104</v>
      </c>
      <c r="I139" s="53">
        <v>0.54</v>
      </c>
      <c r="J139" s="53">
        <v>4</v>
      </c>
      <c r="K139" s="53">
        <v>0</v>
      </c>
      <c r="L139" s="53">
        <v>4.4000000000000004</v>
      </c>
      <c r="M139" s="53">
        <v>130</v>
      </c>
      <c r="N139" s="53">
        <v>60</v>
      </c>
      <c r="O139" s="53">
        <v>1054</v>
      </c>
      <c r="P139" s="53">
        <f>L139/O139*N139/1000000*1000000</f>
        <v>0.25047438330170779</v>
      </c>
      <c r="Q139" s="10">
        <v>25</v>
      </c>
      <c r="R139" s="10">
        <v>33</v>
      </c>
    </row>
    <row r="140" spans="1:18" ht="16" x14ac:dyDescent="0.2">
      <c r="A140" s="48" t="s">
        <v>58</v>
      </c>
      <c r="B140" s="48">
        <v>11</v>
      </c>
      <c r="C140" s="53">
        <v>4</v>
      </c>
      <c r="D140" s="53">
        <v>0</v>
      </c>
      <c r="E140" s="54">
        <v>5.3</v>
      </c>
      <c r="F140" s="53">
        <v>130</v>
      </c>
      <c r="G140" s="53">
        <v>90</v>
      </c>
      <c r="H140" s="53" t="s">
        <v>104</v>
      </c>
      <c r="I140" s="53">
        <v>0.47699999999999992</v>
      </c>
      <c r="J140" s="53">
        <v>4</v>
      </c>
      <c r="K140" s="53">
        <v>0</v>
      </c>
      <c r="L140" s="53">
        <v>4.38</v>
      </c>
      <c r="M140" s="53">
        <v>130</v>
      </c>
      <c r="N140" s="53">
        <v>60</v>
      </c>
      <c r="O140" s="53">
        <v>1000</v>
      </c>
      <c r="P140" s="53">
        <f>L140/O140*N140/1000000*1000000</f>
        <v>0.26280000000000003</v>
      </c>
      <c r="Q140" s="10">
        <v>21</v>
      </c>
      <c r="R140" s="10">
        <v>18</v>
      </c>
    </row>
    <row r="141" spans="1:18" ht="16" x14ac:dyDescent="0.2">
      <c r="A141" s="48" t="s">
        <v>58</v>
      </c>
      <c r="B141" s="48">
        <v>35</v>
      </c>
      <c r="C141" s="53">
        <v>4</v>
      </c>
      <c r="D141" s="53">
        <v>0</v>
      </c>
      <c r="E141" s="53">
        <v>6.9</v>
      </c>
      <c r="F141" s="53">
        <v>130</v>
      </c>
      <c r="G141" s="53">
        <v>90</v>
      </c>
      <c r="H141" s="53" t="s">
        <v>104</v>
      </c>
      <c r="I141" s="53">
        <v>0.62100000000000011</v>
      </c>
      <c r="J141" s="53">
        <v>4</v>
      </c>
      <c r="K141" s="53" t="s">
        <v>99</v>
      </c>
      <c r="L141" s="53">
        <f>2.5</f>
        <v>2.5</v>
      </c>
      <c r="M141" s="53">
        <v>130</v>
      </c>
      <c r="N141" s="53">
        <v>90</v>
      </c>
      <c r="O141" s="53">
        <v>1000</v>
      </c>
      <c r="P141" s="53">
        <f>L141/O141*N141/1000000*1000000</f>
        <v>0.22500000000000001</v>
      </c>
      <c r="Q141" s="47" t="s">
        <v>127</v>
      </c>
      <c r="R141" s="47" t="s">
        <v>127</v>
      </c>
    </row>
    <row r="142" spans="1:18" ht="16" x14ac:dyDescent="0.2">
      <c r="A142" s="48" t="s">
        <v>58</v>
      </c>
      <c r="B142" s="48">
        <v>17</v>
      </c>
      <c r="C142" s="53">
        <v>4</v>
      </c>
      <c r="D142" s="53">
        <v>0</v>
      </c>
      <c r="E142" s="53" t="e">
        <f>0.434*#REF!/100</f>
        <v>#REF!</v>
      </c>
      <c r="F142" s="53">
        <v>135</v>
      </c>
      <c r="G142" s="53">
        <v>90</v>
      </c>
      <c r="H142" s="53" t="s">
        <v>104</v>
      </c>
      <c r="I142" s="53">
        <v>0.30857400000000001</v>
      </c>
      <c r="J142" s="53">
        <v>4</v>
      </c>
      <c r="K142" s="53">
        <v>2</v>
      </c>
      <c r="L142" s="53" t="e">
        <f>0.414*#REF!/100</f>
        <v>#REF!</v>
      </c>
      <c r="M142" s="53">
        <v>135</v>
      </c>
      <c r="N142" s="53">
        <v>90</v>
      </c>
      <c r="O142" s="53">
        <v>735</v>
      </c>
      <c r="P142" s="53" t="e">
        <f>L142/O142*N142/1000000*1000000</f>
        <v>#REF!</v>
      </c>
      <c r="Q142" s="10">
        <v>23</v>
      </c>
      <c r="R142" s="10">
        <v>32</v>
      </c>
    </row>
    <row r="143" spans="1:18" ht="16" x14ac:dyDescent="0.2">
      <c r="A143" s="48" t="s">
        <v>58</v>
      </c>
      <c r="B143" s="48">
        <v>2</v>
      </c>
      <c r="C143" s="53">
        <v>4</v>
      </c>
      <c r="D143" s="53">
        <v>0</v>
      </c>
      <c r="E143" s="53">
        <v>1</v>
      </c>
      <c r="F143" s="53">
        <v>135</v>
      </c>
      <c r="G143" s="53">
        <v>150</v>
      </c>
      <c r="H143" s="53" t="s">
        <v>104</v>
      </c>
      <c r="I143" s="53">
        <v>0.15</v>
      </c>
      <c r="J143" s="53">
        <v>4</v>
      </c>
      <c r="K143" s="53">
        <v>2</v>
      </c>
      <c r="L143" s="53">
        <v>2</v>
      </c>
      <c r="M143" s="53">
        <v>135</v>
      </c>
      <c r="N143" s="53">
        <v>90</v>
      </c>
      <c r="O143" s="53">
        <v>706</v>
      </c>
      <c r="P143" s="53">
        <f>L143/O143*N143/1000000*1000000</f>
        <v>0.25495750708215298</v>
      </c>
      <c r="Q143" s="10">
        <v>24</v>
      </c>
      <c r="R143" s="10">
        <v>33</v>
      </c>
    </row>
    <row r="144" spans="1:18" ht="16" x14ac:dyDescent="0.2">
      <c r="A144" s="48" t="s">
        <v>58</v>
      </c>
      <c r="B144" s="48">
        <v>2</v>
      </c>
      <c r="C144" s="53">
        <v>4</v>
      </c>
      <c r="D144" s="53">
        <v>0</v>
      </c>
      <c r="E144" s="53">
        <v>1.5</v>
      </c>
      <c r="F144" s="53">
        <v>135</v>
      </c>
      <c r="G144" s="53">
        <v>150</v>
      </c>
      <c r="H144" s="53" t="s">
        <v>104</v>
      </c>
      <c r="I144" s="53">
        <v>0.22500000000000001</v>
      </c>
      <c r="J144" s="53">
        <v>4</v>
      </c>
      <c r="K144" s="53">
        <v>2</v>
      </c>
      <c r="L144" s="53">
        <v>2.5</v>
      </c>
      <c r="M144" s="53">
        <v>135</v>
      </c>
      <c r="N144" s="53">
        <v>90</v>
      </c>
      <c r="O144" s="53">
        <v>723</v>
      </c>
      <c r="P144" s="53">
        <f>L144/O144*N144/1000000*1000000</f>
        <v>0.31120331950207469</v>
      </c>
      <c r="Q144" s="10">
        <v>26</v>
      </c>
      <c r="R144" s="10">
        <v>28</v>
      </c>
    </row>
    <row r="145" spans="1:18" ht="16" x14ac:dyDescent="0.2">
      <c r="A145" s="48" t="s">
        <v>58</v>
      </c>
      <c r="B145" s="48">
        <v>2</v>
      </c>
      <c r="C145" s="53">
        <v>4</v>
      </c>
      <c r="D145" s="53">
        <v>0</v>
      </c>
      <c r="E145" s="53">
        <v>2</v>
      </c>
      <c r="F145" s="53">
        <v>135</v>
      </c>
      <c r="G145" s="53">
        <v>150</v>
      </c>
      <c r="H145" s="53">
        <v>500</v>
      </c>
      <c r="I145" s="53">
        <v>0.6</v>
      </c>
      <c r="J145" s="53">
        <v>4</v>
      </c>
      <c r="K145" s="53">
        <v>2</v>
      </c>
      <c r="L145" s="53">
        <v>3</v>
      </c>
      <c r="M145" s="53">
        <v>135</v>
      </c>
      <c r="N145" s="53">
        <v>90</v>
      </c>
      <c r="O145" s="53">
        <v>500</v>
      </c>
      <c r="P145" s="53">
        <f>L145/O145*N145/1000000*1000000</f>
        <v>0.54</v>
      </c>
      <c r="Q145" s="10">
        <v>25</v>
      </c>
      <c r="R145" s="10">
        <v>27</v>
      </c>
    </row>
    <row r="146" spans="1:18" ht="16" x14ac:dyDescent="0.2">
      <c r="A146" s="48" t="s">
        <v>58</v>
      </c>
      <c r="B146" s="48">
        <v>2</v>
      </c>
      <c r="C146" s="53">
        <v>4</v>
      </c>
      <c r="D146" s="53">
        <v>0</v>
      </c>
      <c r="E146" s="53">
        <v>2.5</v>
      </c>
      <c r="F146" s="53">
        <v>135</v>
      </c>
      <c r="G146" s="53">
        <v>150</v>
      </c>
      <c r="H146" s="53">
        <v>500</v>
      </c>
      <c r="I146" s="53">
        <v>0.75</v>
      </c>
      <c r="J146" s="53">
        <v>4</v>
      </c>
      <c r="K146" s="53">
        <v>2</v>
      </c>
      <c r="L146" s="53">
        <v>4</v>
      </c>
      <c r="M146" s="53">
        <v>135</v>
      </c>
      <c r="N146" s="53">
        <v>90</v>
      </c>
      <c r="O146" s="53">
        <v>500</v>
      </c>
      <c r="P146" s="53">
        <f>L146/O146*N146/1000000*1000000</f>
        <v>0.72</v>
      </c>
      <c r="Q146" s="10">
        <v>26</v>
      </c>
      <c r="R146" s="10">
        <v>25</v>
      </c>
    </row>
    <row r="147" spans="1:18" ht="16" x14ac:dyDescent="0.2">
      <c r="A147" s="48" t="s">
        <v>58</v>
      </c>
      <c r="B147" s="48">
        <v>2</v>
      </c>
      <c r="C147" s="53">
        <v>4</v>
      </c>
      <c r="D147" s="53">
        <v>0</v>
      </c>
      <c r="E147" s="53">
        <v>2.5</v>
      </c>
      <c r="F147" s="53">
        <v>135</v>
      </c>
      <c r="G147" s="53">
        <v>150</v>
      </c>
      <c r="H147" s="53">
        <v>500</v>
      </c>
      <c r="I147" s="53">
        <v>0.75</v>
      </c>
      <c r="J147" s="53">
        <v>4</v>
      </c>
      <c r="K147" s="53">
        <v>2</v>
      </c>
      <c r="L147" s="53">
        <v>4</v>
      </c>
      <c r="M147" s="53">
        <v>135</v>
      </c>
      <c r="N147" s="53">
        <v>90</v>
      </c>
      <c r="O147" s="53">
        <v>500</v>
      </c>
      <c r="P147" s="53">
        <f>L147/O147*N147/1000000*1000000</f>
        <v>0.72</v>
      </c>
      <c r="Q147" s="10">
        <v>23</v>
      </c>
      <c r="R147" s="10">
        <v>21</v>
      </c>
    </row>
    <row r="148" spans="1:18" ht="16" x14ac:dyDescent="0.2">
      <c r="A148" s="48" t="s">
        <v>58</v>
      </c>
      <c r="B148" s="48">
        <v>2</v>
      </c>
      <c r="C148" s="53">
        <v>4</v>
      </c>
      <c r="D148" s="53">
        <v>0</v>
      </c>
      <c r="E148" s="53">
        <v>2.5</v>
      </c>
      <c r="F148" s="53">
        <v>135</v>
      </c>
      <c r="G148" s="53">
        <v>150</v>
      </c>
      <c r="H148" s="53">
        <v>500</v>
      </c>
      <c r="I148" s="53">
        <v>0.75</v>
      </c>
      <c r="J148" s="53">
        <v>4</v>
      </c>
      <c r="K148" s="53">
        <v>2</v>
      </c>
      <c r="L148" s="53">
        <v>4</v>
      </c>
      <c r="M148" s="53">
        <v>135</v>
      </c>
      <c r="N148" s="53">
        <v>90</v>
      </c>
      <c r="O148" s="53">
        <v>500</v>
      </c>
      <c r="P148" s="53">
        <f>L148/O148*N148/1000000*1000000</f>
        <v>0.72</v>
      </c>
      <c r="Q148" s="10">
        <v>22</v>
      </c>
      <c r="R148" s="10">
        <v>30</v>
      </c>
    </row>
    <row r="149" spans="1:18" ht="16" x14ac:dyDescent="0.2">
      <c r="A149" s="48" t="s">
        <v>58</v>
      </c>
      <c r="B149" s="48">
        <v>2</v>
      </c>
      <c r="C149" s="53">
        <v>4</v>
      </c>
      <c r="D149" s="53">
        <v>0</v>
      </c>
      <c r="E149" s="53">
        <v>2.5</v>
      </c>
      <c r="F149" s="53">
        <v>135</v>
      </c>
      <c r="G149" s="53">
        <v>150</v>
      </c>
      <c r="H149" s="53">
        <v>500</v>
      </c>
      <c r="I149" s="53">
        <v>0.75</v>
      </c>
      <c r="J149" s="53">
        <v>4</v>
      </c>
      <c r="K149" s="53">
        <v>2</v>
      </c>
      <c r="L149" s="53">
        <v>4</v>
      </c>
      <c r="M149" s="53">
        <v>135</v>
      </c>
      <c r="N149" s="53">
        <v>90</v>
      </c>
      <c r="O149" s="53">
        <v>668</v>
      </c>
      <c r="P149" s="53">
        <f>L149/O149*N149/1000000*1000000</f>
        <v>0.53892215568862278</v>
      </c>
      <c r="Q149" s="10">
        <v>23</v>
      </c>
      <c r="R149" s="10">
        <v>23</v>
      </c>
    </row>
    <row r="150" spans="1:18" ht="16" x14ac:dyDescent="0.2">
      <c r="A150" s="48" t="s">
        <v>58</v>
      </c>
      <c r="B150" s="48">
        <v>7</v>
      </c>
      <c r="C150" s="53">
        <v>4</v>
      </c>
      <c r="D150" s="53">
        <v>0</v>
      </c>
      <c r="E150" s="53">
        <v>2.5</v>
      </c>
      <c r="F150" s="53">
        <v>135</v>
      </c>
      <c r="G150" s="53">
        <v>150</v>
      </c>
      <c r="H150" s="53">
        <v>500</v>
      </c>
      <c r="I150" s="53">
        <v>0.75</v>
      </c>
      <c r="J150" s="53">
        <v>4</v>
      </c>
      <c r="K150" s="53">
        <v>2</v>
      </c>
      <c r="L150" s="53">
        <v>4</v>
      </c>
      <c r="M150" s="53">
        <v>135</v>
      </c>
      <c r="N150" s="53">
        <v>90</v>
      </c>
      <c r="O150" s="53">
        <v>686</v>
      </c>
      <c r="P150" s="53">
        <f>L150/O150*N150/1000000*1000000</f>
        <v>0.52478134110787167</v>
      </c>
      <c r="Q150" s="10">
        <v>25</v>
      </c>
      <c r="R150" s="10">
        <v>28</v>
      </c>
    </row>
    <row r="151" spans="1:18" ht="16" x14ac:dyDescent="0.2">
      <c r="A151" s="48" t="s">
        <v>58</v>
      </c>
      <c r="B151" s="48">
        <v>2</v>
      </c>
      <c r="C151" s="53">
        <v>4</v>
      </c>
      <c r="D151" s="53">
        <v>0</v>
      </c>
      <c r="E151" s="53">
        <v>2.5</v>
      </c>
      <c r="F151" s="53">
        <v>135</v>
      </c>
      <c r="G151" s="53">
        <v>150</v>
      </c>
      <c r="H151" s="53">
        <v>500</v>
      </c>
      <c r="I151" s="53">
        <v>0.75</v>
      </c>
      <c r="J151" s="53">
        <v>4</v>
      </c>
      <c r="K151" s="53">
        <v>2</v>
      </c>
      <c r="L151" s="53">
        <v>4.5</v>
      </c>
      <c r="M151" s="53">
        <v>135</v>
      </c>
      <c r="N151" s="53">
        <v>90</v>
      </c>
      <c r="O151" s="53">
        <v>686</v>
      </c>
      <c r="P151" s="53">
        <f>L151/O151*N151/1000000*1000000</f>
        <v>0.59037900874635574</v>
      </c>
      <c r="Q151" s="10">
        <v>27</v>
      </c>
      <c r="R151" s="10">
        <v>25</v>
      </c>
    </row>
    <row r="152" spans="1:18" ht="16" x14ac:dyDescent="0.2">
      <c r="A152" s="48" t="s">
        <v>58</v>
      </c>
      <c r="B152" s="48">
        <v>2</v>
      </c>
      <c r="C152" s="53">
        <v>4</v>
      </c>
      <c r="D152" s="53">
        <v>0</v>
      </c>
      <c r="E152" s="53">
        <v>2.5</v>
      </c>
      <c r="F152" s="53">
        <v>135</v>
      </c>
      <c r="G152" s="53">
        <v>150</v>
      </c>
      <c r="H152" s="53">
        <v>500</v>
      </c>
      <c r="I152" s="53">
        <v>0.75</v>
      </c>
      <c r="J152" s="53">
        <v>4</v>
      </c>
      <c r="K152" s="53">
        <v>2</v>
      </c>
      <c r="L152" s="53">
        <v>4.5</v>
      </c>
      <c r="M152" s="53">
        <v>135</v>
      </c>
      <c r="N152" s="53">
        <v>90</v>
      </c>
      <c r="O152" s="53">
        <v>686</v>
      </c>
      <c r="P152" s="53">
        <f>L152/O152*N152/1000000*1000000</f>
        <v>0.59037900874635574</v>
      </c>
      <c r="Q152" s="10">
        <v>30</v>
      </c>
      <c r="R152" s="10">
        <v>26</v>
      </c>
    </row>
    <row r="153" spans="1:18" ht="16" x14ac:dyDescent="0.2">
      <c r="A153" s="48" t="s">
        <v>58</v>
      </c>
      <c r="B153" s="48">
        <v>2</v>
      </c>
      <c r="C153" s="53">
        <v>4</v>
      </c>
      <c r="D153" s="53">
        <v>0</v>
      </c>
      <c r="E153" s="53">
        <v>2.5</v>
      </c>
      <c r="F153" s="53">
        <v>135</v>
      </c>
      <c r="G153" s="53">
        <v>150</v>
      </c>
      <c r="H153" s="53">
        <v>500</v>
      </c>
      <c r="I153" s="53">
        <v>0.75</v>
      </c>
      <c r="J153" s="53">
        <v>4</v>
      </c>
      <c r="K153" s="53">
        <v>2</v>
      </c>
      <c r="L153" s="53">
        <v>4.5</v>
      </c>
      <c r="M153" s="53">
        <v>135</v>
      </c>
      <c r="N153" s="53">
        <v>90</v>
      </c>
      <c r="O153" s="53">
        <v>500</v>
      </c>
      <c r="P153" s="53">
        <f>L153/O153*N153/1000000*1000000</f>
        <v>0.80999999999999994</v>
      </c>
      <c r="Q153" s="10">
        <v>26</v>
      </c>
      <c r="R153" s="10">
        <v>24</v>
      </c>
    </row>
    <row r="154" spans="1:18" ht="16" x14ac:dyDescent="0.2">
      <c r="A154" s="48" t="s">
        <v>58</v>
      </c>
      <c r="B154" s="48">
        <v>3</v>
      </c>
      <c r="C154" s="53">
        <v>4</v>
      </c>
      <c r="D154" s="53">
        <v>0</v>
      </c>
      <c r="E154" s="53">
        <v>2.5</v>
      </c>
      <c r="F154" s="53">
        <v>135</v>
      </c>
      <c r="G154" s="53">
        <v>150</v>
      </c>
      <c r="H154" s="53">
        <v>500</v>
      </c>
      <c r="I154" s="53">
        <v>0.75</v>
      </c>
      <c r="J154" s="53">
        <v>4</v>
      </c>
      <c r="K154" s="53">
        <v>2</v>
      </c>
      <c r="L154" s="53">
        <v>4.5</v>
      </c>
      <c r="M154" s="53">
        <v>135</v>
      </c>
      <c r="N154" s="53">
        <v>90</v>
      </c>
      <c r="O154" s="53">
        <v>500</v>
      </c>
      <c r="P154" s="53">
        <f>L154/O154*N154/1000000*1000000</f>
        <v>0.80999999999999994</v>
      </c>
      <c r="Q154" s="10">
        <v>25</v>
      </c>
      <c r="R154" s="10">
        <v>24</v>
      </c>
    </row>
    <row r="155" spans="1:18" ht="16" x14ac:dyDescent="0.2">
      <c r="A155" s="48" t="s">
        <v>58</v>
      </c>
      <c r="B155" s="48">
        <v>3</v>
      </c>
      <c r="C155" s="53">
        <v>4</v>
      </c>
      <c r="D155" s="53">
        <v>0</v>
      </c>
      <c r="E155" s="53">
        <v>2.5</v>
      </c>
      <c r="F155" s="53">
        <v>135</v>
      </c>
      <c r="G155" s="53">
        <v>150</v>
      </c>
      <c r="H155" s="53">
        <v>500</v>
      </c>
      <c r="I155" s="53">
        <v>0.75</v>
      </c>
      <c r="J155" s="53">
        <v>4</v>
      </c>
      <c r="K155" s="53">
        <v>2</v>
      </c>
      <c r="L155" s="53">
        <v>4.5</v>
      </c>
      <c r="M155" s="53">
        <v>135</v>
      </c>
      <c r="N155" s="53">
        <v>90</v>
      </c>
      <c r="O155" s="53">
        <v>500</v>
      </c>
      <c r="P155" s="53">
        <f>L155/O155*N155/1000000*1000000</f>
        <v>0.80999999999999994</v>
      </c>
      <c r="Q155" s="10">
        <v>24</v>
      </c>
      <c r="R155" s="10">
        <v>25</v>
      </c>
    </row>
    <row r="156" spans="1:18" ht="16" x14ac:dyDescent="0.2">
      <c r="A156" s="48" t="s">
        <v>58</v>
      </c>
      <c r="B156" s="48">
        <v>2</v>
      </c>
      <c r="C156" s="53">
        <v>4</v>
      </c>
      <c r="D156" s="53">
        <v>0</v>
      </c>
      <c r="E156" s="53">
        <v>2.5</v>
      </c>
      <c r="F156" s="53">
        <v>135</v>
      </c>
      <c r="G156" s="53">
        <v>150</v>
      </c>
      <c r="H156" s="53">
        <v>500</v>
      </c>
      <c r="I156" s="53">
        <v>0.75</v>
      </c>
      <c r="J156" s="53">
        <v>4</v>
      </c>
      <c r="K156" s="53">
        <v>2</v>
      </c>
      <c r="L156" s="53">
        <v>4.5</v>
      </c>
      <c r="M156" s="53">
        <v>135</v>
      </c>
      <c r="N156" s="53">
        <v>90</v>
      </c>
      <c r="O156" s="53">
        <v>500</v>
      </c>
      <c r="P156" s="53">
        <f>L156/O156*N156/1000000*1000000</f>
        <v>0.80999999999999994</v>
      </c>
      <c r="Q156" s="10">
        <v>27</v>
      </c>
      <c r="R156" s="10">
        <v>28</v>
      </c>
    </row>
    <row r="157" spans="1:18" ht="16" x14ac:dyDescent="0.2">
      <c r="A157" s="48" t="s">
        <v>58</v>
      </c>
      <c r="B157" s="48">
        <v>3</v>
      </c>
      <c r="C157" s="53">
        <v>4</v>
      </c>
      <c r="D157" s="53">
        <v>0</v>
      </c>
      <c r="E157" s="53">
        <v>2.5</v>
      </c>
      <c r="F157" s="53">
        <v>135</v>
      </c>
      <c r="G157" s="53">
        <v>150</v>
      </c>
      <c r="H157" s="53">
        <v>500</v>
      </c>
      <c r="I157" s="53">
        <v>0.75</v>
      </c>
      <c r="J157" s="53">
        <v>4</v>
      </c>
      <c r="K157" s="53">
        <v>2</v>
      </c>
      <c r="L157" s="53">
        <v>4.5</v>
      </c>
      <c r="M157" s="53">
        <v>135</v>
      </c>
      <c r="N157" s="53">
        <v>90</v>
      </c>
      <c r="O157" s="53">
        <v>500</v>
      </c>
      <c r="P157" s="53">
        <f>L157/O157*N157/1000000*1000000</f>
        <v>0.80999999999999994</v>
      </c>
      <c r="Q157" s="10">
        <v>20</v>
      </c>
      <c r="R157" s="10">
        <v>30</v>
      </c>
    </row>
    <row r="158" spans="1:18" ht="16" x14ac:dyDescent="0.2">
      <c r="A158" s="48" t="s">
        <v>58</v>
      </c>
      <c r="B158" s="48">
        <v>3</v>
      </c>
      <c r="C158" s="53">
        <v>4</v>
      </c>
      <c r="D158" s="53">
        <v>0</v>
      </c>
      <c r="E158" s="53">
        <v>2.5</v>
      </c>
      <c r="F158" s="53">
        <v>135</v>
      </c>
      <c r="G158" s="53">
        <v>150</v>
      </c>
      <c r="H158" s="53">
        <v>500</v>
      </c>
      <c r="I158" s="53">
        <v>0.75</v>
      </c>
      <c r="J158" s="53">
        <v>4</v>
      </c>
      <c r="K158" s="53">
        <v>2</v>
      </c>
      <c r="L158" s="53">
        <v>4.5</v>
      </c>
      <c r="M158" s="53">
        <v>135</v>
      </c>
      <c r="N158" s="53">
        <v>90</v>
      </c>
      <c r="O158" s="53">
        <v>711</v>
      </c>
      <c r="P158" s="53">
        <f>L158/O158*N158/1000000*1000000</f>
        <v>0.569620253164557</v>
      </c>
      <c r="Q158" s="10">
        <v>24</v>
      </c>
      <c r="R158" s="10">
        <v>28</v>
      </c>
    </row>
    <row r="159" spans="1:18" ht="16" x14ac:dyDescent="0.2">
      <c r="A159" s="48" t="s">
        <v>58</v>
      </c>
      <c r="B159" s="48">
        <v>4</v>
      </c>
      <c r="C159" s="53">
        <v>4</v>
      </c>
      <c r="D159" s="53">
        <v>0</v>
      </c>
      <c r="E159" s="53">
        <v>2.5</v>
      </c>
      <c r="F159" s="53">
        <v>135</v>
      </c>
      <c r="G159" s="53">
        <v>150</v>
      </c>
      <c r="H159" s="53" t="s">
        <v>104</v>
      </c>
      <c r="I159" s="53">
        <v>0.375</v>
      </c>
      <c r="J159" s="53">
        <v>4</v>
      </c>
      <c r="K159" s="53">
        <v>2</v>
      </c>
      <c r="L159" s="53">
        <v>4.5</v>
      </c>
      <c r="M159" s="53">
        <v>135</v>
      </c>
      <c r="N159" s="53">
        <v>90</v>
      </c>
      <c r="O159" s="53">
        <v>500</v>
      </c>
      <c r="P159" s="53">
        <f>L159/O159*N159/1000000*1000000</f>
        <v>0.80999999999999994</v>
      </c>
      <c r="Q159" s="10">
        <v>25</v>
      </c>
      <c r="R159" s="10">
        <v>30</v>
      </c>
    </row>
    <row r="160" spans="1:18" ht="16" x14ac:dyDescent="0.2">
      <c r="A160" s="48" t="s">
        <v>58</v>
      </c>
      <c r="B160" s="48">
        <v>2</v>
      </c>
      <c r="C160" s="53">
        <v>4</v>
      </c>
      <c r="D160" s="53">
        <v>0</v>
      </c>
      <c r="E160" s="53">
        <v>2.5</v>
      </c>
      <c r="F160" s="53">
        <v>135</v>
      </c>
      <c r="G160" s="53">
        <v>150</v>
      </c>
      <c r="H160" s="53" t="s">
        <v>104</v>
      </c>
      <c r="I160" s="53">
        <v>0.375</v>
      </c>
      <c r="J160" s="53">
        <v>4</v>
      </c>
      <c r="K160" s="53">
        <v>2</v>
      </c>
      <c r="L160" s="53">
        <v>4.5</v>
      </c>
      <c r="M160" s="53">
        <v>135</v>
      </c>
      <c r="N160" s="53">
        <v>90</v>
      </c>
      <c r="O160" s="53">
        <v>726</v>
      </c>
      <c r="P160" s="53">
        <f>L160/O160*N160/1000000*1000000</f>
        <v>0.55785123966942152</v>
      </c>
      <c r="Q160" s="10">
        <v>23</v>
      </c>
      <c r="R160" s="10">
        <v>29</v>
      </c>
    </row>
    <row r="161" spans="1:18" ht="16" x14ac:dyDescent="0.2">
      <c r="A161" s="48" t="s">
        <v>58</v>
      </c>
      <c r="B161" s="48">
        <v>2</v>
      </c>
      <c r="C161" s="53">
        <v>4</v>
      </c>
      <c r="D161" s="53">
        <v>0</v>
      </c>
      <c r="E161" s="53">
        <v>2.5</v>
      </c>
      <c r="F161" s="53">
        <v>135</v>
      </c>
      <c r="G161" s="53">
        <v>150</v>
      </c>
      <c r="H161" s="53" t="s">
        <v>104</v>
      </c>
      <c r="I161" s="53">
        <v>0.375</v>
      </c>
      <c r="J161" s="53">
        <v>4</v>
      </c>
      <c r="K161" s="53">
        <v>2</v>
      </c>
      <c r="L161" s="53">
        <v>4.5</v>
      </c>
      <c r="M161" s="53">
        <v>135</v>
      </c>
      <c r="N161" s="53">
        <v>90</v>
      </c>
      <c r="O161" s="53">
        <v>747</v>
      </c>
      <c r="P161" s="53">
        <f>L161/O161*N161/1000000*1000000</f>
        <v>0.54216867469879526</v>
      </c>
      <c r="Q161" s="10">
        <v>28</v>
      </c>
      <c r="R161" s="10">
        <v>34</v>
      </c>
    </row>
    <row r="162" spans="1:18" ht="16" x14ac:dyDescent="0.2">
      <c r="A162" s="48" t="s">
        <v>58</v>
      </c>
      <c r="B162" s="48">
        <v>2</v>
      </c>
      <c r="C162" s="53">
        <v>4</v>
      </c>
      <c r="D162" s="53">
        <v>0</v>
      </c>
      <c r="E162" s="53">
        <v>2.5</v>
      </c>
      <c r="F162" s="53">
        <v>135</v>
      </c>
      <c r="G162" s="53">
        <v>150</v>
      </c>
      <c r="H162" s="53" t="s">
        <v>104</v>
      </c>
      <c r="I162" s="53">
        <v>0.375</v>
      </c>
      <c r="J162" s="53">
        <v>4</v>
      </c>
      <c r="K162" s="53">
        <v>2</v>
      </c>
      <c r="L162" s="53">
        <v>4.5</v>
      </c>
      <c r="M162" s="53">
        <v>135</v>
      </c>
      <c r="N162" s="53">
        <v>90</v>
      </c>
      <c r="O162" s="53">
        <v>742</v>
      </c>
      <c r="P162" s="53">
        <f>L162/O162*N162/1000000*1000000</f>
        <v>0.54582210242587603</v>
      </c>
      <c r="Q162" s="10">
        <v>25</v>
      </c>
      <c r="R162" s="10">
        <v>27</v>
      </c>
    </row>
    <row r="163" spans="1:18" ht="16" x14ac:dyDescent="0.2">
      <c r="A163" s="48" t="s">
        <v>58</v>
      </c>
      <c r="B163" s="48">
        <v>2</v>
      </c>
      <c r="C163" s="53">
        <v>4</v>
      </c>
      <c r="D163" s="53">
        <v>0</v>
      </c>
      <c r="E163" s="53">
        <v>2.5</v>
      </c>
      <c r="F163" s="53">
        <v>135</v>
      </c>
      <c r="G163" s="53">
        <v>150</v>
      </c>
      <c r="H163" s="53" t="s">
        <v>104</v>
      </c>
      <c r="I163" s="53">
        <v>0.375</v>
      </c>
      <c r="J163" s="53">
        <v>4</v>
      </c>
      <c r="K163" s="53">
        <v>2</v>
      </c>
      <c r="L163" s="53">
        <v>4.5</v>
      </c>
      <c r="M163" s="53">
        <v>135</v>
      </c>
      <c r="N163" s="53">
        <v>90</v>
      </c>
      <c r="O163" s="53">
        <v>758</v>
      </c>
      <c r="P163" s="53">
        <f>L163/O163*N163/1000000*1000000</f>
        <v>0.53430079155672816</v>
      </c>
      <c r="Q163" s="10">
        <v>24</v>
      </c>
      <c r="R163" s="10">
        <v>31</v>
      </c>
    </row>
    <row r="164" spans="1:18" ht="16" x14ac:dyDescent="0.2">
      <c r="A164" s="48" t="s">
        <v>58</v>
      </c>
      <c r="B164" s="48">
        <v>2</v>
      </c>
      <c r="C164" s="53">
        <v>4</v>
      </c>
      <c r="D164" s="53">
        <v>0</v>
      </c>
      <c r="E164" s="53">
        <v>2.5</v>
      </c>
      <c r="F164" s="53">
        <v>135</v>
      </c>
      <c r="G164" s="53">
        <v>150</v>
      </c>
      <c r="H164" s="53" t="s">
        <v>104</v>
      </c>
      <c r="I164" s="53">
        <v>0.375</v>
      </c>
      <c r="J164" s="53">
        <v>4</v>
      </c>
      <c r="K164" s="53">
        <v>2</v>
      </c>
      <c r="L164" s="53">
        <v>4.5</v>
      </c>
      <c r="M164" s="53">
        <v>135</v>
      </c>
      <c r="N164" s="53">
        <v>90</v>
      </c>
      <c r="O164" s="53">
        <v>764</v>
      </c>
      <c r="P164" s="53">
        <f>L164/O164*N164/1000000*1000000</f>
        <v>0.53010471204188481</v>
      </c>
      <c r="Q164" s="10">
        <v>26</v>
      </c>
      <c r="R164" s="10">
        <v>27</v>
      </c>
    </row>
    <row r="165" spans="1:18" ht="16" x14ac:dyDescent="0.2">
      <c r="A165" s="48" t="s">
        <v>58</v>
      </c>
      <c r="B165" s="48">
        <v>2</v>
      </c>
      <c r="C165" s="53">
        <v>4</v>
      </c>
      <c r="D165" s="53">
        <v>0</v>
      </c>
      <c r="E165" s="53">
        <v>2.5</v>
      </c>
      <c r="F165" s="53">
        <v>135</v>
      </c>
      <c r="G165" s="53">
        <v>150</v>
      </c>
      <c r="H165" s="53" t="s">
        <v>104</v>
      </c>
      <c r="I165" s="53">
        <v>0.375</v>
      </c>
      <c r="J165" s="53">
        <v>4</v>
      </c>
      <c r="K165" s="53">
        <v>2</v>
      </c>
      <c r="L165" s="53">
        <v>4.5</v>
      </c>
      <c r="M165" s="53">
        <v>135</v>
      </c>
      <c r="N165" s="53">
        <v>90</v>
      </c>
      <c r="O165" s="53">
        <v>770</v>
      </c>
      <c r="P165" s="53">
        <f>L165/O165*N165/1000000*1000000</f>
        <v>0.52597402597402598</v>
      </c>
      <c r="Q165" s="10">
        <v>25</v>
      </c>
      <c r="R165" s="10">
        <v>31</v>
      </c>
    </row>
    <row r="166" spans="1:18" ht="16" x14ac:dyDescent="0.2">
      <c r="A166" s="48" t="s">
        <v>58</v>
      </c>
      <c r="B166" s="48">
        <v>2</v>
      </c>
      <c r="C166" s="53">
        <v>4</v>
      </c>
      <c r="D166" s="53">
        <v>0</v>
      </c>
      <c r="E166" s="53">
        <v>2.5</v>
      </c>
      <c r="F166" s="53">
        <v>135</v>
      </c>
      <c r="G166" s="53">
        <v>150</v>
      </c>
      <c r="H166" s="53" t="s">
        <v>104</v>
      </c>
      <c r="I166" s="53">
        <v>0.375</v>
      </c>
      <c r="J166" s="53">
        <v>4</v>
      </c>
      <c r="K166" s="53">
        <v>2</v>
      </c>
      <c r="L166" s="53">
        <v>4.5</v>
      </c>
      <c r="M166" s="53">
        <v>135</v>
      </c>
      <c r="N166" s="53">
        <v>90</v>
      </c>
      <c r="O166" s="53">
        <v>770</v>
      </c>
      <c r="P166" s="53">
        <f>L166/O166*N166/1000000*1000000</f>
        <v>0.52597402597402598</v>
      </c>
      <c r="Q166" s="10">
        <v>24</v>
      </c>
      <c r="R166" s="1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Fibers by VTA</vt:lpstr>
      <vt:lpstr>Total Fiber Count</vt:lpstr>
      <vt:lpstr>ICV</vt:lpstr>
      <vt:lpstr>Clinical Baseline</vt:lpstr>
      <vt:lpstr>DBS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Wilson-Braun</dc:creator>
  <cp:lastModifiedBy>Microsoft Office User</cp:lastModifiedBy>
  <dcterms:created xsi:type="dcterms:W3CDTF">2020-05-19T20:50:46Z</dcterms:created>
  <dcterms:modified xsi:type="dcterms:W3CDTF">2021-08-11T16:18:58Z</dcterms:modified>
</cp:coreProperties>
</file>