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ci\Documents\GitHub\patterning_in_children\data\"/>
    </mc:Choice>
  </mc:AlternateContent>
  <xr:revisionPtr revIDLastSave="0" documentId="13_ncr:1_{9A056012-5AC5-44FD-BBD4-F25D667186AC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pic" sheetId="1" r:id="rId1"/>
    <sheet name="Sheet1" sheetId="2" r:id="rId2"/>
    <sheet name="Sheet2" sheetId="3" r:id="rId3"/>
  </sheets>
  <definedNames>
    <definedName name="_xlnm._FilterDatabase" localSheetId="0" hidden="1">pic!$A$1:$V$63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3" l="1"/>
  <c r="F14" i="3"/>
  <c r="G14" i="3"/>
  <c r="E15" i="3"/>
  <c r="F15" i="3"/>
  <c r="G15" i="3"/>
  <c r="E16" i="3"/>
  <c r="F16" i="3"/>
  <c r="G16" i="3"/>
  <c r="E17" i="3"/>
  <c r="F17" i="3"/>
  <c r="G17" i="3"/>
  <c r="E18" i="3"/>
  <c r="F18" i="3"/>
  <c r="G18" i="3"/>
  <c r="G13" i="3"/>
  <c r="F13" i="3"/>
  <c r="E13" i="3"/>
  <c r="B14" i="3"/>
  <c r="C14" i="3"/>
  <c r="D14" i="3"/>
  <c r="B15" i="3"/>
  <c r="C15" i="3"/>
  <c r="D15" i="3"/>
  <c r="B16" i="3"/>
  <c r="C16" i="3"/>
  <c r="D16" i="3"/>
  <c r="B17" i="3"/>
  <c r="C17" i="3"/>
  <c r="D17" i="3"/>
  <c r="B18" i="3"/>
  <c r="C18" i="3"/>
  <c r="D18" i="3"/>
  <c r="D13" i="3"/>
  <c r="C13" i="3"/>
  <c r="B13" i="3"/>
  <c r="C7" i="3"/>
  <c r="C6" i="3"/>
  <c r="C5" i="3"/>
  <c r="C4" i="3"/>
  <c r="C3" i="3"/>
  <c r="B7" i="3"/>
  <c r="B6" i="3"/>
  <c r="B5" i="3"/>
  <c r="B4" i="3"/>
  <c r="B3" i="3"/>
  <c r="C2" i="3"/>
  <c r="B2" i="3"/>
  <c r="A1" i="3" a="1"/>
  <c r="A1" i="3" s="1"/>
  <c r="G3" i="2"/>
  <c r="F3" i="2"/>
  <c r="E3" i="2"/>
  <c r="D3" i="2"/>
  <c r="C3" i="2"/>
  <c r="B3" i="2"/>
  <c r="G2" i="2"/>
  <c r="F2" i="2"/>
  <c r="E2" i="2"/>
  <c r="D2" i="2"/>
  <c r="C2" i="2"/>
  <c r="B2" i="2"/>
  <c r="G47" i="2"/>
  <c r="G46" i="2"/>
  <c r="G45" i="2"/>
  <c r="G44" i="2"/>
  <c r="F47" i="2"/>
  <c r="F46" i="2"/>
  <c r="F45" i="2"/>
  <c r="F44" i="2"/>
  <c r="E47" i="2"/>
  <c r="E46" i="2"/>
  <c r="E45" i="2"/>
  <c r="E44" i="2"/>
  <c r="D47" i="2"/>
  <c r="D46" i="2"/>
  <c r="D45" i="2"/>
  <c r="D44" i="2"/>
  <c r="C47" i="2"/>
  <c r="C46" i="2"/>
  <c r="C45" i="2"/>
  <c r="C44" i="2"/>
  <c r="B47" i="2"/>
  <c r="B46" i="2"/>
  <c r="B45" i="2"/>
  <c r="B44" i="2"/>
  <c r="M40" i="2"/>
  <c r="L40" i="2"/>
  <c r="K40" i="2"/>
  <c r="J40" i="2"/>
  <c r="I40" i="2"/>
  <c r="H40" i="2"/>
  <c r="G40" i="2"/>
  <c r="F40" i="2"/>
  <c r="E40" i="2"/>
  <c r="D40" i="2"/>
  <c r="C40" i="2"/>
  <c r="B40" i="2"/>
  <c r="M39" i="2"/>
  <c r="L39" i="2"/>
  <c r="K39" i="2"/>
  <c r="J39" i="2"/>
  <c r="I39" i="2"/>
  <c r="H39" i="2"/>
  <c r="G39" i="2"/>
  <c r="F39" i="2"/>
  <c r="E39" i="2"/>
  <c r="D39" i="2"/>
  <c r="C39" i="2"/>
  <c r="B39" i="2"/>
  <c r="M19" i="2"/>
  <c r="L19" i="2"/>
  <c r="K19" i="2"/>
  <c r="J19" i="2"/>
  <c r="I19" i="2"/>
  <c r="H19" i="2"/>
  <c r="G19" i="2"/>
  <c r="F19" i="2"/>
  <c r="E19" i="2"/>
  <c r="D19" i="2"/>
  <c r="C19" i="2"/>
  <c r="B19" i="2"/>
  <c r="M18" i="2"/>
  <c r="J18" i="2"/>
  <c r="G18" i="2"/>
  <c r="D18" i="2"/>
  <c r="L18" i="2"/>
  <c r="I18" i="2"/>
  <c r="F18" i="2"/>
  <c r="C18" i="2"/>
  <c r="K18" i="2"/>
  <c r="H18" i="2"/>
  <c r="E18" i="2"/>
  <c r="B18" i="2"/>
  <c r="D11" i="2"/>
  <c r="D10" i="2"/>
  <c r="C11" i="2"/>
  <c r="C10" i="2"/>
  <c r="B11" i="2"/>
  <c r="B10" i="2"/>
  <c r="E6" i="2"/>
  <c r="E7" i="2"/>
  <c r="D7" i="2"/>
  <c r="D6" i="2"/>
  <c r="F7" i="2"/>
  <c r="F6" i="2"/>
  <c r="C6" i="2"/>
  <c r="C7" i="2"/>
  <c r="B7" i="2"/>
  <c r="B6" i="2"/>
  <c r="D5" i="3" l="1"/>
  <c r="E4" i="3"/>
  <c r="H6" i="3"/>
  <c r="F4" i="3"/>
  <c r="D4" i="3"/>
  <c r="E3" i="3"/>
  <c r="G6" i="3"/>
  <c r="H3" i="3"/>
  <c r="D3" i="3"/>
  <c r="F2" i="3"/>
  <c r="F6" i="3"/>
  <c r="G3" i="3"/>
  <c r="D2" i="3"/>
  <c r="G2" i="3"/>
  <c r="H5" i="3"/>
  <c r="F3" i="3"/>
  <c r="E2" i="3"/>
  <c r="H2" i="3"/>
  <c r="G5" i="3"/>
  <c r="E7" i="3"/>
  <c r="H7" i="3"/>
  <c r="F5" i="3"/>
  <c r="D7" i="3"/>
  <c r="E6" i="3"/>
  <c r="G7" i="3"/>
  <c r="H4" i="3"/>
  <c r="D6" i="3"/>
  <c r="E5" i="3"/>
  <c r="F7" i="3"/>
  <c r="G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<sst xmlns="http://schemas.openxmlformats.org/spreadsheetml/2006/main" count="609" uniqueCount="187">
  <si>
    <t>pid</t>
  </si>
  <si>
    <t>condition</t>
  </si>
  <si>
    <t>test_date</t>
  </si>
  <si>
    <t>dob</t>
  </si>
  <si>
    <t>age_group</t>
  </si>
  <si>
    <t>age</t>
  </si>
  <si>
    <t>gender</t>
  </si>
  <si>
    <t>pair</t>
  </si>
  <si>
    <t>aab_pre</t>
  </si>
  <si>
    <t>abb_abs1</t>
  </si>
  <si>
    <t>aab_abs1</t>
  </si>
  <si>
    <t>houses_train</t>
  </si>
  <si>
    <t>houses_order</t>
  </si>
  <si>
    <t>num_stars</t>
  </si>
  <si>
    <t>bulbs_order</t>
  </si>
  <si>
    <t>abb_abs2</t>
  </si>
  <si>
    <t>aab_abs2</t>
  </si>
  <si>
    <t>Exploration</t>
  </si>
  <si>
    <t>midfive</t>
  </si>
  <si>
    <t>M</t>
  </si>
  <si>
    <t>1, 2, 5, 4, 6, 3</t>
  </si>
  <si>
    <t>6, 9, 3, 1, 2, 5, 4, 7, 8</t>
  </si>
  <si>
    <t>6, 9, 4, 5, 3</t>
  </si>
  <si>
    <t>Demonstration</t>
  </si>
  <si>
    <t>latefive</t>
  </si>
  <si>
    <t>1, 2, 4, 3, 5, 6</t>
  </si>
  <si>
    <t>1, 3, 6, 9, 8</t>
  </si>
  <si>
    <t>1, 2, 3, 4, 5, 6</t>
  </si>
  <si>
    <t>1, 2, 3, 4, 5, 6, 7, 9, 8</t>
  </si>
  <si>
    <t>3, 6, 9, 1, 5</t>
  </si>
  <si>
    <t>earlyfive</t>
  </si>
  <si>
    <t>5, 6, 4, 3, 2, 1</t>
  </si>
  <si>
    <t>9, 8, 7, 6, 3</t>
  </si>
  <si>
    <t>midsix</t>
  </si>
  <si>
    <t>2, 4, 5, 1, 6, 3</t>
  </si>
  <si>
    <t>3, 6, 9, 1, 4, 5, 7, 8, 2</t>
  </si>
  <si>
    <t>3, 6, 9, 8, 5</t>
  </si>
  <si>
    <t>F</t>
  </si>
  <si>
    <t>latesix</t>
  </si>
  <si>
    <t>1, 2, 5, 4, 3, 6</t>
  </si>
  <si>
    <t>3, 9, 6, 1, 2, 5, 4, 8, 7</t>
  </si>
  <si>
    <t>3, 9, 6, 7, 5</t>
  </si>
  <si>
    <t>earlysix</t>
  </si>
  <si>
    <t>3, 5, 6, 8, 9</t>
  </si>
  <si>
    <t>2, 3, 9, 6, 1, 5, 4, 8, 7</t>
  </si>
  <si>
    <t>3, 9, 8, 7, 2</t>
  </si>
  <si>
    <t>1, 2, 6, 5, 3, 4</t>
  </si>
  <si>
    <t>6, 7, 8, 9, 4</t>
  </si>
  <si>
    <t>1, 2, 3, 6, 5, 4</t>
  </si>
  <si>
    <t>1, 3, 6, 9, 8, 7, 5, 4, 2</t>
  </si>
  <si>
    <t>4, 5, 6, 9, 3</t>
  </si>
  <si>
    <t>1, 2, 3, 4, 5</t>
  </si>
  <si>
    <t>1, 5, 3, 4, 2, 6</t>
  </si>
  <si>
    <t>5, 2, 7, 3, 4, 6, 8, 1, 9</t>
  </si>
  <si>
    <t>5, 4, 2, 1, 3</t>
  </si>
  <si>
    <t xml:space="preserve">2, 4, 6, 3, 1, 5 </t>
  </si>
  <si>
    <t>9, 6, 3, 2, 8, 7, 5, 4, 1</t>
  </si>
  <si>
    <t>4, 8, 2, 7, 5</t>
  </si>
  <si>
    <t>9, 3, 5, 6, 4</t>
  </si>
  <si>
    <t>latefour</t>
  </si>
  <si>
    <t>2, 3, 4, 5, 6, 1</t>
  </si>
  <si>
    <t>9, 6, 5, 4, 3, 2, 1, 8, 7</t>
  </si>
  <si>
    <t>9, 8, 7, 6, 5</t>
  </si>
  <si>
    <t>1, 2, 3, 4, 8, 9, 7, 6, 5</t>
  </si>
  <si>
    <t>1, 9, 5, 8, 7</t>
  </si>
  <si>
    <t>2, 1, 3, 5, 4, 6</t>
  </si>
  <si>
    <t>9, 6, 7, 8, 5, 4, 3, 2, 1</t>
  </si>
  <si>
    <t>9, 5, 6, 3, 2</t>
  </si>
  <si>
    <t>3, 2, 5, 4, 1, 6</t>
  </si>
  <si>
    <t>3, 5, 9, 8, 2</t>
  </si>
  <si>
    <t>1, 5, 2, 6, 3, 4</t>
  </si>
  <si>
    <t>1, 2, 3, 9, 8, 6, 7, 4, 5</t>
  </si>
  <si>
    <t>1, 3, 7, 8, 4</t>
  </si>
  <si>
    <t>3, 2, 1, 4, 6, 5</t>
  </si>
  <si>
    <t>7, 6, 8, 4, 5</t>
  </si>
  <si>
    <t>1, 2, 3, 4, 5, 6, 7, 8, 9</t>
  </si>
  <si>
    <t>2, 1, 3, 4, 5</t>
  </si>
  <si>
    <t>1, 2, 3, 4, 6, 5</t>
  </si>
  <si>
    <t>3, 6, 8, 9, 7, 5, 4, 2, 1</t>
  </si>
  <si>
    <t>3, 6, 8, 9, 5</t>
  </si>
  <si>
    <t>2, 3, 5, 6, 8, 9, 7, 4, 1</t>
  </si>
  <si>
    <t>1, 5, 6, 7, 8</t>
  </si>
  <si>
    <t>3, 1, 5, 4, 2, 6</t>
  </si>
  <si>
    <t>3, 5, 7, 6, 4</t>
  </si>
  <si>
    <t>9, 5, 3, 6, 7, 8, 4, 2, 1</t>
  </si>
  <si>
    <t>5, 4, 7, 8, 6</t>
  </si>
  <si>
    <t>1, 2, 4, 6, 5, 3</t>
  </si>
  <si>
    <t>9, 3, 5, 7, 8</t>
  </si>
  <si>
    <t>4, 3, 5, 6, 2, 1</t>
  </si>
  <si>
    <t>9, 8, 7, 6, 5, 4, 3, 2, 1</t>
  </si>
  <si>
    <t>7, 6, 9, 8, 5</t>
  </si>
  <si>
    <t>4, 3, 2, 1, 5, 6, 7, 8, 9</t>
  </si>
  <si>
    <t>4, 6, 9, 8, 3</t>
  </si>
  <si>
    <t>2, 3, 4, 5, 1, 6</t>
  </si>
  <si>
    <t>7, 8, 3, 4, 5</t>
  </si>
  <si>
    <t>1, 2, 3, 4, 5, 7, 6, 8, 9</t>
  </si>
  <si>
    <t>2, 4, 5, 3, 6, 1</t>
  </si>
  <si>
    <t>3, 9, 6, 2, 5</t>
  </si>
  <si>
    <t>2, 3, 4, 6, 5, 1</t>
  </si>
  <si>
    <t>9, 6, 8, 7, 3, 2, 1, 4, 5</t>
  </si>
  <si>
    <t>9, 6, 3, 4, 2</t>
  </si>
  <si>
    <t>5, 1, 6, 3, 2, 4</t>
  </si>
  <si>
    <t>1, 6, 7, 4, 8</t>
  </si>
  <si>
    <t>1, 4, 3, 6, 5, 2</t>
  </si>
  <si>
    <t>2, 5, 4, 9, 7, 6, 8, 3, 1</t>
  </si>
  <si>
    <t>3, 6, 8, 9, 7</t>
  </si>
  <si>
    <t>4, 2, 1, 3, 5, 6</t>
  </si>
  <si>
    <t>3, 5, 6, 9, 7</t>
  </si>
  <si>
    <t>1, 5, 4, 6, 2, 3</t>
  </si>
  <si>
    <t>3, 9, 7, 5, 1, 2, 6, 4, 8</t>
  </si>
  <si>
    <t>3, 9, 7, 2, 5</t>
  </si>
  <si>
    <t>2, 5, 1, 6, 3, 4</t>
  </si>
  <si>
    <t>4, 9, 8, 7, 2</t>
  </si>
  <si>
    <t>1, 2, 4, 3, 6, 5</t>
  </si>
  <si>
    <t>1, 6, 9, 4, 5, 7, 8, 3, 2</t>
  </si>
  <si>
    <t>3, 9, 6, 4, 7</t>
  </si>
  <si>
    <t>2, 1, 4, 3, 6</t>
  </si>
  <si>
    <t>6, 3, 8, 5, 7</t>
  </si>
  <si>
    <t>age_agg</t>
  </si>
  <si>
    <t>five</t>
  </si>
  <si>
    <t>six</t>
  </si>
  <si>
    <t>four</t>
  </si>
  <si>
    <t>1, 3, 5, 4, 2, 6</t>
  </si>
  <si>
    <t>3, 5, 9, 6, 2</t>
  </si>
  <si>
    <t>2, 1, 3, 6, 5, 4</t>
  </si>
  <si>
    <t>1, 2, 4, 9, 3, 5, 6, 7, 8</t>
  </si>
  <si>
    <t>1, 8, 2, 9, 5</t>
  </si>
  <si>
    <t>2, 1, 4, 6, 3, 5</t>
  </si>
  <si>
    <t>9, 6, 4, 5, 2, 1, 3, 7, 8</t>
  </si>
  <si>
    <t>9, 6, 3, 1, 5</t>
  </si>
  <si>
    <t>2, 3, 4, 6, 1, 5</t>
  </si>
  <si>
    <t>9, 5, 4, 2, 6</t>
  </si>
  <si>
    <t>exp_strat</t>
  </si>
  <si>
    <t>exploit</t>
  </si>
  <si>
    <t>semiseq</t>
  </si>
  <si>
    <t>randomexp</t>
  </si>
  <si>
    <t>seq</t>
  </si>
  <si>
    <t>gen_strat</t>
  </si>
  <si>
    <t>CONDITION AGGREGATE</t>
  </si>
  <si>
    <t>abb pre</t>
  </si>
  <si>
    <t>aab pre</t>
  </si>
  <si>
    <t>stars</t>
  </si>
  <si>
    <t>abb post</t>
  </si>
  <si>
    <t>aab post</t>
  </si>
  <si>
    <t>AGE SPLIT STARS</t>
  </si>
  <si>
    <t>4yo</t>
  </si>
  <si>
    <t>5yo</t>
  </si>
  <si>
    <t>6yo</t>
  </si>
  <si>
    <t>1 star</t>
  </si>
  <si>
    <t>0 stars</t>
  </si>
  <si>
    <t>2 stars</t>
  </si>
  <si>
    <t>3 stars</t>
  </si>
  <si>
    <t>DEMOGRAPHICS</t>
  </si>
  <si>
    <t>n</t>
  </si>
  <si>
    <t>m</t>
  </si>
  <si>
    <t>f</t>
  </si>
  <si>
    <t>ABB Pretest</t>
  </si>
  <si>
    <t>AAB Pretest</t>
  </si>
  <si>
    <t>ABB Posttest</t>
  </si>
  <si>
    <t>AAB Posttest</t>
  </si>
  <si>
    <t>2, 3, 4, 1, 5, 6</t>
  </si>
  <si>
    <t>1, 6, 5, 4, 3, 2</t>
  </si>
  <si>
    <t>3, 7, 6, 8, 1</t>
  </si>
  <si>
    <t>1, 2, 4, 5, 3, 6</t>
  </si>
  <si>
    <t>3, 9, 8, 2, 1, 4, 5, 6, 7</t>
  </si>
  <si>
    <t>6, 5, 4, 3, 1, 2</t>
  </si>
  <si>
    <t>midfour</t>
  </si>
  <si>
    <t>5, 6, 9, 7, 8, 4, 3, 2, 1</t>
  </si>
  <si>
    <t>1, 2, 3, 6, 9</t>
  </si>
  <si>
    <t>5, 7, 2, 4, 9, 6, 3, 1, 8</t>
  </si>
  <si>
    <t>9, 6, 3, 7, 1</t>
  </si>
  <si>
    <t>6, 5, 4, 3, 2</t>
  </si>
  <si>
    <t>2, 4, 6, 5, 1, 3</t>
  </si>
  <si>
    <t>3, 5, 1, 6, 2, 4</t>
  </si>
  <si>
    <t>3, 9, 1, 2, 4, 5, 6, 7, 8</t>
  </si>
  <si>
    <t>3, 7, 6, 9, 1</t>
  </si>
  <si>
    <t>2, 1, 3, 4, 6, 5</t>
  </si>
  <si>
    <t>1, 2, 3, 5, 6</t>
  </si>
  <si>
    <t>3, 9, 6, 4, 5, 8, 7, 1, 2</t>
  </si>
  <si>
    <t>3, 9, 2, 5, 7</t>
  </si>
  <si>
    <t>3, 9, 6, 4, 5</t>
  </si>
  <si>
    <r>
      <t>xX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,xX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,xX</t>
    </r>
    <r>
      <rPr>
        <b/>
        <sz val="11"/>
        <color theme="1"/>
        <rFont val="Calibri"/>
        <family val="2"/>
        <scheme val="minor"/>
      </rPr>
      <t>X</t>
    </r>
  </si>
  <si>
    <t>3, 6, 9, 4, 2</t>
  </si>
  <si>
    <t>bigonly</t>
  </si>
  <si>
    <t>backseq</t>
  </si>
  <si>
    <t>num_stars_d</t>
  </si>
  <si>
    <t>num_stars_e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</si>
</sst>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18" fillId="0" borderId="0" xfId="0" applyFont="1" applyBorder="1" applyAlignment="1">
      <alignment horizontal="center" wrapText="1"/>
    </xf>
    <xf numFmtId="14" fontId="18" fillId="0" borderId="0" xfId="0" applyNumberFormat="1" applyFont="1" applyBorder="1" applyAlignment="1">
      <alignment horizontal="center" wrapText="1"/>
    </xf>
    <xf numFmtId="0" fontId="0" fillId="0" borderId="0" xfId="0" applyBorder="1"/>
    <xf numFmtId="0" fontId="18" fillId="0" borderId="0" xfId="0" applyFont="1" applyBorder="1" applyAlignment="1">
      <alignment horizontal="left" wrapText="1"/>
    </xf>
    <xf numFmtId="0" fontId="0" fillId="0" borderId="0" xfId="0" applyFill="1" applyBorder="1"/>
    <xf numFmtId="0" fontId="18" fillId="0" borderId="0" xfId="0" applyFont="1" applyBorder="1" applyAlignment="1">
      <alignment horizontal="right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Demonstration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Sheet1!$B$5:$E$5</c:f>
              <c:strCache>
                <c:ptCount val="4"/>
                <c:pt idx="0">
                  <c:v>ABB Pretest</c:v>
                </c:pt>
                <c:pt idx="1">
                  <c:v>AAB Pretest</c:v>
                </c:pt>
                <c:pt idx="2">
                  <c:v>ABB Posttest</c:v>
                </c:pt>
                <c:pt idx="3">
                  <c:v>AAB Posttest</c:v>
                </c:pt>
              </c:strCache>
            </c:strRef>
          </c:cat>
          <c:val>
            <c:numRef>
              <c:f>Sheet1!$B$6:$E$6</c:f>
              <c:numCache>
                <c:formatCode>General</c:formatCode>
                <c:ptCount val="4"/>
                <c:pt idx="0">
                  <c:v>0.87096774193548387</c:v>
                </c:pt>
                <c:pt idx="1">
                  <c:v>0.90322580645161288</c:v>
                </c:pt>
                <c:pt idx="2">
                  <c:v>0.90322580645161288</c:v>
                </c:pt>
                <c:pt idx="3">
                  <c:v>0.87096774193548387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CD-4F5C-8334-E1FD27CDEB81}"/>
            </c:ext>
          </c:extLst>
        </c:ser>
        <c:ser>
          <c:idx val="1"/>
          <c:order val="1"/>
          <c:tx>
            <c:strRef>
              <c:f>Sheet1!$A$7</c:f>
              <c:strCache>
                <c:ptCount val="1"/>
                <c:pt idx="0">
                  <c:v>Exploration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Sheet1!$B$5:$E$5</c:f>
              <c:strCache>
                <c:ptCount val="4"/>
                <c:pt idx="0">
                  <c:v>ABB Pretest</c:v>
                </c:pt>
                <c:pt idx="1">
                  <c:v>AAB Pretest</c:v>
                </c:pt>
                <c:pt idx="2">
                  <c:v>ABB Posttest</c:v>
                </c:pt>
                <c:pt idx="3">
                  <c:v>AAB Posttest</c:v>
                </c:pt>
              </c:strCache>
            </c:strRef>
          </c:cat>
          <c:val>
            <c:numRef>
              <c:f>Sheet1!$B$7:$E$7</c:f>
              <c:numCache>
                <c:formatCode>General</c:formatCode>
                <c:ptCount val="4"/>
                <c:pt idx="0">
                  <c:v>0.83870967741935487</c:v>
                </c:pt>
                <c:pt idx="1">
                  <c:v>0.93548387096774188</c:v>
                </c:pt>
                <c:pt idx="2">
                  <c:v>0.80645161290322576</c:v>
                </c:pt>
                <c:pt idx="3">
                  <c:v>0.90322580645161288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CD-4F5C-8334-E1FD27CDE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8611320"/>
        <c:axId val="528614200"/>
      </c:barChart>
      <c:catAx>
        <c:axId val="528611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venir Next LT Pro Light" panose="020B0304020202020204" pitchFamily="34" charset="0"/>
                <a:ea typeface="+mn-ea"/>
                <a:cs typeface="+mn-cs"/>
              </a:defRPr>
            </a:pPr>
            <a:endParaRPr lang="en-US"/>
          </a:p>
        </c:txPr>
        <c:crossAx val="528614200"/>
        <c:crosses val="autoZero"/>
        <c:auto val="1"/>
        <c:lblAlgn val="ctr"/>
        <c:lblOffset val="100"/>
        <c:noMultiLvlLbl val="0"/>
      </c:catAx>
      <c:valAx>
        <c:axId val="52861420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venir Next LT Pro Light" panose="020B0304020202020204" pitchFamily="34" charset="0"/>
                  </a:rPr>
                  <a:t>Proportion</a:t>
                </a:r>
                <a:r>
                  <a:rPr lang="en-US" sz="1400" baseline="0">
                    <a:solidFill>
                      <a:sysClr val="windowText" lastClr="000000"/>
                    </a:solidFill>
                    <a:latin typeface="Avenir Next LT Pro Light" panose="020B0304020202020204" pitchFamily="34" charset="0"/>
                  </a:rPr>
                  <a:t> Correct</a:t>
                </a:r>
                <a:endParaRPr lang="en-US" sz="1400">
                  <a:solidFill>
                    <a:sysClr val="windowText" lastClr="000000"/>
                  </a:solidFill>
                  <a:latin typeface="Avenir Next LT Pro Light" panose="020B03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venir Next LT Pro Light" panose="020B0304020202020204" pitchFamily="34" charset="0"/>
                <a:ea typeface="+mn-ea"/>
                <a:cs typeface="+mn-cs"/>
              </a:defRPr>
            </a:pPr>
            <a:endParaRPr lang="en-US"/>
          </a:p>
        </c:txPr>
        <c:crossAx val="528611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venir Next LT Pro Light" panose="020B03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Demonstration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Sheet1!$B$9:$D$9</c:f>
              <c:strCache>
                <c:ptCount val="3"/>
                <c:pt idx="0">
                  <c:v>4yo</c:v>
                </c:pt>
                <c:pt idx="1">
                  <c:v>5yo</c:v>
                </c:pt>
                <c:pt idx="2">
                  <c:v>6yo</c:v>
                </c:pt>
              </c:strCache>
            </c:strRef>
          </c:cat>
          <c:val>
            <c:numRef>
              <c:f>Sheet1!$B$10:$D$10</c:f>
              <c:numCache>
                <c:formatCode>General</c:formatCode>
                <c:ptCount val="3"/>
                <c:pt idx="0">
                  <c:v>1.6666666666666667</c:v>
                </c:pt>
                <c:pt idx="1">
                  <c:v>2.0714285714285716</c:v>
                </c:pt>
                <c:pt idx="2">
                  <c:v>2.1818181818181817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7A-418D-959C-9A852AC57C2D}"/>
            </c:ext>
          </c:extLst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Exploration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Sheet1!$B$9:$D$9</c:f>
              <c:strCache>
                <c:ptCount val="3"/>
                <c:pt idx="0">
                  <c:v>4yo</c:v>
                </c:pt>
                <c:pt idx="1">
                  <c:v>5yo</c:v>
                </c:pt>
                <c:pt idx="2">
                  <c:v>6yo</c:v>
                </c:pt>
              </c:strCache>
            </c:strRef>
          </c:cat>
          <c:val>
            <c:numRef>
              <c:f>Sheet1!$B$11:$D$11</c:f>
              <c:numCache>
                <c:formatCode>General</c:formatCode>
                <c:ptCount val="3"/>
                <c:pt idx="0">
                  <c:v>1.5</c:v>
                </c:pt>
                <c:pt idx="1">
                  <c:v>2.1428571428571428</c:v>
                </c:pt>
                <c:pt idx="2">
                  <c:v>2.4545454545454546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7A-418D-959C-9A852AC57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3009336"/>
        <c:axId val="523011896"/>
      </c:barChart>
      <c:catAx>
        <c:axId val="523009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venir Next LT Pro Light" panose="020B0304020202020204" pitchFamily="34" charset="0"/>
                <a:ea typeface="+mn-ea"/>
                <a:cs typeface="+mn-cs"/>
              </a:defRPr>
            </a:pPr>
            <a:endParaRPr lang="en-US"/>
          </a:p>
        </c:txPr>
        <c:crossAx val="523011896"/>
        <c:crosses val="autoZero"/>
        <c:auto val="1"/>
        <c:lblAlgn val="ctr"/>
        <c:lblOffset val="100"/>
        <c:noMultiLvlLbl val="0"/>
      </c:catAx>
      <c:valAx>
        <c:axId val="523011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venir Next LT Pro Light" panose="020B0304020202020204" pitchFamily="34" charset="0"/>
                  </a:rPr>
                  <a:t>Average # of Stars Found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venir Next LT Pro Light" panose="020B0304020202020204" pitchFamily="34" charset="0"/>
                <a:ea typeface="+mn-ea"/>
                <a:cs typeface="+mn-cs"/>
              </a:defRPr>
            </a:pPr>
            <a:endParaRPr lang="en-US"/>
          </a:p>
        </c:txPr>
        <c:crossAx val="523009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venir Next LT Pro Light" panose="020B03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Sheet1!$A$18</c:f>
              <c:strCache>
                <c:ptCount val="1"/>
                <c:pt idx="0">
                  <c:v>Demonstration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Sheet1!$B$16:$M$17</c:f>
              <c:multiLvlStrCache>
                <c:ptCount val="12"/>
                <c:lvl>
                  <c:pt idx="0">
                    <c:v>4yo</c:v>
                  </c:pt>
                  <c:pt idx="1">
                    <c:v>5yo</c:v>
                  </c:pt>
                  <c:pt idx="2">
                    <c:v>6yo</c:v>
                  </c:pt>
                  <c:pt idx="3">
                    <c:v>4yo</c:v>
                  </c:pt>
                  <c:pt idx="4">
                    <c:v>5yo</c:v>
                  </c:pt>
                  <c:pt idx="5">
                    <c:v>6yo</c:v>
                  </c:pt>
                  <c:pt idx="6">
                    <c:v>4yo</c:v>
                  </c:pt>
                  <c:pt idx="7">
                    <c:v>5yo</c:v>
                  </c:pt>
                  <c:pt idx="8">
                    <c:v>6yo</c:v>
                  </c:pt>
                  <c:pt idx="9">
                    <c:v>4yo</c:v>
                  </c:pt>
                  <c:pt idx="10">
                    <c:v>5yo</c:v>
                  </c:pt>
                  <c:pt idx="11">
                    <c:v>6yo</c:v>
                  </c:pt>
                </c:lvl>
                <c:lvl>
                  <c:pt idx="0">
                    <c:v>abb pre</c:v>
                  </c:pt>
                  <c:pt idx="3">
                    <c:v>abb post</c:v>
                  </c:pt>
                  <c:pt idx="6">
                    <c:v>aab pre</c:v>
                  </c:pt>
                  <c:pt idx="9">
                    <c:v>aab post</c:v>
                  </c:pt>
                </c:lvl>
              </c:multiLvlStrCache>
            </c:multiLvlStrRef>
          </c:cat>
          <c:val>
            <c:numRef>
              <c:f>Sheet1!$B$18:$M$18</c:f>
              <c:numCache>
                <c:formatCode>General</c:formatCode>
                <c:ptCount val="12"/>
                <c:pt idx="0">
                  <c:v>0.66666666666666663</c:v>
                </c:pt>
                <c:pt idx="1">
                  <c:v>0.9285714285714286</c:v>
                </c:pt>
                <c:pt idx="2">
                  <c:v>0.90909090909090906</c:v>
                </c:pt>
                <c:pt idx="3">
                  <c:v>0.5</c:v>
                </c:pt>
                <c:pt idx="4">
                  <c:v>1</c:v>
                </c:pt>
                <c:pt idx="5">
                  <c:v>1</c:v>
                </c:pt>
                <c:pt idx="6">
                  <c:v>0.5</c:v>
                </c:pt>
                <c:pt idx="7">
                  <c:v>1</c:v>
                </c:pt>
                <c:pt idx="8">
                  <c:v>1</c:v>
                </c:pt>
                <c:pt idx="9">
                  <c:v>0.33333333333333331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DB-44B9-B6C2-EBFEA9946C2E}"/>
            </c:ext>
          </c:extLst>
        </c:ser>
        <c:ser>
          <c:idx val="1"/>
          <c:order val="1"/>
          <c:tx>
            <c:strRef>
              <c:f>Sheet1!$A$19</c:f>
              <c:strCache>
                <c:ptCount val="1"/>
                <c:pt idx="0">
                  <c:v>Exploration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Sheet1!$B$16:$M$17</c:f>
              <c:multiLvlStrCache>
                <c:ptCount val="12"/>
                <c:lvl>
                  <c:pt idx="0">
                    <c:v>4yo</c:v>
                  </c:pt>
                  <c:pt idx="1">
                    <c:v>5yo</c:v>
                  </c:pt>
                  <c:pt idx="2">
                    <c:v>6yo</c:v>
                  </c:pt>
                  <c:pt idx="3">
                    <c:v>4yo</c:v>
                  </c:pt>
                  <c:pt idx="4">
                    <c:v>5yo</c:v>
                  </c:pt>
                  <c:pt idx="5">
                    <c:v>6yo</c:v>
                  </c:pt>
                  <c:pt idx="6">
                    <c:v>4yo</c:v>
                  </c:pt>
                  <c:pt idx="7">
                    <c:v>5yo</c:v>
                  </c:pt>
                  <c:pt idx="8">
                    <c:v>6yo</c:v>
                  </c:pt>
                  <c:pt idx="9">
                    <c:v>4yo</c:v>
                  </c:pt>
                  <c:pt idx="10">
                    <c:v>5yo</c:v>
                  </c:pt>
                  <c:pt idx="11">
                    <c:v>6yo</c:v>
                  </c:pt>
                </c:lvl>
                <c:lvl>
                  <c:pt idx="0">
                    <c:v>abb pre</c:v>
                  </c:pt>
                  <c:pt idx="3">
                    <c:v>abb post</c:v>
                  </c:pt>
                  <c:pt idx="6">
                    <c:v>aab pre</c:v>
                  </c:pt>
                  <c:pt idx="9">
                    <c:v>aab post</c:v>
                  </c:pt>
                </c:lvl>
              </c:multiLvlStrCache>
            </c:multiLvlStrRef>
          </c:cat>
          <c:val>
            <c:numRef>
              <c:f>Sheet1!$B$19:$M$19</c:f>
              <c:numCache>
                <c:formatCode>General</c:formatCode>
                <c:ptCount val="12"/>
                <c:pt idx="0">
                  <c:v>0.66666666666666663</c:v>
                </c:pt>
                <c:pt idx="1">
                  <c:v>0.8571428571428571</c:v>
                </c:pt>
                <c:pt idx="2">
                  <c:v>0.90909090909090906</c:v>
                </c:pt>
                <c:pt idx="3">
                  <c:v>0.33333333333333331</c:v>
                </c:pt>
                <c:pt idx="4">
                  <c:v>0.8571428571428571</c:v>
                </c:pt>
                <c:pt idx="5">
                  <c:v>1</c:v>
                </c:pt>
                <c:pt idx="6">
                  <c:v>0.83333333333333337</c:v>
                </c:pt>
                <c:pt idx="7">
                  <c:v>0.9285714285714286</c:v>
                </c:pt>
                <c:pt idx="8">
                  <c:v>1</c:v>
                </c:pt>
                <c:pt idx="9">
                  <c:v>0.66666666666666663</c:v>
                </c:pt>
                <c:pt idx="10">
                  <c:v>0.9285714285714286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DB-44B9-B6C2-EBFEA9946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622608"/>
        <c:axId val="579623248"/>
      </c:barChart>
      <c:catAx>
        <c:axId val="57962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623248"/>
        <c:crosses val="autoZero"/>
        <c:auto val="1"/>
        <c:lblAlgn val="ctr"/>
        <c:lblOffset val="100"/>
        <c:noMultiLvlLbl val="0"/>
      </c:catAx>
      <c:valAx>
        <c:axId val="5796232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62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Sheet1!$A$44</c:f>
              <c:strCache>
                <c:ptCount val="1"/>
                <c:pt idx="0">
                  <c:v>0 stars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Sheet1!$B$42:$G$43</c:f>
              <c:multiLvlStrCache>
                <c:ptCount val="6"/>
                <c:lvl>
                  <c:pt idx="0">
                    <c:v>4yo</c:v>
                  </c:pt>
                  <c:pt idx="1">
                    <c:v>5yo</c:v>
                  </c:pt>
                  <c:pt idx="2">
                    <c:v>6yo</c:v>
                  </c:pt>
                  <c:pt idx="3">
                    <c:v>4yo</c:v>
                  </c:pt>
                  <c:pt idx="4">
                    <c:v>5yo</c:v>
                  </c:pt>
                  <c:pt idx="5">
                    <c:v>6yo</c:v>
                  </c:pt>
                </c:lvl>
                <c:lvl>
                  <c:pt idx="0">
                    <c:v>Demonstration</c:v>
                  </c:pt>
                  <c:pt idx="3">
                    <c:v>Exploration</c:v>
                  </c:pt>
                </c:lvl>
              </c:multiLvlStrCache>
            </c:multiLvlStrRef>
          </c:cat>
          <c:val>
            <c:numRef>
              <c:f>Sheet1!$B$44:$G$44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7.1428571428571425E-2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E8-4C2D-ACD7-BB998A182457}"/>
            </c:ext>
          </c:extLst>
        </c:ser>
        <c:ser>
          <c:idx val="1"/>
          <c:order val="1"/>
          <c:tx>
            <c:strRef>
              <c:f>Sheet1!$A$45</c:f>
              <c:strCache>
                <c:ptCount val="1"/>
                <c:pt idx="0">
                  <c:v>1 star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Sheet1!$B$42:$G$43</c:f>
              <c:multiLvlStrCache>
                <c:ptCount val="6"/>
                <c:lvl>
                  <c:pt idx="0">
                    <c:v>4yo</c:v>
                  </c:pt>
                  <c:pt idx="1">
                    <c:v>5yo</c:v>
                  </c:pt>
                  <c:pt idx="2">
                    <c:v>6yo</c:v>
                  </c:pt>
                  <c:pt idx="3">
                    <c:v>4yo</c:v>
                  </c:pt>
                  <c:pt idx="4">
                    <c:v>5yo</c:v>
                  </c:pt>
                  <c:pt idx="5">
                    <c:v>6yo</c:v>
                  </c:pt>
                </c:lvl>
                <c:lvl>
                  <c:pt idx="0">
                    <c:v>Demonstration</c:v>
                  </c:pt>
                  <c:pt idx="3">
                    <c:v>Exploration</c:v>
                  </c:pt>
                </c:lvl>
              </c:multiLvlStrCache>
            </c:multiLvlStrRef>
          </c:cat>
          <c:val>
            <c:numRef>
              <c:f>Sheet1!$B$45:$G$45</c:f>
              <c:numCache>
                <c:formatCode>General</c:formatCode>
                <c:ptCount val="6"/>
                <c:pt idx="0">
                  <c:v>0.5</c:v>
                </c:pt>
                <c:pt idx="1">
                  <c:v>0.2857142857142857</c:v>
                </c:pt>
                <c:pt idx="2">
                  <c:v>0.27272727272727271</c:v>
                </c:pt>
                <c:pt idx="3">
                  <c:v>0.66666666666666663</c:v>
                </c:pt>
                <c:pt idx="4">
                  <c:v>0.21428571428571427</c:v>
                </c:pt>
                <c:pt idx="5">
                  <c:v>0.18181818181818182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E8-4C2D-ACD7-BB998A182457}"/>
            </c:ext>
          </c:extLst>
        </c:ser>
        <c:ser>
          <c:idx val="2"/>
          <c:order val="2"/>
          <c:tx>
            <c:strRef>
              <c:f>Sheet1!$A$46</c:f>
              <c:strCache>
                <c:ptCount val="1"/>
                <c:pt idx="0">
                  <c:v>2 stars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Sheet1!$B$42:$G$43</c:f>
              <c:multiLvlStrCache>
                <c:ptCount val="6"/>
                <c:lvl>
                  <c:pt idx="0">
                    <c:v>4yo</c:v>
                  </c:pt>
                  <c:pt idx="1">
                    <c:v>5yo</c:v>
                  </c:pt>
                  <c:pt idx="2">
                    <c:v>6yo</c:v>
                  </c:pt>
                  <c:pt idx="3">
                    <c:v>4yo</c:v>
                  </c:pt>
                  <c:pt idx="4">
                    <c:v>5yo</c:v>
                  </c:pt>
                  <c:pt idx="5">
                    <c:v>6yo</c:v>
                  </c:pt>
                </c:lvl>
                <c:lvl>
                  <c:pt idx="0">
                    <c:v>Demonstration</c:v>
                  </c:pt>
                  <c:pt idx="3">
                    <c:v>Exploration</c:v>
                  </c:pt>
                </c:lvl>
              </c:multiLvlStrCache>
            </c:multiLvlStrRef>
          </c:cat>
          <c:val>
            <c:numRef>
              <c:f>Sheet1!$B$46:$G$46</c:f>
              <c:numCache>
                <c:formatCode>General</c:formatCode>
                <c:ptCount val="6"/>
                <c:pt idx="0">
                  <c:v>0.33333333333333331</c:v>
                </c:pt>
                <c:pt idx="1">
                  <c:v>0.35714285714285715</c:v>
                </c:pt>
                <c:pt idx="2">
                  <c:v>0.27272727272727271</c:v>
                </c:pt>
                <c:pt idx="3">
                  <c:v>0.16666666666666666</c:v>
                </c:pt>
                <c:pt idx="4">
                  <c:v>0.21428571428571427</c:v>
                </c:pt>
                <c:pt idx="5">
                  <c:v>0.18181818181818182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E8-4C2D-ACD7-BB998A182457}"/>
            </c:ext>
          </c:extLst>
        </c:ser>
        <c:ser>
          <c:idx val="3"/>
          <c:order val="3"/>
          <c:tx>
            <c:strRef>
              <c:f>Sheet1!$A$47</c:f>
              <c:strCache>
                <c:ptCount val="1"/>
                <c:pt idx="0">
                  <c:v>3 stars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Sheet1!$B$42:$G$43</c:f>
              <c:multiLvlStrCache>
                <c:ptCount val="6"/>
                <c:lvl>
                  <c:pt idx="0">
                    <c:v>4yo</c:v>
                  </c:pt>
                  <c:pt idx="1">
                    <c:v>5yo</c:v>
                  </c:pt>
                  <c:pt idx="2">
                    <c:v>6yo</c:v>
                  </c:pt>
                  <c:pt idx="3">
                    <c:v>4yo</c:v>
                  </c:pt>
                  <c:pt idx="4">
                    <c:v>5yo</c:v>
                  </c:pt>
                  <c:pt idx="5">
                    <c:v>6yo</c:v>
                  </c:pt>
                </c:lvl>
                <c:lvl>
                  <c:pt idx="0">
                    <c:v>Demonstration</c:v>
                  </c:pt>
                  <c:pt idx="3">
                    <c:v>Exploration</c:v>
                  </c:pt>
                </c:lvl>
              </c:multiLvlStrCache>
            </c:multiLvlStrRef>
          </c:cat>
          <c:val>
            <c:numRef>
              <c:f>Sheet1!$B$47:$G$47</c:f>
              <c:numCache>
                <c:formatCode>General</c:formatCode>
                <c:ptCount val="6"/>
                <c:pt idx="0">
                  <c:v>0.16666666666666666</c:v>
                </c:pt>
                <c:pt idx="1">
                  <c:v>0.35714285714285715</c:v>
                </c:pt>
                <c:pt idx="2">
                  <c:v>0.45454545454545453</c:v>
                </c:pt>
                <c:pt idx="3">
                  <c:v>0.16666666666666666</c:v>
                </c:pt>
                <c:pt idx="4">
                  <c:v>0.5</c:v>
                </c:pt>
                <c:pt idx="5">
                  <c:v>0.63636363636363635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E8-4C2D-ACD7-BB998A182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5248888"/>
        <c:axId val="585249208"/>
      </c:barChart>
      <c:catAx>
        <c:axId val="585248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venir Next LT Pro Light" panose="020B0304020202020204" pitchFamily="34" charset="0"/>
                <a:ea typeface="+mn-ea"/>
                <a:cs typeface="+mn-cs"/>
              </a:defRPr>
            </a:pPr>
            <a:endParaRPr lang="en-US"/>
          </a:p>
        </c:txPr>
        <c:crossAx val="585249208"/>
        <c:crosses val="autoZero"/>
        <c:auto val="1"/>
        <c:lblAlgn val="ctr"/>
        <c:lblOffset val="100"/>
        <c:noMultiLvlLbl val="0"/>
      </c:catAx>
      <c:valAx>
        <c:axId val="585249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venir Next LT Pro Light" panose="020B0304020202020204" pitchFamily="34" charset="0"/>
                <a:ea typeface="+mn-ea"/>
                <a:cs typeface="+mn-cs"/>
              </a:defRPr>
            </a:pPr>
            <a:endParaRPr lang="en-US"/>
          </a:p>
        </c:txPr>
        <c:crossAx val="58524888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venir Next LT Pro Light" panose="020B03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Sheet2!$B$11:$B$12</c:f>
              <c:strCache>
                <c:ptCount val="2"/>
                <c:pt idx="0">
                  <c:v>Demonstration</c:v>
                </c:pt>
                <c:pt idx="1">
                  <c:v>4yo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Sheet2!$A$13:$A$18</c:f>
              <c:strCache>
                <c:ptCount val="6"/>
                <c:pt idx="0">
                  <c:v>randomexp</c:v>
                </c:pt>
                <c:pt idx="1">
                  <c:v>exploit</c:v>
                </c:pt>
                <c:pt idx="2">
                  <c:v>semiseq</c:v>
                </c:pt>
                <c:pt idx="3">
                  <c:v>bigonly</c:v>
                </c:pt>
                <c:pt idx="4">
                  <c:v>seq</c:v>
                </c:pt>
                <c:pt idx="5">
                  <c:v>backseq</c:v>
                </c:pt>
              </c:strCache>
            </c:strRef>
          </c:cat>
          <c:val>
            <c:numRef>
              <c:f>Sheet2!$B$13:$B$18</c:f>
              <c:numCache>
                <c:formatCode>General</c:formatCode>
                <c:ptCount val="6"/>
                <c:pt idx="0">
                  <c:v>0.16666666666666666</c:v>
                </c:pt>
                <c:pt idx="1">
                  <c:v>0.16666666666666666</c:v>
                </c:pt>
                <c:pt idx="2">
                  <c:v>0</c:v>
                </c:pt>
                <c:pt idx="3">
                  <c:v>0.16666666666666666</c:v>
                </c:pt>
                <c:pt idx="4">
                  <c:v>0.33333333333333331</c:v>
                </c:pt>
                <c:pt idx="5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95-42FC-9BBF-088CB5E6CB59}"/>
            </c:ext>
          </c:extLst>
        </c:ser>
        <c:ser>
          <c:idx val="1"/>
          <c:order val="1"/>
          <c:tx>
            <c:strRef>
              <c:f>Sheet2!$C$11:$C$12</c:f>
              <c:strCache>
                <c:ptCount val="2"/>
                <c:pt idx="0">
                  <c:v>Demonstration</c:v>
                </c:pt>
                <c:pt idx="1">
                  <c:v>5yo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Sheet2!$A$13:$A$18</c:f>
              <c:strCache>
                <c:ptCount val="6"/>
                <c:pt idx="0">
                  <c:v>randomexp</c:v>
                </c:pt>
                <c:pt idx="1">
                  <c:v>exploit</c:v>
                </c:pt>
                <c:pt idx="2">
                  <c:v>semiseq</c:v>
                </c:pt>
                <c:pt idx="3">
                  <c:v>bigonly</c:v>
                </c:pt>
                <c:pt idx="4">
                  <c:v>seq</c:v>
                </c:pt>
                <c:pt idx="5">
                  <c:v>backseq</c:v>
                </c:pt>
              </c:strCache>
            </c:strRef>
          </c:cat>
          <c:val>
            <c:numRef>
              <c:f>Sheet2!$C$13:$C$18</c:f>
              <c:numCache>
                <c:formatCode>General</c:formatCode>
                <c:ptCount val="6"/>
                <c:pt idx="0">
                  <c:v>0.2857142857142857</c:v>
                </c:pt>
                <c:pt idx="1">
                  <c:v>0.14285714285714285</c:v>
                </c:pt>
                <c:pt idx="2">
                  <c:v>0.14285714285714285</c:v>
                </c:pt>
                <c:pt idx="3">
                  <c:v>7.1428571428571425E-2</c:v>
                </c:pt>
                <c:pt idx="4">
                  <c:v>0.21428571428571427</c:v>
                </c:pt>
                <c:pt idx="5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95-42FC-9BBF-088CB5E6CB59}"/>
            </c:ext>
          </c:extLst>
        </c:ser>
        <c:ser>
          <c:idx val="2"/>
          <c:order val="2"/>
          <c:tx>
            <c:strRef>
              <c:f>Sheet2!$D$11:$D$12</c:f>
              <c:strCache>
                <c:ptCount val="2"/>
                <c:pt idx="0">
                  <c:v>Demonstration</c:v>
                </c:pt>
                <c:pt idx="1">
                  <c:v>6yo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Sheet2!$A$13:$A$18</c:f>
              <c:strCache>
                <c:ptCount val="6"/>
                <c:pt idx="0">
                  <c:v>randomexp</c:v>
                </c:pt>
                <c:pt idx="1">
                  <c:v>exploit</c:v>
                </c:pt>
                <c:pt idx="2">
                  <c:v>semiseq</c:v>
                </c:pt>
                <c:pt idx="3">
                  <c:v>bigonly</c:v>
                </c:pt>
                <c:pt idx="4">
                  <c:v>seq</c:v>
                </c:pt>
                <c:pt idx="5">
                  <c:v>backseq</c:v>
                </c:pt>
              </c:strCache>
            </c:strRef>
          </c:cat>
          <c:val>
            <c:numRef>
              <c:f>Sheet2!$D$13:$D$18</c:f>
              <c:numCache>
                <c:formatCode>General</c:formatCode>
                <c:ptCount val="6"/>
                <c:pt idx="0">
                  <c:v>0.45454545454545453</c:v>
                </c:pt>
                <c:pt idx="1">
                  <c:v>0.18181818181818182</c:v>
                </c:pt>
                <c:pt idx="2">
                  <c:v>0.18181818181818182</c:v>
                </c:pt>
                <c:pt idx="3">
                  <c:v>0.18181818181818182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95-42FC-9BBF-088CB5E6C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5778256"/>
        <c:axId val="515781136"/>
      </c:barChart>
      <c:catAx>
        <c:axId val="515778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781136"/>
        <c:crosses val="autoZero"/>
        <c:auto val="1"/>
        <c:lblAlgn val="ctr"/>
        <c:lblOffset val="100"/>
        <c:noMultiLvlLbl val="0"/>
      </c:catAx>
      <c:valAx>
        <c:axId val="515781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77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Sheet2!$E$11:$E$12</c:f>
              <c:strCache>
                <c:ptCount val="2"/>
                <c:pt idx="0">
                  <c:v>Exploration</c:v>
                </c:pt>
                <c:pt idx="1">
                  <c:v>4yo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Sheet2!$E$13:$E$18</c:f>
              <c:numCache>
                <c:formatCode>General</c:formatCode>
                <c:ptCount val="6"/>
                <c:pt idx="0">
                  <c:v>0.33333333333333331</c:v>
                </c:pt>
                <c:pt idx="1">
                  <c:v>0</c:v>
                </c:pt>
                <c:pt idx="2">
                  <c:v>0</c:v>
                </c:pt>
                <c:pt idx="3">
                  <c:v>0.16666666666666666</c:v>
                </c:pt>
                <c:pt idx="4">
                  <c:v>0.33333333333333331</c:v>
                </c:pt>
                <c:pt idx="5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75-4B11-944B-F1F6DCF5D798}"/>
            </c:ext>
          </c:extLst>
        </c:ser>
        <c:ser>
          <c:idx val="1"/>
          <c:order val="1"/>
          <c:tx>
            <c:strRef>
              <c:f>Sheet2!$F$11:$F$12</c:f>
              <c:strCache>
                <c:ptCount val="2"/>
                <c:pt idx="0">
                  <c:v>Exploration</c:v>
                </c:pt>
                <c:pt idx="1">
                  <c:v>5yo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Sheet2!$F$13:$F$18</c:f>
              <c:numCache>
                <c:formatCode>General</c:formatCode>
                <c:ptCount val="6"/>
                <c:pt idx="0">
                  <c:v>0.5714285714285714</c:v>
                </c:pt>
                <c:pt idx="1">
                  <c:v>0.21428571428571427</c:v>
                </c:pt>
                <c:pt idx="2">
                  <c:v>7.1428571428571425E-2</c:v>
                </c:pt>
                <c:pt idx="3">
                  <c:v>0.14285714285714285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75-4B11-944B-F1F6DCF5D798}"/>
            </c:ext>
          </c:extLst>
        </c:ser>
        <c:ser>
          <c:idx val="2"/>
          <c:order val="2"/>
          <c:tx>
            <c:strRef>
              <c:f>Sheet2!$G$11:$G$12</c:f>
              <c:strCache>
                <c:ptCount val="2"/>
                <c:pt idx="0">
                  <c:v>Exploration</c:v>
                </c:pt>
                <c:pt idx="1">
                  <c:v>6yo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Sheet2!$G$13:$G$18</c:f>
              <c:numCache>
                <c:formatCode>General</c:formatCode>
                <c:ptCount val="6"/>
                <c:pt idx="0">
                  <c:v>0.36363636363636365</c:v>
                </c:pt>
                <c:pt idx="1">
                  <c:v>0.45454545454545453</c:v>
                </c:pt>
                <c:pt idx="2">
                  <c:v>0</c:v>
                </c:pt>
                <c:pt idx="3">
                  <c:v>9.0909090909090912E-2</c:v>
                </c:pt>
                <c:pt idx="4">
                  <c:v>9.0909090909090912E-2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75-4B11-944B-F1F6DCF5D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2206904"/>
        <c:axId val="612205944"/>
      </c:barChart>
      <c:catAx>
        <c:axId val="61220690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205944"/>
        <c:crosses val="autoZero"/>
        <c:auto val="1"/>
        <c:lblAlgn val="ctr"/>
        <c:lblOffset val="100"/>
        <c:noMultiLvlLbl val="0"/>
      </c:catAx>
      <c:valAx>
        <c:axId val="612205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206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14286</xdr:colOff>
      <xdr:row>1</xdr:row>
      <xdr:rowOff>23811</xdr:rowOff>
    </xdr:from>
    <xdr:to>
      <xdr:col>23</xdr:col>
      <xdr:colOff>552450</xdr:colOff>
      <xdr:row>22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D3376D-351F-45BE-BD80-D67353902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409575</xdr:colOff>
      <xdr:row>22</xdr:row>
      <xdr:rowOff>28576</xdr:rowOff>
    </xdr:from>
    <xdr:to>
      <xdr:col>26</xdr:col>
      <xdr:colOff>457200</xdr:colOff>
      <xdr:row>44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CF6789-29AC-4BED-80B3-B69EE6643E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61911</xdr:colOff>
      <xdr:row>16</xdr:row>
      <xdr:rowOff>14287</xdr:rowOff>
    </xdr:from>
    <xdr:to>
      <xdr:col>14</xdr:col>
      <xdr:colOff>466724</xdr:colOff>
      <xdr:row>36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FFA0AAD-0ED4-4E39-BC31-0222F7EC9B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423861</xdr:colOff>
      <xdr:row>45</xdr:row>
      <xdr:rowOff>111442</xdr:rowOff>
    </xdr:from>
    <xdr:to>
      <xdr:col>24</xdr:col>
      <xdr:colOff>220980</xdr:colOff>
      <xdr:row>72</xdr:row>
      <xdr:rowOff>144780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727586F-D68F-4FC9-99D0-82265919D5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9</xdr:row>
      <xdr:rowOff>80962</xdr:rowOff>
    </xdr:from>
    <xdr:to>
      <xdr:col>15</xdr:col>
      <xdr:colOff>523875</xdr:colOff>
      <xdr:row>23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629918-2736-4EDD-9898-689532BA05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542925</xdr:colOff>
      <xdr:row>9</xdr:row>
      <xdr:rowOff>147637</xdr:rowOff>
    </xdr:from>
    <xdr:to>
      <xdr:col>24</xdr:col>
      <xdr:colOff>238125</xdr:colOff>
      <xdr:row>24</xdr:row>
      <xdr:rowOff>33337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E71308-53EB-4FFE-BE78-D6DAD2D82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"/>
  <sheetViews>
    <sheetView tabSelected="1" workbookViewId="0">
      <pane ySplit="1" topLeftCell="A2" activePane="bottomLeft" state="frozen"/>
      <selection pane="bottomLeft" activeCell="R1" sqref="R1:R1048576"/>
    </sheetView>
  </sheetViews>
  <sheetFormatPr defaultRowHeight="15" x14ac:dyDescent="0.25"/>
  <cols>
    <col min="2" max="2" width="14.42578125" bestFit="1" customWidth="1"/>
    <col min="13" max="13" width="12.42578125" bestFit="1" customWidth="1"/>
    <col min="14" max="14" width="18.28515625" bestFit="1" customWidth="1"/>
    <col min="17" max="17" width="14.8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132</v>
      </c>
      <c r="P1" t="s">
        <v>13</v>
      </c>
      <c r="Q1" t="s">
        <v>14</v>
      </c>
      <c r="R1" t="s">
        <v>137</v>
      </c>
      <c r="S1" t="s">
        <v>15</v>
      </c>
      <c r="T1" t="s">
        <v>16</v>
      </c>
      <c r="V1" t="s">
        <v>181</v>
      </c>
    </row>
    <row r="2" spans="1:22" x14ac:dyDescent="0.25">
      <c r="A2">
        <v>17</v>
      </c>
      <c r="B2" t="s">
        <v>17</v>
      </c>
      <c r="C2" s="1">
        <v>44151</v>
      </c>
      <c r="D2" s="1">
        <v>42081</v>
      </c>
      <c r="E2" t="s">
        <v>18</v>
      </c>
      <c r="F2" t="s">
        <v>119</v>
      </c>
      <c r="G2">
        <v>5.6611111110000003</v>
      </c>
      <c r="H2" t="s">
        <v>19</v>
      </c>
      <c r="I2">
        <v>1</v>
      </c>
      <c r="J2">
        <v>0</v>
      </c>
      <c r="K2">
        <v>1</v>
      </c>
      <c r="L2">
        <v>1</v>
      </c>
      <c r="M2" t="s">
        <v>20</v>
      </c>
      <c r="N2" t="s">
        <v>21</v>
      </c>
      <c r="O2" t="s">
        <v>133</v>
      </c>
      <c r="P2">
        <v>3</v>
      </c>
      <c r="Q2" t="s">
        <v>22</v>
      </c>
      <c r="R2" t="s">
        <v>135</v>
      </c>
      <c r="S2">
        <v>1</v>
      </c>
      <c r="T2">
        <v>1</v>
      </c>
    </row>
    <row r="3" spans="1:22" x14ac:dyDescent="0.25">
      <c r="A3">
        <v>18</v>
      </c>
      <c r="B3" t="s">
        <v>23</v>
      </c>
      <c r="C3" s="1">
        <v>44154</v>
      </c>
      <c r="D3" s="1">
        <v>42065</v>
      </c>
      <c r="E3" t="s">
        <v>24</v>
      </c>
      <c r="F3" t="s">
        <v>119</v>
      </c>
      <c r="G3">
        <v>5.7138888889999997</v>
      </c>
      <c r="H3" t="s">
        <v>19</v>
      </c>
      <c r="I3">
        <v>1</v>
      </c>
      <c r="J3">
        <v>1</v>
      </c>
      <c r="K3">
        <v>1</v>
      </c>
      <c r="L3">
        <v>1</v>
      </c>
      <c r="M3" t="s">
        <v>25</v>
      </c>
      <c r="P3">
        <v>3</v>
      </c>
      <c r="Q3" t="s">
        <v>26</v>
      </c>
      <c r="R3" t="s">
        <v>133</v>
      </c>
      <c r="S3">
        <v>1</v>
      </c>
      <c r="T3">
        <v>1</v>
      </c>
    </row>
    <row r="4" spans="1:22" x14ac:dyDescent="0.25">
      <c r="A4">
        <v>19</v>
      </c>
      <c r="B4" t="s">
        <v>17</v>
      </c>
      <c r="C4" s="1">
        <v>44155</v>
      </c>
      <c r="D4" s="1">
        <v>42064</v>
      </c>
      <c r="E4" t="s">
        <v>24</v>
      </c>
      <c r="F4" t="s">
        <v>119</v>
      </c>
      <c r="G4">
        <v>5.7194444439999996</v>
      </c>
      <c r="H4" t="s">
        <v>19</v>
      </c>
      <c r="I4">
        <v>2</v>
      </c>
      <c r="J4">
        <v>1</v>
      </c>
      <c r="K4">
        <v>1</v>
      </c>
      <c r="L4">
        <v>1</v>
      </c>
      <c r="M4" t="s">
        <v>27</v>
      </c>
      <c r="N4" t="s">
        <v>28</v>
      </c>
      <c r="O4" t="s">
        <v>134</v>
      </c>
      <c r="P4">
        <v>3</v>
      </c>
      <c r="Q4" t="s">
        <v>29</v>
      </c>
      <c r="R4" t="s">
        <v>133</v>
      </c>
      <c r="S4">
        <v>1</v>
      </c>
      <c r="T4">
        <v>1</v>
      </c>
    </row>
    <row r="5" spans="1:22" x14ac:dyDescent="0.25">
      <c r="A5">
        <v>20</v>
      </c>
      <c r="B5" t="s">
        <v>23</v>
      </c>
      <c r="C5" s="1">
        <v>44158</v>
      </c>
      <c r="D5" s="1">
        <v>42201</v>
      </c>
      <c r="E5" t="s">
        <v>30</v>
      </c>
      <c r="F5" t="s">
        <v>119</v>
      </c>
      <c r="G5">
        <v>5.3527777780000001</v>
      </c>
      <c r="H5" t="s">
        <v>19</v>
      </c>
      <c r="I5">
        <v>2</v>
      </c>
      <c r="J5">
        <v>1</v>
      </c>
      <c r="K5">
        <v>1</v>
      </c>
      <c r="L5">
        <v>1</v>
      </c>
      <c r="M5" t="s">
        <v>31</v>
      </c>
      <c r="P5">
        <v>3</v>
      </c>
      <c r="Q5" t="s">
        <v>32</v>
      </c>
      <c r="R5" t="s">
        <v>134</v>
      </c>
      <c r="S5">
        <v>1</v>
      </c>
      <c r="T5">
        <v>1</v>
      </c>
    </row>
    <row r="6" spans="1:22" x14ac:dyDescent="0.25">
      <c r="A6">
        <v>21</v>
      </c>
      <c r="B6" t="s">
        <v>17</v>
      </c>
      <c r="C6" s="1">
        <v>44159</v>
      </c>
      <c r="D6" s="1">
        <v>41758</v>
      </c>
      <c r="E6" t="s">
        <v>33</v>
      </c>
      <c r="F6" t="s">
        <v>120</v>
      </c>
      <c r="G6">
        <v>6.5694444440000002</v>
      </c>
      <c r="H6" t="s">
        <v>19</v>
      </c>
      <c r="I6">
        <v>3</v>
      </c>
      <c r="J6">
        <v>1</v>
      </c>
      <c r="K6">
        <v>1</v>
      </c>
      <c r="L6">
        <v>1</v>
      </c>
      <c r="M6" t="s">
        <v>34</v>
      </c>
      <c r="N6" t="s">
        <v>35</v>
      </c>
      <c r="O6" t="s">
        <v>133</v>
      </c>
      <c r="P6">
        <v>3</v>
      </c>
      <c r="Q6" t="s">
        <v>36</v>
      </c>
      <c r="R6" t="s">
        <v>133</v>
      </c>
      <c r="S6">
        <v>1</v>
      </c>
      <c r="T6">
        <v>1</v>
      </c>
    </row>
    <row r="7" spans="1:22" x14ac:dyDescent="0.25">
      <c r="A7">
        <v>23</v>
      </c>
      <c r="B7" t="s">
        <v>17</v>
      </c>
      <c r="C7" s="1">
        <v>44160</v>
      </c>
      <c r="D7" s="1">
        <v>41675</v>
      </c>
      <c r="E7" t="s">
        <v>38</v>
      </c>
      <c r="F7" t="s">
        <v>120</v>
      </c>
      <c r="G7">
        <v>6.8055555559999998</v>
      </c>
      <c r="H7" t="s">
        <v>37</v>
      </c>
      <c r="I7">
        <v>4</v>
      </c>
      <c r="J7">
        <v>1</v>
      </c>
      <c r="K7">
        <v>1</v>
      </c>
      <c r="L7">
        <v>1</v>
      </c>
      <c r="M7" t="s">
        <v>39</v>
      </c>
      <c r="N7" t="s">
        <v>40</v>
      </c>
      <c r="O7" t="s">
        <v>133</v>
      </c>
      <c r="P7">
        <v>3</v>
      </c>
      <c r="Q7" t="s">
        <v>41</v>
      </c>
      <c r="R7" t="s">
        <v>133</v>
      </c>
      <c r="S7">
        <v>1</v>
      </c>
      <c r="T7">
        <v>1</v>
      </c>
    </row>
    <row r="8" spans="1:22" x14ac:dyDescent="0.25">
      <c r="A8">
        <v>24</v>
      </c>
      <c r="B8" t="s">
        <v>23</v>
      </c>
      <c r="C8" s="1">
        <v>44160</v>
      </c>
      <c r="D8" s="1">
        <v>41921</v>
      </c>
      <c r="E8" t="s">
        <v>42</v>
      </c>
      <c r="F8" t="s">
        <v>120</v>
      </c>
      <c r="G8">
        <v>6.1277777779999996</v>
      </c>
      <c r="H8" t="s">
        <v>19</v>
      </c>
      <c r="I8">
        <v>4</v>
      </c>
      <c r="J8">
        <v>1</v>
      </c>
      <c r="K8">
        <v>1</v>
      </c>
      <c r="L8">
        <v>1</v>
      </c>
      <c r="M8" t="s">
        <v>25</v>
      </c>
      <c r="P8">
        <v>3</v>
      </c>
      <c r="Q8" t="s">
        <v>43</v>
      </c>
      <c r="R8" t="s">
        <v>183</v>
      </c>
      <c r="S8">
        <v>1</v>
      </c>
      <c r="T8">
        <v>1</v>
      </c>
    </row>
    <row r="9" spans="1:22" x14ac:dyDescent="0.25">
      <c r="A9">
        <v>25</v>
      </c>
      <c r="B9" t="s">
        <v>17</v>
      </c>
      <c r="C9" s="1">
        <v>44165</v>
      </c>
      <c r="D9" s="1">
        <v>42208</v>
      </c>
      <c r="E9" t="s">
        <v>30</v>
      </c>
      <c r="F9" t="s">
        <v>119</v>
      </c>
      <c r="G9">
        <v>5.3527777780000001</v>
      </c>
      <c r="H9" t="s">
        <v>37</v>
      </c>
      <c r="I9">
        <v>5</v>
      </c>
      <c r="J9">
        <v>1</v>
      </c>
      <c r="K9">
        <v>1</v>
      </c>
      <c r="L9">
        <v>1</v>
      </c>
      <c r="M9" t="s">
        <v>27</v>
      </c>
      <c r="N9" t="s">
        <v>44</v>
      </c>
      <c r="O9" t="s">
        <v>133</v>
      </c>
      <c r="P9">
        <v>2</v>
      </c>
      <c r="Q9" t="s">
        <v>45</v>
      </c>
      <c r="R9" t="s">
        <v>135</v>
      </c>
      <c r="S9">
        <v>1</v>
      </c>
      <c r="T9">
        <v>1</v>
      </c>
    </row>
    <row r="10" spans="1:22" x14ac:dyDescent="0.25">
      <c r="A10">
        <v>26</v>
      </c>
      <c r="B10" t="s">
        <v>23</v>
      </c>
      <c r="C10" s="1">
        <v>44165</v>
      </c>
      <c r="D10" s="1">
        <v>42135</v>
      </c>
      <c r="E10" t="s">
        <v>18</v>
      </c>
      <c r="F10" t="s">
        <v>119</v>
      </c>
      <c r="G10">
        <v>5.5527777780000003</v>
      </c>
      <c r="H10" t="s">
        <v>37</v>
      </c>
      <c r="I10">
        <v>5</v>
      </c>
      <c r="J10">
        <v>1</v>
      </c>
      <c r="K10">
        <v>1</v>
      </c>
      <c r="L10">
        <v>1</v>
      </c>
      <c r="M10" t="s">
        <v>46</v>
      </c>
      <c r="P10">
        <v>2</v>
      </c>
      <c r="Q10" t="s">
        <v>47</v>
      </c>
      <c r="R10" t="s">
        <v>134</v>
      </c>
      <c r="S10">
        <v>1</v>
      </c>
      <c r="T10">
        <v>1</v>
      </c>
    </row>
    <row r="11" spans="1:22" x14ac:dyDescent="0.25">
      <c r="A11">
        <v>27</v>
      </c>
      <c r="B11" t="s">
        <v>17</v>
      </c>
      <c r="C11" s="1">
        <v>44165</v>
      </c>
      <c r="D11" s="1">
        <v>42195</v>
      </c>
      <c r="E11" t="s">
        <v>30</v>
      </c>
      <c r="F11" t="s">
        <v>119</v>
      </c>
      <c r="G11">
        <v>5.3888888890000004</v>
      </c>
      <c r="H11" t="s">
        <v>19</v>
      </c>
      <c r="I11">
        <v>6</v>
      </c>
      <c r="J11">
        <v>1</v>
      </c>
      <c r="K11">
        <v>0</v>
      </c>
      <c r="L11">
        <v>1</v>
      </c>
      <c r="M11" t="s">
        <v>48</v>
      </c>
      <c r="N11" t="s">
        <v>49</v>
      </c>
      <c r="O11" t="s">
        <v>133</v>
      </c>
      <c r="P11">
        <v>3</v>
      </c>
      <c r="Q11" t="s">
        <v>50</v>
      </c>
      <c r="R11" t="s">
        <v>133</v>
      </c>
      <c r="S11">
        <v>1</v>
      </c>
      <c r="T11">
        <v>1</v>
      </c>
    </row>
    <row r="12" spans="1:22" x14ac:dyDescent="0.25">
      <c r="A12">
        <v>28</v>
      </c>
      <c r="B12" t="s">
        <v>23</v>
      </c>
      <c r="C12" s="1">
        <v>44166</v>
      </c>
      <c r="D12" s="1">
        <v>42107</v>
      </c>
      <c r="E12" t="s">
        <v>18</v>
      </c>
      <c r="F12" t="s">
        <v>119</v>
      </c>
      <c r="G12">
        <v>5.6333333330000004</v>
      </c>
      <c r="H12" t="s">
        <v>37</v>
      </c>
      <c r="I12">
        <v>6</v>
      </c>
      <c r="J12">
        <v>1</v>
      </c>
      <c r="K12">
        <v>1</v>
      </c>
      <c r="L12">
        <v>1</v>
      </c>
      <c r="M12" t="s">
        <v>27</v>
      </c>
      <c r="P12">
        <v>1</v>
      </c>
      <c r="Q12" t="s">
        <v>51</v>
      </c>
      <c r="R12" t="s">
        <v>136</v>
      </c>
      <c r="S12">
        <v>1</v>
      </c>
      <c r="T12">
        <v>1</v>
      </c>
    </row>
    <row r="13" spans="1:22" x14ac:dyDescent="0.25">
      <c r="A13">
        <v>29</v>
      </c>
      <c r="B13" t="s">
        <v>17</v>
      </c>
      <c r="C13" s="1">
        <v>44166</v>
      </c>
      <c r="D13" s="1">
        <v>42300</v>
      </c>
      <c r="E13" t="s">
        <v>30</v>
      </c>
      <c r="F13" t="s">
        <v>119</v>
      </c>
      <c r="G13">
        <v>5.1055555559999997</v>
      </c>
      <c r="H13" t="s">
        <v>19</v>
      </c>
      <c r="I13">
        <v>7</v>
      </c>
      <c r="J13">
        <v>1</v>
      </c>
      <c r="K13">
        <v>1</v>
      </c>
      <c r="L13">
        <v>1</v>
      </c>
      <c r="M13" t="s">
        <v>161</v>
      </c>
      <c r="N13" t="s">
        <v>75</v>
      </c>
      <c r="O13" t="s">
        <v>136</v>
      </c>
      <c r="P13">
        <v>2</v>
      </c>
      <c r="Q13" t="s">
        <v>162</v>
      </c>
      <c r="R13" t="s">
        <v>135</v>
      </c>
      <c r="S13">
        <v>1</v>
      </c>
      <c r="T13">
        <v>1</v>
      </c>
    </row>
    <row r="14" spans="1:22" x14ac:dyDescent="0.25">
      <c r="A14">
        <v>31</v>
      </c>
      <c r="B14" t="s">
        <v>17</v>
      </c>
      <c r="C14" s="1">
        <v>44166</v>
      </c>
      <c r="D14" s="1">
        <v>42302</v>
      </c>
      <c r="E14" t="s">
        <v>30</v>
      </c>
      <c r="F14" t="s">
        <v>119</v>
      </c>
      <c r="G14">
        <v>5.0999999999999996</v>
      </c>
      <c r="H14" t="s">
        <v>37</v>
      </c>
      <c r="I14">
        <v>8</v>
      </c>
      <c r="J14">
        <v>1</v>
      </c>
      <c r="K14">
        <v>1</v>
      </c>
      <c r="L14">
        <v>1</v>
      </c>
      <c r="M14" t="s">
        <v>52</v>
      </c>
      <c r="N14" t="s">
        <v>53</v>
      </c>
      <c r="O14" t="s">
        <v>135</v>
      </c>
      <c r="P14">
        <v>1</v>
      </c>
      <c r="Q14" t="s">
        <v>54</v>
      </c>
      <c r="R14" t="s">
        <v>135</v>
      </c>
      <c r="S14">
        <v>1</v>
      </c>
      <c r="T14">
        <v>1</v>
      </c>
    </row>
    <row r="15" spans="1:22" x14ac:dyDescent="0.25">
      <c r="A15">
        <v>32</v>
      </c>
      <c r="B15" t="s">
        <v>23</v>
      </c>
      <c r="C15" s="1">
        <v>44167</v>
      </c>
      <c r="D15" s="1">
        <v>42311</v>
      </c>
      <c r="E15" t="s">
        <v>30</v>
      </c>
      <c r="F15" t="s">
        <v>119</v>
      </c>
      <c r="G15">
        <v>5.0805555560000002</v>
      </c>
      <c r="H15" t="s">
        <v>19</v>
      </c>
      <c r="I15">
        <v>8</v>
      </c>
      <c r="J15">
        <v>1</v>
      </c>
      <c r="K15">
        <v>1</v>
      </c>
      <c r="L15">
        <v>1</v>
      </c>
      <c r="M15" t="s">
        <v>27</v>
      </c>
      <c r="P15">
        <v>1</v>
      </c>
      <c r="Q15" t="s">
        <v>51</v>
      </c>
      <c r="R15" t="s">
        <v>136</v>
      </c>
      <c r="S15">
        <v>1</v>
      </c>
      <c r="T15">
        <v>1</v>
      </c>
    </row>
    <row r="16" spans="1:22" x14ac:dyDescent="0.25">
      <c r="A16">
        <v>33</v>
      </c>
      <c r="B16" t="s">
        <v>17</v>
      </c>
      <c r="C16" s="1">
        <v>44172</v>
      </c>
      <c r="D16" s="1">
        <v>42313</v>
      </c>
      <c r="E16" t="s">
        <v>30</v>
      </c>
      <c r="F16" t="s">
        <v>119</v>
      </c>
      <c r="G16">
        <v>5.0888888889999997</v>
      </c>
      <c r="H16" t="s">
        <v>19</v>
      </c>
      <c r="I16">
        <v>9</v>
      </c>
      <c r="J16">
        <v>1</v>
      </c>
      <c r="K16">
        <v>1</v>
      </c>
      <c r="L16">
        <v>0</v>
      </c>
      <c r="M16" t="s">
        <v>55</v>
      </c>
      <c r="N16" t="s">
        <v>56</v>
      </c>
      <c r="O16" t="s">
        <v>133</v>
      </c>
      <c r="P16">
        <v>0</v>
      </c>
      <c r="Q16" t="s">
        <v>57</v>
      </c>
      <c r="R16" t="s">
        <v>135</v>
      </c>
      <c r="S16">
        <v>1</v>
      </c>
      <c r="T16">
        <v>1</v>
      </c>
    </row>
    <row r="17" spans="1:20" x14ac:dyDescent="0.25">
      <c r="A17">
        <v>34</v>
      </c>
      <c r="B17" t="s">
        <v>23</v>
      </c>
      <c r="C17" s="1">
        <v>44172</v>
      </c>
      <c r="D17" s="1">
        <v>42320</v>
      </c>
      <c r="E17" t="s">
        <v>30</v>
      </c>
      <c r="F17" t="s">
        <v>119</v>
      </c>
      <c r="G17">
        <v>5.0694444440000002</v>
      </c>
      <c r="H17" t="s">
        <v>37</v>
      </c>
      <c r="I17">
        <v>9</v>
      </c>
      <c r="J17">
        <v>1</v>
      </c>
      <c r="K17">
        <v>1</v>
      </c>
      <c r="L17">
        <v>1</v>
      </c>
      <c r="M17" t="s">
        <v>25</v>
      </c>
      <c r="P17">
        <v>3</v>
      </c>
      <c r="Q17" t="s">
        <v>58</v>
      </c>
      <c r="R17" t="s">
        <v>135</v>
      </c>
      <c r="S17">
        <v>1</v>
      </c>
      <c r="T17">
        <v>1</v>
      </c>
    </row>
    <row r="18" spans="1:20" x14ac:dyDescent="0.25">
      <c r="A18">
        <v>35</v>
      </c>
      <c r="B18" t="s">
        <v>17</v>
      </c>
      <c r="C18" s="1">
        <v>44173</v>
      </c>
      <c r="D18" s="1">
        <v>42424</v>
      </c>
      <c r="E18" t="s">
        <v>59</v>
      </c>
      <c r="F18" t="s">
        <v>121</v>
      </c>
      <c r="G18">
        <v>4.7888888889999999</v>
      </c>
      <c r="H18" t="s">
        <v>37</v>
      </c>
      <c r="I18">
        <v>10</v>
      </c>
      <c r="J18">
        <v>0</v>
      </c>
      <c r="K18">
        <v>0</v>
      </c>
      <c r="L18">
        <v>1</v>
      </c>
      <c r="M18" t="s">
        <v>60</v>
      </c>
      <c r="N18" t="s">
        <v>61</v>
      </c>
      <c r="O18" t="s">
        <v>134</v>
      </c>
      <c r="P18">
        <v>2</v>
      </c>
      <c r="Q18" t="s">
        <v>62</v>
      </c>
      <c r="R18" t="s">
        <v>184</v>
      </c>
      <c r="S18">
        <v>0</v>
      </c>
      <c r="T18">
        <v>1</v>
      </c>
    </row>
    <row r="19" spans="1:20" x14ac:dyDescent="0.25">
      <c r="A19">
        <v>36</v>
      </c>
      <c r="B19" t="s">
        <v>23</v>
      </c>
      <c r="C19" s="1">
        <v>44173</v>
      </c>
      <c r="D19" s="1">
        <v>42408</v>
      </c>
      <c r="E19" t="s">
        <v>59</v>
      </c>
      <c r="F19" t="s">
        <v>121</v>
      </c>
      <c r="G19">
        <v>4.8333333329999997</v>
      </c>
      <c r="H19" t="s">
        <v>37</v>
      </c>
      <c r="I19">
        <v>10</v>
      </c>
      <c r="J19">
        <v>0</v>
      </c>
      <c r="K19">
        <v>1</v>
      </c>
      <c r="L19">
        <v>0</v>
      </c>
      <c r="M19" t="s">
        <v>27</v>
      </c>
      <c r="P19">
        <v>1</v>
      </c>
      <c r="Q19" t="s">
        <v>51</v>
      </c>
      <c r="R19" t="s">
        <v>136</v>
      </c>
      <c r="S19">
        <v>0</v>
      </c>
      <c r="T19">
        <v>0</v>
      </c>
    </row>
    <row r="20" spans="1:20" x14ac:dyDescent="0.25">
      <c r="A20">
        <v>37</v>
      </c>
      <c r="B20" t="s">
        <v>17</v>
      </c>
      <c r="C20" s="1">
        <v>44173</v>
      </c>
      <c r="D20" s="1">
        <v>42446</v>
      </c>
      <c r="E20" t="s">
        <v>59</v>
      </c>
      <c r="F20" t="s">
        <v>121</v>
      </c>
      <c r="G20">
        <v>4.7249999999999996</v>
      </c>
      <c r="H20" t="s">
        <v>19</v>
      </c>
      <c r="I20">
        <v>11</v>
      </c>
      <c r="J20">
        <v>1</v>
      </c>
      <c r="K20">
        <v>1</v>
      </c>
      <c r="L20">
        <v>1</v>
      </c>
      <c r="M20" t="s">
        <v>27</v>
      </c>
      <c r="N20" t="s">
        <v>63</v>
      </c>
      <c r="O20" t="s">
        <v>134</v>
      </c>
      <c r="P20">
        <v>1</v>
      </c>
      <c r="Q20" t="s">
        <v>64</v>
      </c>
      <c r="R20" t="s">
        <v>135</v>
      </c>
      <c r="S20">
        <v>0</v>
      </c>
      <c r="T20">
        <v>0</v>
      </c>
    </row>
    <row r="21" spans="1:20" x14ac:dyDescent="0.25">
      <c r="A21">
        <v>38</v>
      </c>
      <c r="B21" t="s">
        <v>23</v>
      </c>
      <c r="C21" s="1">
        <v>44174</v>
      </c>
      <c r="D21" s="1">
        <v>42414</v>
      </c>
      <c r="E21" t="s">
        <v>59</v>
      </c>
      <c r="F21" t="s">
        <v>121</v>
      </c>
      <c r="G21">
        <v>4.8194444440000002</v>
      </c>
      <c r="H21" t="s">
        <v>37</v>
      </c>
      <c r="I21">
        <v>11</v>
      </c>
      <c r="J21">
        <v>1</v>
      </c>
      <c r="K21">
        <v>1</v>
      </c>
      <c r="L21">
        <v>1</v>
      </c>
      <c r="M21" t="s">
        <v>27</v>
      </c>
      <c r="P21">
        <v>1</v>
      </c>
      <c r="Q21" t="s">
        <v>51</v>
      </c>
      <c r="R21" t="s">
        <v>136</v>
      </c>
      <c r="S21">
        <v>1</v>
      </c>
      <c r="T21">
        <v>1</v>
      </c>
    </row>
    <row r="22" spans="1:20" x14ac:dyDescent="0.25">
      <c r="A22">
        <v>39</v>
      </c>
      <c r="B22" t="s">
        <v>17</v>
      </c>
      <c r="C22" s="1">
        <v>44174</v>
      </c>
      <c r="D22" s="1">
        <v>42451</v>
      </c>
      <c r="E22" t="s">
        <v>59</v>
      </c>
      <c r="F22" t="s">
        <v>121</v>
      </c>
      <c r="G22">
        <v>4.7138888889999997</v>
      </c>
      <c r="H22" t="s">
        <v>37</v>
      </c>
      <c r="I22">
        <v>12</v>
      </c>
      <c r="J22">
        <v>1</v>
      </c>
      <c r="K22">
        <v>1</v>
      </c>
      <c r="L22">
        <v>1</v>
      </c>
      <c r="M22" t="s">
        <v>65</v>
      </c>
      <c r="N22" t="s">
        <v>66</v>
      </c>
      <c r="O22" t="s">
        <v>135</v>
      </c>
      <c r="P22">
        <v>3</v>
      </c>
      <c r="Q22" t="s">
        <v>67</v>
      </c>
      <c r="R22" t="s">
        <v>183</v>
      </c>
      <c r="S22">
        <v>1</v>
      </c>
      <c r="T22">
        <v>1</v>
      </c>
    </row>
    <row r="23" spans="1:20" x14ac:dyDescent="0.25">
      <c r="A23">
        <v>40</v>
      </c>
      <c r="B23" t="s">
        <v>23</v>
      </c>
      <c r="C23" s="1">
        <v>44174</v>
      </c>
      <c r="D23" s="1">
        <v>42415</v>
      </c>
      <c r="E23" t="s">
        <v>59</v>
      </c>
      <c r="F23" t="s">
        <v>121</v>
      </c>
      <c r="G23">
        <v>4.8166666669999998</v>
      </c>
      <c r="H23" t="s">
        <v>37</v>
      </c>
      <c r="I23">
        <v>12</v>
      </c>
      <c r="J23">
        <v>1</v>
      </c>
      <c r="K23">
        <v>0</v>
      </c>
      <c r="L23">
        <v>0</v>
      </c>
      <c r="M23" t="s">
        <v>68</v>
      </c>
      <c r="P23">
        <v>2</v>
      </c>
      <c r="Q23" t="s">
        <v>69</v>
      </c>
      <c r="R23" t="s">
        <v>183</v>
      </c>
      <c r="S23">
        <v>0</v>
      </c>
      <c r="T23">
        <v>0</v>
      </c>
    </row>
    <row r="24" spans="1:20" x14ac:dyDescent="0.25">
      <c r="A24">
        <v>41</v>
      </c>
      <c r="B24" t="s">
        <v>17</v>
      </c>
      <c r="C24" s="1">
        <v>44175</v>
      </c>
      <c r="D24" s="1">
        <v>42540</v>
      </c>
      <c r="E24" t="s">
        <v>166</v>
      </c>
      <c r="F24" t="s">
        <v>121</v>
      </c>
      <c r="G24">
        <v>4.4749999999999996</v>
      </c>
      <c r="H24" t="s">
        <v>19</v>
      </c>
      <c r="I24">
        <v>13</v>
      </c>
      <c r="J24">
        <v>1</v>
      </c>
      <c r="K24">
        <v>1</v>
      </c>
      <c r="L24">
        <v>1</v>
      </c>
      <c r="M24" t="s">
        <v>27</v>
      </c>
      <c r="N24" t="s">
        <v>164</v>
      </c>
      <c r="O24" t="s">
        <v>135</v>
      </c>
      <c r="P24">
        <v>1</v>
      </c>
      <c r="Q24" t="s">
        <v>51</v>
      </c>
      <c r="R24" t="s">
        <v>136</v>
      </c>
      <c r="S24">
        <v>0</v>
      </c>
      <c r="T24">
        <v>1</v>
      </c>
    </row>
    <row r="25" spans="1:20" x14ac:dyDescent="0.25">
      <c r="A25">
        <v>42</v>
      </c>
      <c r="B25" t="s">
        <v>17</v>
      </c>
      <c r="C25" s="1">
        <v>44176</v>
      </c>
      <c r="D25" s="1">
        <v>42442</v>
      </c>
      <c r="E25" t="s">
        <v>59</v>
      </c>
      <c r="F25" t="s">
        <v>121</v>
      </c>
      <c r="G25">
        <v>4.744444444</v>
      </c>
      <c r="H25" t="s">
        <v>37</v>
      </c>
      <c r="I25">
        <v>14</v>
      </c>
      <c r="J25">
        <v>1</v>
      </c>
      <c r="K25">
        <v>0</v>
      </c>
      <c r="L25">
        <v>0</v>
      </c>
      <c r="M25" t="s">
        <v>70</v>
      </c>
      <c r="N25" t="s">
        <v>71</v>
      </c>
      <c r="O25" t="s">
        <v>134</v>
      </c>
      <c r="P25">
        <v>1</v>
      </c>
      <c r="Q25" t="s">
        <v>72</v>
      </c>
      <c r="R25" t="s">
        <v>135</v>
      </c>
      <c r="S25">
        <v>0</v>
      </c>
      <c r="T25">
        <v>0</v>
      </c>
    </row>
    <row r="26" spans="1:20" x14ac:dyDescent="0.25">
      <c r="A26">
        <v>43</v>
      </c>
      <c r="B26" t="s">
        <v>23</v>
      </c>
      <c r="C26" s="1">
        <v>44176</v>
      </c>
      <c r="D26" s="1">
        <v>42442</v>
      </c>
      <c r="E26" t="s">
        <v>59</v>
      </c>
      <c r="F26" t="s">
        <v>121</v>
      </c>
      <c r="G26">
        <v>4.744444444</v>
      </c>
      <c r="H26" t="s">
        <v>37</v>
      </c>
      <c r="I26">
        <v>14</v>
      </c>
      <c r="J26">
        <v>1</v>
      </c>
      <c r="K26">
        <v>1</v>
      </c>
      <c r="L26">
        <v>1</v>
      </c>
      <c r="M26" t="s">
        <v>73</v>
      </c>
      <c r="P26">
        <v>1</v>
      </c>
      <c r="Q26" t="s">
        <v>74</v>
      </c>
      <c r="R26" t="s">
        <v>135</v>
      </c>
      <c r="S26">
        <v>0</v>
      </c>
      <c r="T26">
        <v>0</v>
      </c>
    </row>
    <row r="27" spans="1:20" x14ac:dyDescent="0.25">
      <c r="A27">
        <v>47</v>
      </c>
      <c r="B27" t="s">
        <v>17</v>
      </c>
      <c r="C27" s="1">
        <v>44193</v>
      </c>
      <c r="D27" s="1">
        <v>41913</v>
      </c>
      <c r="E27" t="s">
        <v>42</v>
      </c>
      <c r="F27" t="s">
        <v>120</v>
      </c>
      <c r="G27">
        <v>6.2416666669999996</v>
      </c>
      <c r="H27" t="s">
        <v>19</v>
      </c>
      <c r="I27">
        <v>15</v>
      </c>
      <c r="J27">
        <v>1</v>
      </c>
      <c r="K27">
        <v>1</v>
      </c>
      <c r="L27">
        <v>1</v>
      </c>
      <c r="M27" t="s">
        <v>27</v>
      </c>
      <c r="N27" t="s">
        <v>75</v>
      </c>
      <c r="O27" t="s">
        <v>136</v>
      </c>
      <c r="P27">
        <v>1</v>
      </c>
      <c r="Q27" t="s">
        <v>51</v>
      </c>
      <c r="R27" t="s">
        <v>136</v>
      </c>
      <c r="S27">
        <v>1</v>
      </c>
      <c r="T27">
        <v>1</v>
      </c>
    </row>
    <row r="28" spans="1:20" x14ac:dyDescent="0.25">
      <c r="A28">
        <v>48</v>
      </c>
      <c r="B28" t="s">
        <v>23</v>
      </c>
      <c r="C28" s="1">
        <v>44193</v>
      </c>
      <c r="D28" s="1">
        <v>41913</v>
      </c>
      <c r="E28" t="s">
        <v>42</v>
      </c>
      <c r="F28" t="s">
        <v>120</v>
      </c>
      <c r="G28">
        <v>6.2416666669999996</v>
      </c>
      <c r="H28" t="s">
        <v>19</v>
      </c>
      <c r="I28">
        <v>15</v>
      </c>
      <c r="J28">
        <v>1</v>
      </c>
      <c r="K28">
        <v>1</v>
      </c>
      <c r="L28">
        <v>1</v>
      </c>
      <c r="M28" t="s">
        <v>25</v>
      </c>
      <c r="P28">
        <v>1</v>
      </c>
      <c r="Q28" t="s">
        <v>76</v>
      </c>
      <c r="R28" t="s">
        <v>134</v>
      </c>
      <c r="S28">
        <v>1</v>
      </c>
      <c r="T28">
        <v>1</v>
      </c>
    </row>
    <row r="29" spans="1:20" x14ac:dyDescent="0.25">
      <c r="A29">
        <v>52</v>
      </c>
      <c r="B29" t="s">
        <v>17</v>
      </c>
      <c r="C29" s="1">
        <v>44204</v>
      </c>
      <c r="D29" s="1">
        <v>42143</v>
      </c>
      <c r="E29" t="s">
        <v>18</v>
      </c>
      <c r="F29" t="s">
        <v>119</v>
      </c>
      <c r="G29">
        <v>5.636111111</v>
      </c>
      <c r="H29" t="s">
        <v>37</v>
      </c>
      <c r="I29">
        <v>16</v>
      </c>
      <c r="J29">
        <v>1</v>
      </c>
      <c r="K29">
        <v>1</v>
      </c>
      <c r="L29">
        <v>1</v>
      </c>
      <c r="M29" t="s">
        <v>77</v>
      </c>
      <c r="N29" t="s">
        <v>78</v>
      </c>
      <c r="O29" t="s">
        <v>135</v>
      </c>
      <c r="P29">
        <v>3</v>
      </c>
      <c r="Q29" t="s">
        <v>79</v>
      </c>
      <c r="R29" t="s">
        <v>183</v>
      </c>
      <c r="S29">
        <v>1</v>
      </c>
      <c r="T29">
        <v>1</v>
      </c>
    </row>
    <row r="30" spans="1:20" x14ac:dyDescent="0.25">
      <c r="A30">
        <v>53</v>
      </c>
      <c r="B30" t="s">
        <v>17</v>
      </c>
      <c r="C30" s="1">
        <v>44204</v>
      </c>
      <c r="D30" s="1">
        <v>42091</v>
      </c>
      <c r="E30" t="s">
        <v>24</v>
      </c>
      <c r="F30" t="s">
        <v>119</v>
      </c>
      <c r="G30">
        <v>5.7777777779999999</v>
      </c>
      <c r="H30" t="s">
        <v>37</v>
      </c>
      <c r="I30">
        <v>17</v>
      </c>
      <c r="J30">
        <v>1</v>
      </c>
      <c r="K30">
        <v>0</v>
      </c>
      <c r="L30">
        <v>1</v>
      </c>
      <c r="M30" t="s">
        <v>27</v>
      </c>
      <c r="N30" t="s">
        <v>80</v>
      </c>
      <c r="O30" t="s">
        <v>135</v>
      </c>
      <c r="P30">
        <v>1</v>
      </c>
      <c r="Q30" t="s">
        <v>81</v>
      </c>
      <c r="R30" t="s">
        <v>134</v>
      </c>
      <c r="S30">
        <v>0</v>
      </c>
      <c r="T30">
        <v>1</v>
      </c>
    </row>
    <row r="31" spans="1:20" x14ac:dyDescent="0.25">
      <c r="A31">
        <v>54</v>
      </c>
      <c r="B31" t="s">
        <v>17</v>
      </c>
      <c r="C31" s="1">
        <v>44205</v>
      </c>
      <c r="D31" s="1">
        <v>42503</v>
      </c>
      <c r="E31" t="s">
        <v>166</v>
      </c>
      <c r="F31" t="s">
        <v>121</v>
      </c>
      <c r="G31">
        <v>4.6555555560000004</v>
      </c>
      <c r="H31" t="s">
        <v>37</v>
      </c>
      <c r="I31">
        <v>18</v>
      </c>
      <c r="J31">
        <v>0</v>
      </c>
      <c r="K31">
        <v>1</v>
      </c>
      <c r="L31">
        <v>1</v>
      </c>
      <c r="M31" t="s">
        <v>60</v>
      </c>
      <c r="N31" t="s">
        <v>167</v>
      </c>
      <c r="O31" t="s">
        <v>135</v>
      </c>
      <c r="P31">
        <v>1</v>
      </c>
      <c r="Q31" t="s">
        <v>51</v>
      </c>
      <c r="R31" t="s">
        <v>136</v>
      </c>
      <c r="S31">
        <v>1</v>
      </c>
      <c r="T31">
        <v>1</v>
      </c>
    </row>
    <row r="32" spans="1:20" x14ac:dyDescent="0.25">
      <c r="A32">
        <v>55</v>
      </c>
      <c r="B32" t="s">
        <v>17</v>
      </c>
      <c r="C32" s="1">
        <v>44207</v>
      </c>
      <c r="D32" s="1">
        <v>42339</v>
      </c>
      <c r="E32" t="s">
        <v>30</v>
      </c>
      <c r="F32" t="s">
        <v>119</v>
      </c>
      <c r="G32">
        <v>5.1111111109999996</v>
      </c>
      <c r="H32" t="s">
        <v>37</v>
      </c>
      <c r="I32">
        <v>19</v>
      </c>
      <c r="J32">
        <v>1</v>
      </c>
      <c r="K32">
        <v>1</v>
      </c>
      <c r="L32">
        <v>1</v>
      </c>
      <c r="M32" t="s">
        <v>77</v>
      </c>
      <c r="N32" t="s">
        <v>84</v>
      </c>
      <c r="O32" t="s">
        <v>135</v>
      </c>
      <c r="P32">
        <v>1</v>
      </c>
      <c r="Q32" t="s">
        <v>85</v>
      </c>
      <c r="R32" t="s">
        <v>135</v>
      </c>
      <c r="S32">
        <v>1</v>
      </c>
      <c r="T32">
        <v>1</v>
      </c>
    </row>
    <row r="33" spans="1:20" x14ac:dyDescent="0.25">
      <c r="A33">
        <v>56</v>
      </c>
      <c r="B33" t="s">
        <v>23</v>
      </c>
      <c r="C33" s="1">
        <v>44208</v>
      </c>
      <c r="D33" s="1">
        <v>42185</v>
      </c>
      <c r="E33" t="s">
        <v>18</v>
      </c>
      <c r="F33" t="s">
        <v>119</v>
      </c>
      <c r="G33">
        <v>5.5333333329999999</v>
      </c>
      <c r="H33" t="s">
        <v>19</v>
      </c>
      <c r="I33">
        <v>16</v>
      </c>
      <c r="J33">
        <v>1</v>
      </c>
      <c r="K33">
        <v>1</v>
      </c>
      <c r="L33">
        <v>1</v>
      </c>
      <c r="M33" t="s">
        <v>27</v>
      </c>
      <c r="P33">
        <v>1</v>
      </c>
      <c r="Q33" t="s">
        <v>51</v>
      </c>
      <c r="R33" t="s">
        <v>136</v>
      </c>
      <c r="S33">
        <v>1</v>
      </c>
      <c r="T33">
        <v>1</v>
      </c>
    </row>
    <row r="34" spans="1:20" x14ac:dyDescent="0.25">
      <c r="A34">
        <v>57</v>
      </c>
      <c r="B34" t="s">
        <v>23</v>
      </c>
      <c r="C34" s="1">
        <v>44209</v>
      </c>
      <c r="D34" s="1">
        <v>42365</v>
      </c>
      <c r="E34" t="s">
        <v>30</v>
      </c>
      <c r="F34" t="s">
        <v>119</v>
      </c>
      <c r="G34">
        <v>5.0444444439999998</v>
      </c>
      <c r="H34" t="s">
        <v>37</v>
      </c>
      <c r="I34">
        <v>19</v>
      </c>
      <c r="J34">
        <v>1</v>
      </c>
      <c r="K34">
        <v>1</v>
      </c>
      <c r="L34">
        <v>1</v>
      </c>
      <c r="M34" t="s">
        <v>86</v>
      </c>
      <c r="P34">
        <v>2</v>
      </c>
      <c r="Q34" t="s">
        <v>87</v>
      </c>
      <c r="R34" t="s">
        <v>135</v>
      </c>
      <c r="S34">
        <v>1</v>
      </c>
      <c r="T34">
        <v>1</v>
      </c>
    </row>
    <row r="35" spans="1:20" x14ac:dyDescent="0.25">
      <c r="A35">
        <v>59</v>
      </c>
      <c r="B35" t="s">
        <v>17</v>
      </c>
      <c r="C35" s="1">
        <v>44210</v>
      </c>
      <c r="D35" s="1">
        <v>42258</v>
      </c>
      <c r="E35" t="s">
        <v>30</v>
      </c>
      <c r="F35" t="s">
        <v>119</v>
      </c>
      <c r="G35">
        <v>5.3416666670000001</v>
      </c>
      <c r="H35" t="s">
        <v>19</v>
      </c>
      <c r="I35">
        <v>20</v>
      </c>
      <c r="J35">
        <v>1</v>
      </c>
      <c r="K35">
        <v>1</v>
      </c>
      <c r="L35">
        <v>1</v>
      </c>
      <c r="M35" t="s">
        <v>88</v>
      </c>
      <c r="N35" t="s">
        <v>89</v>
      </c>
      <c r="O35" t="s">
        <v>184</v>
      </c>
      <c r="P35">
        <v>2</v>
      </c>
      <c r="Q35" t="s">
        <v>90</v>
      </c>
      <c r="R35" t="s">
        <v>135</v>
      </c>
      <c r="S35">
        <v>1</v>
      </c>
      <c r="T35">
        <v>1</v>
      </c>
    </row>
    <row r="36" spans="1:20" x14ac:dyDescent="0.25">
      <c r="A36">
        <v>60</v>
      </c>
      <c r="B36" t="s">
        <v>23</v>
      </c>
      <c r="C36" s="1">
        <v>44210</v>
      </c>
      <c r="D36" s="1">
        <v>42069</v>
      </c>
      <c r="E36" t="s">
        <v>24</v>
      </c>
      <c r="F36" t="s">
        <v>119</v>
      </c>
      <c r="G36">
        <v>5.8555555559999997</v>
      </c>
      <c r="H36" t="s">
        <v>19</v>
      </c>
      <c r="I36">
        <v>17</v>
      </c>
      <c r="J36">
        <v>1</v>
      </c>
      <c r="K36">
        <v>1</v>
      </c>
      <c r="L36">
        <v>1</v>
      </c>
      <c r="M36" t="s">
        <v>82</v>
      </c>
      <c r="P36">
        <v>2</v>
      </c>
      <c r="Q36" t="s">
        <v>83</v>
      </c>
      <c r="R36" t="s">
        <v>135</v>
      </c>
      <c r="S36">
        <v>1</v>
      </c>
      <c r="T36">
        <v>1</v>
      </c>
    </row>
    <row r="37" spans="1:20" x14ac:dyDescent="0.25">
      <c r="A37">
        <v>61</v>
      </c>
      <c r="B37" t="s">
        <v>23</v>
      </c>
      <c r="C37" s="1">
        <v>44210</v>
      </c>
      <c r="D37" s="1">
        <v>42351</v>
      </c>
      <c r="E37" t="s">
        <v>30</v>
      </c>
      <c r="F37" t="s">
        <v>119</v>
      </c>
      <c r="G37">
        <v>5.0861111110000001</v>
      </c>
      <c r="H37" t="s">
        <v>37</v>
      </c>
      <c r="I37">
        <v>20</v>
      </c>
      <c r="J37">
        <v>1</v>
      </c>
      <c r="K37">
        <v>1</v>
      </c>
      <c r="L37">
        <v>1</v>
      </c>
      <c r="M37" t="s">
        <v>60</v>
      </c>
      <c r="P37">
        <v>2</v>
      </c>
      <c r="Q37" t="s">
        <v>62</v>
      </c>
      <c r="R37" t="s">
        <v>184</v>
      </c>
      <c r="S37">
        <v>1</v>
      </c>
      <c r="T37">
        <v>1</v>
      </c>
    </row>
    <row r="38" spans="1:20" x14ac:dyDescent="0.25">
      <c r="A38">
        <v>63</v>
      </c>
      <c r="B38" t="s">
        <v>17</v>
      </c>
      <c r="C38" s="1">
        <v>44211</v>
      </c>
      <c r="D38" s="1">
        <v>42088</v>
      </c>
      <c r="E38" t="s">
        <v>24</v>
      </c>
      <c r="F38" t="s">
        <v>119</v>
      </c>
      <c r="G38">
        <v>5.8055555559999998</v>
      </c>
      <c r="H38" t="s">
        <v>37</v>
      </c>
      <c r="I38">
        <v>21</v>
      </c>
      <c r="J38">
        <v>1</v>
      </c>
      <c r="K38">
        <v>1</v>
      </c>
      <c r="L38">
        <v>1</v>
      </c>
      <c r="M38" t="s">
        <v>172</v>
      </c>
      <c r="N38" t="s">
        <v>169</v>
      </c>
      <c r="O38" t="s">
        <v>133</v>
      </c>
      <c r="P38">
        <v>3</v>
      </c>
      <c r="Q38" t="s">
        <v>170</v>
      </c>
      <c r="R38" t="s">
        <v>133</v>
      </c>
      <c r="S38">
        <v>1</v>
      </c>
      <c r="T38">
        <v>1</v>
      </c>
    </row>
    <row r="39" spans="1:20" x14ac:dyDescent="0.25">
      <c r="A39">
        <v>65</v>
      </c>
      <c r="B39" t="s">
        <v>17</v>
      </c>
      <c r="C39" s="1">
        <v>44215</v>
      </c>
      <c r="D39" s="1">
        <v>42180</v>
      </c>
      <c r="E39" t="s">
        <v>18</v>
      </c>
      <c r="F39" t="s">
        <v>119</v>
      </c>
      <c r="G39">
        <v>5.5666666669999998</v>
      </c>
      <c r="H39" t="s">
        <v>37</v>
      </c>
      <c r="I39">
        <v>22</v>
      </c>
      <c r="J39">
        <v>1</v>
      </c>
      <c r="K39">
        <v>1</v>
      </c>
      <c r="L39">
        <v>1</v>
      </c>
      <c r="M39" t="s">
        <v>27</v>
      </c>
      <c r="N39" t="s">
        <v>91</v>
      </c>
      <c r="O39" t="s">
        <v>134</v>
      </c>
      <c r="P39">
        <v>3</v>
      </c>
      <c r="Q39" t="s">
        <v>92</v>
      </c>
      <c r="R39" t="s">
        <v>135</v>
      </c>
      <c r="S39">
        <v>0</v>
      </c>
      <c r="T39">
        <v>0</v>
      </c>
    </row>
    <row r="40" spans="1:20" x14ac:dyDescent="0.25">
      <c r="A40">
        <v>66</v>
      </c>
      <c r="B40" t="s">
        <v>23</v>
      </c>
      <c r="C40" s="1">
        <v>44216</v>
      </c>
      <c r="D40" s="1">
        <v>42136</v>
      </c>
      <c r="E40" t="s">
        <v>18</v>
      </c>
      <c r="F40" t="s">
        <v>119</v>
      </c>
      <c r="G40">
        <v>5.6888888890000002</v>
      </c>
      <c r="H40" t="s">
        <v>19</v>
      </c>
      <c r="I40">
        <v>22</v>
      </c>
      <c r="J40">
        <v>1</v>
      </c>
      <c r="K40">
        <v>1</v>
      </c>
      <c r="L40">
        <v>1</v>
      </c>
      <c r="M40" t="s">
        <v>93</v>
      </c>
      <c r="P40">
        <v>1</v>
      </c>
      <c r="Q40" t="s">
        <v>94</v>
      </c>
      <c r="R40" t="s">
        <v>135</v>
      </c>
      <c r="S40">
        <v>1</v>
      </c>
      <c r="T40">
        <v>1</v>
      </c>
    </row>
    <row r="41" spans="1:20" x14ac:dyDescent="0.25">
      <c r="A41">
        <v>67</v>
      </c>
      <c r="B41" t="s">
        <v>17</v>
      </c>
      <c r="C41" s="1">
        <v>44216</v>
      </c>
      <c r="D41" s="1">
        <v>42157</v>
      </c>
      <c r="E41" t="s">
        <v>18</v>
      </c>
      <c r="F41" t="s">
        <v>119</v>
      </c>
      <c r="G41">
        <v>5.6333333330000004</v>
      </c>
      <c r="H41" t="s">
        <v>37</v>
      </c>
      <c r="I41">
        <v>23</v>
      </c>
      <c r="J41">
        <v>1</v>
      </c>
      <c r="K41">
        <v>1</v>
      </c>
      <c r="L41">
        <v>1</v>
      </c>
      <c r="M41" t="s">
        <v>27</v>
      </c>
      <c r="N41" t="s">
        <v>95</v>
      </c>
      <c r="O41" t="s">
        <v>136</v>
      </c>
      <c r="P41">
        <v>3</v>
      </c>
      <c r="Q41" t="s">
        <v>43</v>
      </c>
      <c r="R41" t="s">
        <v>183</v>
      </c>
      <c r="S41">
        <v>1</v>
      </c>
      <c r="T41">
        <v>1</v>
      </c>
    </row>
    <row r="42" spans="1:20" x14ac:dyDescent="0.25">
      <c r="A42">
        <v>69</v>
      </c>
      <c r="B42" t="s">
        <v>17</v>
      </c>
      <c r="C42" s="1">
        <v>44218</v>
      </c>
      <c r="D42" s="1">
        <v>41818</v>
      </c>
      <c r="E42" t="s">
        <v>33</v>
      </c>
      <c r="F42" t="s">
        <v>120</v>
      </c>
      <c r="G42">
        <v>6.5666666669999998</v>
      </c>
      <c r="H42" t="s">
        <v>19</v>
      </c>
      <c r="I42">
        <v>24</v>
      </c>
      <c r="J42">
        <v>1</v>
      </c>
      <c r="K42">
        <v>1</v>
      </c>
      <c r="L42">
        <v>1</v>
      </c>
      <c r="M42" t="s">
        <v>98</v>
      </c>
      <c r="N42" t="s">
        <v>99</v>
      </c>
      <c r="O42" t="s">
        <v>135</v>
      </c>
      <c r="P42">
        <v>3</v>
      </c>
      <c r="Q42" t="s">
        <v>100</v>
      </c>
      <c r="R42" t="s">
        <v>133</v>
      </c>
      <c r="S42">
        <v>1</v>
      </c>
      <c r="T42">
        <v>1</v>
      </c>
    </row>
    <row r="43" spans="1:20" x14ac:dyDescent="0.25">
      <c r="A43">
        <v>70</v>
      </c>
      <c r="B43" t="s">
        <v>17</v>
      </c>
      <c r="C43" s="1">
        <v>44219</v>
      </c>
      <c r="D43" s="1">
        <v>41683</v>
      </c>
      <c r="E43" t="s">
        <v>38</v>
      </c>
      <c r="F43" t="s">
        <v>120</v>
      </c>
      <c r="G43">
        <v>6.9444444440000002</v>
      </c>
      <c r="H43" t="s">
        <v>19</v>
      </c>
      <c r="I43">
        <v>25</v>
      </c>
      <c r="J43">
        <v>1</v>
      </c>
      <c r="K43">
        <v>1</v>
      </c>
      <c r="L43">
        <v>1</v>
      </c>
      <c r="M43" t="s">
        <v>103</v>
      </c>
      <c r="N43" t="s">
        <v>104</v>
      </c>
      <c r="O43" t="s">
        <v>135</v>
      </c>
      <c r="P43">
        <v>3</v>
      </c>
      <c r="Q43" t="s">
        <v>105</v>
      </c>
      <c r="R43" t="s">
        <v>135</v>
      </c>
      <c r="S43">
        <v>1</v>
      </c>
      <c r="T43">
        <v>1</v>
      </c>
    </row>
    <row r="44" spans="1:20" x14ac:dyDescent="0.25">
      <c r="A44">
        <v>71</v>
      </c>
      <c r="B44" t="s">
        <v>17</v>
      </c>
      <c r="C44" s="1">
        <v>44221</v>
      </c>
      <c r="D44" s="1">
        <v>41956</v>
      </c>
      <c r="E44" t="s">
        <v>42</v>
      </c>
      <c r="F44" t="s">
        <v>120</v>
      </c>
      <c r="G44">
        <v>6.2</v>
      </c>
      <c r="H44" t="s">
        <v>37</v>
      </c>
      <c r="I44">
        <v>26</v>
      </c>
      <c r="J44">
        <v>1</v>
      </c>
      <c r="K44">
        <v>1</v>
      </c>
      <c r="L44">
        <v>1</v>
      </c>
      <c r="M44" t="s">
        <v>124</v>
      </c>
      <c r="N44" t="s">
        <v>125</v>
      </c>
      <c r="O44" t="s">
        <v>135</v>
      </c>
      <c r="P44">
        <v>1</v>
      </c>
      <c r="Q44" t="s">
        <v>126</v>
      </c>
      <c r="R44" t="s">
        <v>135</v>
      </c>
      <c r="S44">
        <v>1</v>
      </c>
      <c r="T44">
        <v>1</v>
      </c>
    </row>
    <row r="45" spans="1:20" x14ac:dyDescent="0.25">
      <c r="A45">
        <v>72</v>
      </c>
      <c r="B45" t="s">
        <v>23</v>
      </c>
      <c r="C45" s="1">
        <v>44221</v>
      </c>
      <c r="D45" s="1">
        <v>41730</v>
      </c>
      <c r="E45" t="s">
        <v>38</v>
      </c>
      <c r="F45" t="s">
        <v>120</v>
      </c>
      <c r="G45">
        <v>6.8166666669999998</v>
      </c>
      <c r="H45" t="s">
        <v>19</v>
      </c>
      <c r="I45">
        <v>25</v>
      </c>
      <c r="J45">
        <v>1</v>
      </c>
      <c r="K45">
        <v>1</v>
      </c>
      <c r="L45">
        <v>1</v>
      </c>
      <c r="M45" t="s">
        <v>106</v>
      </c>
      <c r="P45">
        <v>3</v>
      </c>
      <c r="Q45" t="s">
        <v>107</v>
      </c>
      <c r="R45" t="s">
        <v>135</v>
      </c>
      <c r="S45">
        <v>1</v>
      </c>
      <c r="T45">
        <v>1</v>
      </c>
    </row>
    <row r="46" spans="1:20" x14ac:dyDescent="0.25">
      <c r="A46">
        <v>73</v>
      </c>
      <c r="B46" t="s">
        <v>17</v>
      </c>
      <c r="C46" s="1">
        <v>44221</v>
      </c>
      <c r="D46" s="1">
        <v>41699</v>
      </c>
      <c r="E46" t="s">
        <v>38</v>
      </c>
      <c r="F46" t="s">
        <v>120</v>
      </c>
      <c r="G46">
        <v>6.9</v>
      </c>
      <c r="H46" t="s">
        <v>37</v>
      </c>
      <c r="I46">
        <v>27</v>
      </c>
      <c r="J46">
        <v>1</v>
      </c>
      <c r="K46">
        <v>1</v>
      </c>
      <c r="L46">
        <v>1</v>
      </c>
      <c r="M46" t="s">
        <v>108</v>
      </c>
      <c r="N46" t="s">
        <v>109</v>
      </c>
      <c r="O46" t="s">
        <v>135</v>
      </c>
      <c r="P46">
        <v>2</v>
      </c>
      <c r="Q46" t="s">
        <v>110</v>
      </c>
      <c r="R46" t="s">
        <v>135</v>
      </c>
      <c r="S46">
        <v>1</v>
      </c>
      <c r="T46">
        <v>1</v>
      </c>
    </row>
    <row r="47" spans="1:20" x14ac:dyDescent="0.25">
      <c r="A47">
        <v>74</v>
      </c>
      <c r="B47" t="s">
        <v>23</v>
      </c>
      <c r="C47" s="1">
        <v>44223</v>
      </c>
      <c r="D47" s="1">
        <v>42150</v>
      </c>
      <c r="E47" t="s">
        <v>18</v>
      </c>
      <c r="F47" t="s">
        <v>119</v>
      </c>
      <c r="G47">
        <v>5.6694444439999998</v>
      </c>
      <c r="H47" t="s">
        <v>37</v>
      </c>
      <c r="I47">
        <v>23</v>
      </c>
      <c r="J47">
        <v>1</v>
      </c>
      <c r="K47">
        <v>1</v>
      </c>
      <c r="L47">
        <v>1</v>
      </c>
      <c r="M47" t="s">
        <v>96</v>
      </c>
      <c r="P47">
        <v>3</v>
      </c>
      <c r="Q47" t="s">
        <v>97</v>
      </c>
      <c r="R47" t="s">
        <v>133</v>
      </c>
      <c r="S47">
        <v>1</v>
      </c>
      <c r="T47">
        <v>1</v>
      </c>
    </row>
    <row r="48" spans="1:20" x14ac:dyDescent="0.25">
      <c r="A48">
        <v>76</v>
      </c>
      <c r="B48" t="s">
        <v>23</v>
      </c>
      <c r="C48" s="1">
        <v>44225</v>
      </c>
      <c r="D48" s="1">
        <v>41750</v>
      </c>
      <c r="E48" t="s">
        <v>38</v>
      </c>
      <c r="F48" t="s">
        <v>120</v>
      </c>
      <c r="G48">
        <v>6.7722222219999999</v>
      </c>
      <c r="H48" t="s">
        <v>37</v>
      </c>
      <c r="I48">
        <v>27</v>
      </c>
      <c r="J48">
        <v>1</v>
      </c>
      <c r="K48">
        <v>1</v>
      </c>
      <c r="L48">
        <v>1</v>
      </c>
      <c r="M48" t="s">
        <v>111</v>
      </c>
      <c r="P48">
        <v>1</v>
      </c>
      <c r="Q48" t="s">
        <v>112</v>
      </c>
      <c r="R48" t="s">
        <v>135</v>
      </c>
      <c r="S48">
        <v>1</v>
      </c>
      <c r="T48">
        <v>1</v>
      </c>
    </row>
    <row r="49" spans="1:22" x14ac:dyDescent="0.25">
      <c r="A49">
        <v>77</v>
      </c>
      <c r="B49" t="s">
        <v>23</v>
      </c>
      <c r="C49" s="1">
        <v>44225</v>
      </c>
      <c r="D49" s="1">
        <v>41884</v>
      </c>
      <c r="E49" t="s">
        <v>33</v>
      </c>
      <c r="F49" t="s">
        <v>120</v>
      </c>
      <c r="G49">
        <v>6.4083333329999999</v>
      </c>
      <c r="H49" t="s">
        <v>19</v>
      </c>
      <c r="I49">
        <v>24</v>
      </c>
      <c r="J49">
        <v>1</v>
      </c>
      <c r="K49">
        <v>1</v>
      </c>
      <c r="L49">
        <v>1</v>
      </c>
      <c r="M49" t="s">
        <v>101</v>
      </c>
      <c r="P49">
        <v>1</v>
      </c>
      <c r="Q49" t="s">
        <v>102</v>
      </c>
      <c r="R49" t="s">
        <v>135</v>
      </c>
      <c r="S49">
        <v>1</v>
      </c>
      <c r="T49">
        <v>1</v>
      </c>
    </row>
    <row r="50" spans="1:22" x14ac:dyDescent="0.25">
      <c r="A50">
        <v>78</v>
      </c>
      <c r="B50" t="s">
        <v>17</v>
      </c>
      <c r="C50" s="1">
        <v>44228</v>
      </c>
      <c r="D50" s="1">
        <v>41871</v>
      </c>
      <c r="E50" t="s">
        <v>33</v>
      </c>
      <c r="F50" t="s">
        <v>120</v>
      </c>
      <c r="G50">
        <v>6.4472222219999997</v>
      </c>
      <c r="H50" t="s">
        <v>19</v>
      </c>
      <c r="I50">
        <v>28</v>
      </c>
      <c r="J50">
        <v>1</v>
      </c>
      <c r="K50">
        <v>1</v>
      </c>
      <c r="L50">
        <v>1</v>
      </c>
      <c r="M50" t="s">
        <v>113</v>
      </c>
      <c r="N50" t="s">
        <v>114</v>
      </c>
      <c r="O50" t="s">
        <v>135</v>
      </c>
      <c r="P50">
        <v>3</v>
      </c>
      <c r="Q50" t="s">
        <v>115</v>
      </c>
      <c r="R50" t="s">
        <v>133</v>
      </c>
      <c r="S50">
        <v>1</v>
      </c>
      <c r="T50">
        <v>1</v>
      </c>
    </row>
    <row r="51" spans="1:22" x14ac:dyDescent="0.25">
      <c r="A51">
        <v>79</v>
      </c>
      <c r="B51" t="s">
        <v>23</v>
      </c>
      <c r="C51" s="1">
        <v>44228</v>
      </c>
      <c r="D51" s="1">
        <v>41887</v>
      </c>
      <c r="E51" t="s">
        <v>33</v>
      </c>
      <c r="F51" t="s">
        <v>120</v>
      </c>
      <c r="G51">
        <v>6.4055555560000004</v>
      </c>
      <c r="H51" t="s">
        <v>37</v>
      </c>
      <c r="I51">
        <v>28</v>
      </c>
      <c r="J51">
        <v>0</v>
      </c>
      <c r="K51">
        <v>0</v>
      </c>
      <c r="L51">
        <v>1</v>
      </c>
      <c r="M51" t="s">
        <v>116</v>
      </c>
      <c r="P51">
        <v>2</v>
      </c>
      <c r="Q51" t="s">
        <v>117</v>
      </c>
      <c r="R51" t="s">
        <v>135</v>
      </c>
      <c r="S51">
        <v>1</v>
      </c>
      <c r="T51">
        <v>1</v>
      </c>
    </row>
    <row r="52" spans="1:22" x14ac:dyDescent="0.25">
      <c r="A52" s="7">
        <v>80</v>
      </c>
      <c r="B52" s="2" t="s">
        <v>23</v>
      </c>
      <c r="C52" s="3">
        <v>44232</v>
      </c>
      <c r="D52" s="3">
        <v>41981</v>
      </c>
      <c r="E52" s="4" t="s">
        <v>42</v>
      </c>
      <c r="F52" s="4" t="s">
        <v>120</v>
      </c>
      <c r="G52" s="2">
        <v>6.1583333329999999</v>
      </c>
      <c r="H52" s="5" t="s">
        <v>37</v>
      </c>
      <c r="I52" s="4">
        <v>26</v>
      </c>
      <c r="J52" s="4">
        <v>1</v>
      </c>
      <c r="K52" s="4">
        <v>1</v>
      </c>
      <c r="L52" s="4">
        <v>1</v>
      </c>
      <c r="M52" s="4" t="s">
        <v>122</v>
      </c>
      <c r="N52" s="4"/>
      <c r="P52" s="6">
        <v>3</v>
      </c>
      <c r="Q52" s="4" t="s">
        <v>123</v>
      </c>
      <c r="R52" s="4" t="s">
        <v>183</v>
      </c>
      <c r="S52" s="4">
        <v>1</v>
      </c>
      <c r="T52" s="4">
        <v>1</v>
      </c>
      <c r="U52" s="4"/>
      <c r="V52" s="4"/>
    </row>
    <row r="53" spans="1:22" s="4" customFormat="1" x14ac:dyDescent="0.25">
      <c r="A53">
        <v>81</v>
      </c>
      <c r="B53" t="s">
        <v>17</v>
      </c>
      <c r="C53" s="1">
        <v>44232</v>
      </c>
      <c r="D53" s="1">
        <v>41702</v>
      </c>
      <c r="E53" s="6" t="s">
        <v>38</v>
      </c>
      <c r="F53" s="6" t="s">
        <v>120</v>
      </c>
      <c r="G53">
        <v>6.9194444439999998</v>
      </c>
      <c r="H53" t="s">
        <v>37</v>
      </c>
      <c r="I53" s="6">
        <v>29</v>
      </c>
      <c r="J53">
        <v>1</v>
      </c>
      <c r="K53">
        <v>0</v>
      </c>
      <c r="L53">
        <v>1</v>
      </c>
      <c r="M53" t="s">
        <v>127</v>
      </c>
      <c r="N53" t="s">
        <v>128</v>
      </c>
      <c r="O53" t="s">
        <v>135</v>
      </c>
      <c r="P53">
        <v>3</v>
      </c>
      <c r="Q53" t="s">
        <v>129</v>
      </c>
      <c r="R53" s="6" t="s">
        <v>133</v>
      </c>
      <c r="S53">
        <v>1</v>
      </c>
      <c r="T53">
        <v>1</v>
      </c>
      <c r="U53"/>
      <c r="V53"/>
    </row>
    <row r="54" spans="1:22" x14ac:dyDescent="0.25">
      <c r="A54">
        <v>82</v>
      </c>
      <c r="B54" t="s">
        <v>23</v>
      </c>
      <c r="C54" s="1">
        <v>44233</v>
      </c>
      <c r="D54" s="1">
        <v>41746</v>
      </c>
      <c r="E54" s="6" t="s">
        <v>38</v>
      </c>
      <c r="F54" s="6" t="s">
        <v>120</v>
      </c>
      <c r="G54">
        <v>6.8027777780000003</v>
      </c>
      <c r="H54" t="s">
        <v>19</v>
      </c>
      <c r="I54" s="6">
        <v>29</v>
      </c>
      <c r="J54">
        <v>1</v>
      </c>
      <c r="K54">
        <v>1</v>
      </c>
      <c r="L54">
        <v>1</v>
      </c>
      <c r="M54" t="s">
        <v>130</v>
      </c>
      <c r="P54">
        <v>2</v>
      </c>
      <c r="Q54" t="s">
        <v>131</v>
      </c>
      <c r="R54" s="6" t="s">
        <v>135</v>
      </c>
      <c r="S54">
        <v>1</v>
      </c>
      <c r="T54">
        <v>1</v>
      </c>
    </row>
    <row r="55" spans="1:22" x14ac:dyDescent="0.25">
      <c r="A55">
        <v>83</v>
      </c>
      <c r="B55" t="s">
        <v>23</v>
      </c>
      <c r="C55" s="1">
        <v>44240</v>
      </c>
      <c r="D55" s="1">
        <v>41871</v>
      </c>
      <c r="E55" t="s">
        <v>33</v>
      </c>
      <c r="F55" t="s">
        <v>120</v>
      </c>
      <c r="G55">
        <v>6.4805555559999997</v>
      </c>
      <c r="H55" t="s">
        <v>19</v>
      </c>
      <c r="I55">
        <v>3</v>
      </c>
      <c r="J55">
        <v>1</v>
      </c>
      <c r="K55">
        <v>1</v>
      </c>
      <c r="L55">
        <v>1</v>
      </c>
      <c r="M55" t="s">
        <v>160</v>
      </c>
      <c r="P55">
        <v>3</v>
      </c>
      <c r="Q55" t="s">
        <v>182</v>
      </c>
      <c r="R55" t="s">
        <v>133</v>
      </c>
      <c r="S55">
        <v>1</v>
      </c>
      <c r="T55">
        <v>1</v>
      </c>
    </row>
    <row r="56" spans="1:22" x14ac:dyDescent="0.25">
      <c r="A56">
        <v>84</v>
      </c>
      <c r="B56" t="s">
        <v>17</v>
      </c>
      <c r="C56" s="1">
        <v>44240</v>
      </c>
      <c r="D56" s="1">
        <v>41846</v>
      </c>
      <c r="E56" t="s">
        <v>33</v>
      </c>
      <c r="F56" t="s">
        <v>120</v>
      </c>
      <c r="G56">
        <v>6.5472222220000003</v>
      </c>
      <c r="H56" t="s">
        <v>19</v>
      </c>
      <c r="I56">
        <v>30</v>
      </c>
      <c r="J56">
        <v>1</v>
      </c>
      <c r="K56">
        <v>1</v>
      </c>
      <c r="L56">
        <v>1</v>
      </c>
      <c r="M56" t="s">
        <v>173</v>
      </c>
      <c r="N56" t="s">
        <v>174</v>
      </c>
      <c r="O56" t="s">
        <v>134</v>
      </c>
      <c r="P56">
        <v>3</v>
      </c>
      <c r="Q56" t="s">
        <v>175</v>
      </c>
      <c r="R56" t="s">
        <v>135</v>
      </c>
      <c r="S56">
        <v>1</v>
      </c>
      <c r="T56">
        <v>1</v>
      </c>
    </row>
    <row r="57" spans="1:22" x14ac:dyDescent="0.25">
      <c r="A57">
        <v>85</v>
      </c>
      <c r="B57" t="s">
        <v>23</v>
      </c>
      <c r="C57" s="1">
        <v>44244</v>
      </c>
      <c r="D57" s="1">
        <v>42608</v>
      </c>
      <c r="E57" t="s">
        <v>166</v>
      </c>
      <c r="F57" t="s">
        <v>121</v>
      </c>
      <c r="G57">
        <v>4.4749999999999996</v>
      </c>
      <c r="H57" t="s">
        <v>19</v>
      </c>
      <c r="I57">
        <v>13</v>
      </c>
      <c r="J57">
        <v>1</v>
      </c>
      <c r="K57">
        <v>0</v>
      </c>
      <c r="L57">
        <v>0</v>
      </c>
      <c r="M57" t="s">
        <v>165</v>
      </c>
      <c r="P57">
        <v>2</v>
      </c>
      <c r="Q57" t="s">
        <v>62</v>
      </c>
      <c r="R57" t="s">
        <v>184</v>
      </c>
      <c r="S57">
        <v>1</v>
      </c>
      <c r="T57">
        <v>0</v>
      </c>
    </row>
    <row r="58" spans="1:22" x14ac:dyDescent="0.25">
      <c r="A58">
        <v>86</v>
      </c>
      <c r="B58" t="s">
        <v>23</v>
      </c>
      <c r="C58" s="1">
        <v>44247</v>
      </c>
      <c r="D58" s="1">
        <v>42558</v>
      </c>
      <c r="E58" t="s">
        <v>166</v>
      </c>
      <c r="F58" t="s">
        <v>121</v>
      </c>
      <c r="G58">
        <v>4.619444444</v>
      </c>
      <c r="H58" t="s">
        <v>37</v>
      </c>
      <c r="I58">
        <v>18</v>
      </c>
      <c r="J58">
        <v>1</v>
      </c>
      <c r="K58">
        <v>1</v>
      </c>
      <c r="L58">
        <v>1</v>
      </c>
      <c r="M58" t="s">
        <v>27</v>
      </c>
      <c r="P58">
        <v>3</v>
      </c>
      <c r="Q58" t="s">
        <v>168</v>
      </c>
      <c r="R58" t="s">
        <v>133</v>
      </c>
      <c r="S58">
        <v>1</v>
      </c>
      <c r="T58">
        <v>1</v>
      </c>
    </row>
    <row r="59" spans="1:22" x14ac:dyDescent="0.25">
      <c r="A59">
        <v>87</v>
      </c>
      <c r="B59" t="s">
        <v>23</v>
      </c>
      <c r="C59" s="1">
        <v>44247</v>
      </c>
      <c r="D59" s="1">
        <v>42139</v>
      </c>
      <c r="E59" t="s">
        <v>24</v>
      </c>
      <c r="F59" t="s">
        <v>119</v>
      </c>
      <c r="G59">
        <v>5.7638888890000004</v>
      </c>
      <c r="H59" t="s">
        <v>19</v>
      </c>
      <c r="I59">
        <v>21</v>
      </c>
      <c r="J59">
        <v>1</v>
      </c>
      <c r="K59">
        <v>1</v>
      </c>
      <c r="L59">
        <v>1</v>
      </c>
      <c r="M59" t="s">
        <v>27</v>
      </c>
      <c r="P59">
        <v>2</v>
      </c>
      <c r="Q59" t="s">
        <v>171</v>
      </c>
      <c r="R59" t="s">
        <v>184</v>
      </c>
      <c r="S59">
        <v>1</v>
      </c>
      <c r="T59">
        <v>1</v>
      </c>
    </row>
    <row r="60" spans="1:22" x14ac:dyDescent="0.25">
      <c r="A60">
        <v>88</v>
      </c>
      <c r="B60" t="s">
        <v>23</v>
      </c>
      <c r="C60" s="1">
        <v>44249</v>
      </c>
      <c r="D60" s="1">
        <v>42340</v>
      </c>
      <c r="E60" t="s">
        <v>30</v>
      </c>
      <c r="F60" t="s">
        <v>119</v>
      </c>
      <c r="G60">
        <v>5.2222222220000001</v>
      </c>
      <c r="H60" t="s">
        <v>37</v>
      </c>
      <c r="I60">
        <v>7</v>
      </c>
      <c r="J60">
        <v>1</v>
      </c>
      <c r="K60">
        <v>0</v>
      </c>
      <c r="L60">
        <v>1</v>
      </c>
      <c r="M60" t="s">
        <v>163</v>
      </c>
      <c r="P60">
        <v>3</v>
      </c>
      <c r="Q60" t="s">
        <v>43</v>
      </c>
      <c r="R60" t="s">
        <v>183</v>
      </c>
      <c r="S60">
        <v>1</v>
      </c>
      <c r="T60">
        <v>1</v>
      </c>
    </row>
    <row r="61" spans="1:22" x14ac:dyDescent="0.25">
      <c r="A61">
        <v>90</v>
      </c>
      <c r="B61" t="s">
        <v>23</v>
      </c>
      <c r="C61" s="1">
        <v>44254</v>
      </c>
      <c r="D61" s="1">
        <v>41884</v>
      </c>
      <c r="E61" t="s">
        <v>33</v>
      </c>
      <c r="F61" t="s">
        <v>120</v>
      </c>
      <c r="G61">
        <v>6.4861111109999996</v>
      </c>
      <c r="H61" t="s">
        <v>37</v>
      </c>
      <c r="I61">
        <v>30</v>
      </c>
      <c r="J61">
        <v>1</v>
      </c>
      <c r="K61">
        <v>1</v>
      </c>
      <c r="L61">
        <v>1</v>
      </c>
      <c r="M61" t="s">
        <v>176</v>
      </c>
      <c r="P61">
        <v>2</v>
      </c>
      <c r="Q61" t="s">
        <v>177</v>
      </c>
      <c r="R61" t="s">
        <v>134</v>
      </c>
      <c r="S61">
        <v>1</v>
      </c>
      <c r="T61">
        <v>1</v>
      </c>
    </row>
    <row r="62" spans="1:22" x14ac:dyDescent="0.25">
      <c r="A62">
        <v>92</v>
      </c>
      <c r="B62" t="s">
        <v>17</v>
      </c>
      <c r="C62" s="1">
        <v>44256</v>
      </c>
      <c r="D62" s="1">
        <v>41893</v>
      </c>
      <c r="E62" t="s">
        <v>33</v>
      </c>
      <c r="F62" t="s">
        <v>120</v>
      </c>
      <c r="G62">
        <v>6.4722222220000001</v>
      </c>
      <c r="H62" t="s">
        <v>37</v>
      </c>
      <c r="I62">
        <v>33</v>
      </c>
      <c r="J62">
        <v>1</v>
      </c>
      <c r="K62">
        <v>1</v>
      </c>
      <c r="L62">
        <v>1</v>
      </c>
      <c r="M62" t="s">
        <v>27</v>
      </c>
      <c r="N62" t="s">
        <v>178</v>
      </c>
      <c r="O62" t="s">
        <v>133</v>
      </c>
      <c r="P62">
        <v>2</v>
      </c>
      <c r="Q62" t="s">
        <v>179</v>
      </c>
      <c r="R62" t="s">
        <v>183</v>
      </c>
      <c r="S62">
        <v>1</v>
      </c>
      <c r="T62">
        <v>1</v>
      </c>
    </row>
    <row r="63" spans="1:22" x14ac:dyDescent="0.25">
      <c r="A63">
        <v>93</v>
      </c>
      <c r="B63" t="s">
        <v>23</v>
      </c>
      <c r="C63" s="1">
        <v>44257</v>
      </c>
      <c r="D63" s="1">
        <v>41902</v>
      </c>
      <c r="E63" t="s">
        <v>33</v>
      </c>
      <c r="F63" t="s">
        <v>120</v>
      </c>
      <c r="G63">
        <v>6.45</v>
      </c>
      <c r="H63" t="s">
        <v>19</v>
      </c>
      <c r="I63">
        <v>33</v>
      </c>
      <c r="J63">
        <v>1</v>
      </c>
      <c r="K63">
        <v>1</v>
      </c>
      <c r="L63">
        <v>1</v>
      </c>
      <c r="M63" t="s">
        <v>93</v>
      </c>
      <c r="P63">
        <v>3</v>
      </c>
      <c r="Q63" t="s">
        <v>180</v>
      </c>
      <c r="R63" t="s">
        <v>133</v>
      </c>
      <c r="S63">
        <v>1</v>
      </c>
      <c r="T63">
        <v>1</v>
      </c>
    </row>
  </sheetData>
  <autoFilter ref="A1:V63" xr:uid="{9A71D5FD-A6E4-47F7-94BF-8552F3DD1B88}">
    <sortState xmlns:xlrd2="http://schemas.microsoft.com/office/spreadsheetml/2017/richdata2" ref="A2:V63">
      <sortCondition ref="A1:A6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8C95-B445-4D2A-850D-2FACBD1E2BC0}">
  <dimension ref="A1:M47"/>
  <sheetViews>
    <sheetView workbookViewId="0">
      <selection activeCell="J56" sqref="J56"/>
    </sheetView>
  </sheetViews>
  <sheetFormatPr defaultRowHeight="15" x14ac:dyDescent="0.25"/>
  <sheetData>
    <row r="1" spans="1:13" x14ac:dyDescent="0.25">
      <c r="A1" t="s">
        <v>152</v>
      </c>
      <c r="B1" t="s">
        <v>153</v>
      </c>
      <c r="C1" t="s">
        <v>154</v>
      </c>
      <c r="D1" t="s">
        <v>155</v>
      </c>
      <c r="E1" t="s">
        <v>145</v>
      </c>
      <c r="F1" t="s">
        <v>146</v>
      </c>
      <c r="G1" t="s">
        <v>147</v>
      </c>
    </row>
    <row r="2" spans="1:13" x14ac:dyDescent="0.25">
      <c r="A2" t="s">
        <v>23</v>
      </c>
      <c r="B2">
        <f>COUNTIF(pic!$B:$B,"Demonstration")</f>
        <v>31</v>
      </c>
      <c r="C2">
        <f>COUNTIFS(pic!$B:$B,"Demonstration",pic!H:H,"M")</f>
        <v>15</v>
      </c>
      <c r="D2">
        <f>COUNTIFS(pic!$B:$B,"Demonstration",pic!$H:$H,"F")</f>
        <v>16</v>
      </c>
      <c r="E2">
        <f>COUNTIFS(pic!$B:$B,"Demonstration",pic!$F:$F,"four")</f>
        <v>6</v>
      </c>
      <c r="F2">
        <f>COUNTIFS(pic!$B:$B,"Demonstration",pic!$F:$F,"five")</f>
        <v>14</v>
      </c>
      <c r="G2">
        <f>COUNTIFS(pic!$B:$B,"Demonstration",pic!$F:$F,"six")</f>
        <v>11</v>
      </c>
    </row>
    <row r="3" spans="1:13" x14ac:dyDescent="0.25">
      <c r="A3" t="s">
        <v>17</v>
      </c>
      <c r="B3">
        <f>COUNTIF(pic!$B:$B,"Exploration")</f>
        <v>31</v>
      </c>
      <c r="C3">
        <f>COUNTIFS(pic!$B:$B,"Exploration",pic!H:H,"M")</f>
        <v>14</v>
      </c>
      <c r="D3">
        <f>COUNTIFS(pic!$B:$B,"Exploration",pic!$H:$H,"F")</f>
        <v>17</v>
      </c>
      <c r="E3">
        <f>COUNTIFS(pic!$B:$B,"Exploration",pic!$F:$F,"four")</f>
        <v>6</v>
      </c>
      <c r="F3">
        <f>COUNTIFS(pic!$B:$B,"Exploration",pic!$F:$F,"five")</f>
        <v>14</v>
      </c>
      <c r="G3">
        <f>COUNTIFS(pic!$B:$B,"Exploration",pic!$F:$F,"six")</f>
        <v>11</v>
      </c>
    </row>
    <row r="5" spans="1:13" x14ac:dyDescent="0.25">
      <c r="A5" t="s">
        <v>138</v>
      </c>
      <c r="B5" t="s">
        <v>156</v>
      </c>
      <c r="C5" t="s">
        <v>157</v>
      </c>
      <c r="D5" t="s">
        <v>158</v>
      </c>
      <c r="E5" t="s">
        <v>159</v>
      </c>
      <c r="F5" t="s">
        <v>141</v>
      </c>
    </row>
    <row r="6" spans="1:13" x14ac:dyDescent="0.25">
      <c r="A6" t="s">
        <v>23</v>
      </c>
      <c r="B6">
        <f>COUNTIFS(pic!$B:$B,"Demonstration",pic!K:K,1)/COUNTIF(pic!$B:$B,"Demonstration")</f>
        <v>0.87096774193548387</v>
      </c>
      <c r="C6">
        <f>COUNTIFS(pic!$B:$B,"Demonstration",pic!L:L,1)/COUNTIF(pic!$B:$B,"Demonstration")</f>
        <v>0.90322580645161288</v>
      </c>
      <c r="D6">
        <f>COUNTIFS(pic!$B:$B,"Demonstration",pic!S:S,1)/COUNTIF(pic!$B:$B,"Demonstration")</f>
        <v>0.90322580645161288</v>
      </c>
      <c r="E6">
        <f>COUNTIFS(pic!$B:$B,"Demonstration",pic!T:T,1)/COUNTIF(pic!$B:$B,"Demonstration")</f>
        <v>0.87096774193548387</v>
      </c>
      <c r="F6">
        <f>AVERAGEIF(pic!B:B,"Demonstration",pic!$P:$P)</f>
        <v>2.032258064516129</v>
      </c>
    </row>
    <row r="7" spans="1:13" x14ac:dyDescent="0.25">
      <c r="A7" t="s">
        <v>17</v>
      </c>
      <c r="B7">
        <f>COUNTIFS(pic!$B:$B,"Exploration",pic!K:K,1)/COUNTIF(pic!$B:$B,"Exploration")</f>
        <v>0.83870967741935487</v>
      </c>
      <c r="C7">
        <f>COUNTIFS(pic!$B:$B,"Exploration",pic!L:L,1)/COUNTIF(pic!$B:$B,"Exploration")</f>
        <v>0.93548387096774188</v>
      </c>
      <c r="D7">
        <f>COUNTIFS(pic!$B:$B,"Exploration",pic!S:S,1)/COUNTIF(pic!$B:$B,"Demonstration")</f>
        <v>0.80645161290322576</v>
      </c>
      <c r="E7">
        <f>COUNTIFS(pic!$B:$B,"Exploration",pic!T:T,1)/COUNTIF(pic!$B:$B,"Demonstration")</f>
        <v>0.90322580645161288</v>
      </c>
      <c r="F7">
        <f>AVERAGEIF(pic!B:B,"Exploration",pic!$P:$P)</f>
        <v>2.129032258064516</v>
      </c>
    </row>
    <row r="9" spans="1:13" x14ac:dyDescent="0.25">
      <c r="A9" t="s">
        <v>144</v>
      </c>
      <c r="B9" t="s">
        <v>145</v>
      </c>
      <c r="C9" t="s">
        <v>146</v>
      </c>
      <c r="D9" t="s">
        <v>147</v>
      </c>
    </row>
    <row r="10" spans="1:13" x14ac:dyDescent="0.25">
      <c r="A10" t="s">
        <v>23</v>
      </c>
      <c r="B10">
        <f>AVERAGEIFS(pic!$P:$P,pic!$B:$B,"Demonstration",pic!$F:$F,"four")</f>
        <v>1.6666666666666667</v>
      </c>
      <c r="C10">
        <f>AVERAGEIFS(pic!$P:$P,pic!$B:$B,"Demonstration",pic!$F:$F,"five")</f>
        <v>2.0714285714285716</v>
      </c>
      <c r="D10">
        <f>AVERAGEIFS(pic!$P:$P,pic!$B:$B,"Demonstration",pic!$F:$F,"six")</f>
        <v>2.1818181818181817</v>
      </c>
    </row>
    <row r="11" spans="1:13" x14ac:dyDescent="0.25">
      <c r="A11" t="s">
        <v>17</v>
      </c>
      <c r="B11">
        <f>AVERAGEIFS(pic!$P:$P,pic!$B:$B,"Exploration",pic!$F:$F,"four")</f>
        <v>1.5</v>
      </c>
      <c r="C11">
        <f>AVERAGEIFS(pic!$P:$P,pic!$B:$B,"Exploration",pic!$F:$F,"five")</f>
        <v>2.1428571428571428</v>
      </c>
      <c r="D11">
        <f>AVERAGEIFS(pic!$P:$P,pic!$B:$B,"Exploration",pic!$F:$F,"six")</f>
        <v>2.4545454545454546</v>
      </c>
    </row>
    <row r="16" spans="1:13" x14ac:dyDescent="0.25">
      <c r="B16" s="10" t="s">
        <v>139</v>
      </c>
      <c r="C16" s="11"/>
      <c r="D16" s="11"/>
      <c r="E16" s="10" t="s">
        <v>142</v>
      </c>
      <c r="F16" s="11"/>
      <c r="G16" s="11"/>
      <c r="H16" s="10" t="s">
        <v>140</v>
      </c>
      <c r="I16" s="11"/>
      <c r="J16" s="11"/>
      <c r="K16" s="10" t="s">
        <v>143</v>
      </c>
      <c r="L16" s="11"/>
      <c r="M16" s="12"/>
    </row>
    <row r="17" spans="1:13" x14ac:dyDescent="0.25">
      <c r="B17" s="8" t="s">
        <v>145</v>
      </c>
      <c r="C17" t="s">
        <v>146</v>
      </c>
      <c r="D17" t="s">
        <v>147</v>
      </c>
      <c r="E17" s="8" t="s">
        <v>145</v>
      </c>
      <c r="F17" t="s">
        <v>146</v>
      </c>
      <c r="G17" t="s">
        <v>147</v>
      </c>
      <c r="H17" s="8" t="s">
        <v>145</v>
      </c>
      <c r="I17" t="s">
        <v>146</v>
      </c>
      <c r="J17" t="s">
        <v>147</v>
      </c>
      <c r="K17" s="8" t="s">
        <v>145</v>
      </c>
      <c r="L17" t="s">
        <v>146</v>
      </c>
      <c r="M17" s="9" t="s">
        <v>147</v>
      </c>
    </row>
    <row r="18" spans="1:13" x14ac:dyDescent="0.25">
      <c r="A18" t="s">
        <v>23</v>
      </c>
      <c r="B18" s="8">
        <f>COUNTIFS(pic!$B:$B,"Demonstration",pic!$F:$F,"four",pic!$K:$K,1)/COUNTIFS(pic!$B:$B,"Demonstration",pic!$F:$F,"four")</f>
        <v>0.66666666666666663</v>
      </c>
      <c r="C18" s="4">
        <f>COUNTIFS(pic!$B:$B,"Demonstration",pic!$F:$F,"five",pic!$K:$K,1)/COUNTIFS(pic!$B:$B,"Demonstration",pic!$F:$F,"five")</f>
        <v>0.9285714285714286</v>
      </c>
      <c r="D18" s="4">
        <f>COUNTIFS(pic!$B:$B,"Demonstration",pic!$F:$F,"six",pic!$K:$K,1)/COUNTIFS(pic!$B:$B,"Demonstration",pic!$F:$F,"six")</f>
        <v>0.90909090909090906</v>
      </c>
      <c r="E18" s="8">
        <f>COUNTIFS(pic!$B:$B,"Demonstration",pic!$F:$F,"four",pic!$S:$S,1)/COUNTIFS(pic!$B:$B,"Demonstration",pic!$F:$F,"four")</f>
        <v>0.5</v>
      </c>
      <c r="F18" s="4">
        <f>COUNTIFS(pic!$B:$B,"Demonstration",pic!$F:$F,"five",pic!$S:$S,1)/COUNTIFS(pic!$B:$B,"Demonstration",pic!$F:$F,"five")</f>
        <v>1</v>
      </c>
      <c r="G18" s="4">
        <f>COUNTIFS(pic!$B:$B,"Demonstration",pic!$F:$F,"six",pic!$S:$S,1)/COUNTIFS(pic!$B:$B,"Demonstration",pic!$F:$F,"six")</f>
        <v>1</v>
      </c>
      <c r="H18" s="8">
        <f>COUNTIFS(pic!$B:$B,"Demonstration",pic!$F:$F,"four",pic!$L:$L,1)/COUNTIFS(pic!$B:$B,"Demonstration",pic!$F:$F,"four")</f>
        <v>0.5</v>
      </c>
      <c r="I18" s="4">
        <f>COUNTIFS(pic!$B:$B,"Demonstration",pic!$F:$F,"five",pic!$L:$L,1)/COUNTIFS(pic!$B:$B,"Demonstration",pic!$F:$F,"five")</f>
        <v>1</v>
      </c>
      <c r="J18" s="4">
        <f>COUNTIFS(pic!$B:$B,"Demonstration",pic!$F:$F,"six",pic!$L:$L,1)/COUNTIFS(pic!$B:$B,"Demonstration",pic!$F:$F,"six")</f>
        <v>1</v>
      </c>
      <c r="K18" s="8">
        <f>COUNTIFS(pic!$B:$B,"Demonstration",pic!$F:$F,"four",pic!$T:$T,1)/COUNTIFS(pic!$B:$B,"Demonstration",pic!$F:$F,"four")</f>
        <v>0.33333333333333331</v>
      </c>
      <c r="L18" s="4">
        <f>COUNTIFS(pic!$B:$B,"Demonstration",pic!$F:$F,"five",pic!$T:$T,1)/COUNTIFS(pic!$B:$B,"Demonstration",pic!$F:$F,"five")</f>
        <v>1</v>
      </c>
      <c r="M18" s="9">
        <f>COUNTIFS(pic!$B:$B,"Demonstration",pic!$F:$F,"six",pic!$T:$T,1)/COUNTIFS(pic!$B:$B,"Demonstration",pic!$F:$F,"six")</f>
        <v>1</v>
      </c>
    </row>
    <row r="19" spans="1:13" x14ac:dyDescent="0.25">
      <c r="A19" t="s">
        <v>17</v>
      </c>
      <c r="B19" s="8">
        <f>COUNTIFS(pic!$B:$B,"Exploration",pic!$F:$F,"four",pic!$K:$K,1)/COUNTIFS(pic!$B:$B,"Exploration",pic!$F:$F,"four")</f>
        <v>0.66666666666666663</v>
      </c>
      <c r="C19" s="4">
        <f>COUNTIFS(pic!$B:$B,"Exploration",pic!$F:$F,"five",pic!$K:$K,1)/COUNTIFS(pic!$B:$B,"Exploration",pic!$F:$F,"five")</f>
        <v>0.8571428571428571</v>
      </c>
      <c r="D19" s="4">
        <f>COUNTIFS(pic!$B:$B,"Exploration",pic!$F:$F,"six",pic!$K:$K,1)/COUNTIFS(pic!$B:$B,"Exploration",pic!$F:$F,"six")</f>
        <v>0.90909090909090906</v>
      </c>
      <c r="E19" s="8">
        <f>COUNTIFS(pic!$B:$B,"Exploration",pic!$F:$F,"four",pic!$S:$S,1)/COUNTIFS(pic!$B:$B,"Exploration",pic!$F:$F,"four")</f>
        <v>0.33333333333333331</v>
      </c>
      <c r="F19" s="4">
        <f>COUNTIFS(pic!$B:$B,"Exploration",pic!$F:$F,"five",pic!$S:$S,1)/COUNTIFS(pic!$B:$B,"Exploration",pic!$F:$F,"five")</f>
        <v>0.8571428571428571</v>
      </c>
      <c r="G19" s="4">
        <f>COUNTIFS(pic!$B:$B,"Exploration",pic!$F:$F,"six",pic!$S:$S,1)/COUNTIFS(pic!$B:$B,"Exploration",pic!$F:$F,"six")</f>
        <v>1</v>
      </c>
      <c r="H19" s="8">
        <f>COUNTIFS(pic!$B:$B,"Exploration",pic!$F:$F,"four",pic!$L:$L,1)/COUNTIFS(pic!$B:$B,"Exploration",pic!$F:$F,"four")</f>
        <v>0.83333333333333337</v>
      </c>
      <c r="I19" s="4">
        <f>COUNTIFS(pic!$B:$B,"Exploration",pic!$F:$F,"five",pic!$L:$L,1)/COUNTIFS(pic!$B:$B,"Exploration",pic!$F:$F,"five")</f>
        <v>0.9285714285714286</v>
      </c>
      <c r="J19" s="4">
        <f>COUNTIFS(pic!$B:$B,"Exploration",pic!$F:$F,"six",pic!$L:$L,1)/COUNTIFS(pic!$B:$B,"Exploration",pic!$F:$F,"six")</f>
        <v>1</v>
      </c>
      <c r="K19" s="8">
        <f>COUNTIFS(pic!$B:$B,"Exploration",pic!$F:$F,"four",pic!$T:$T,1)/COUNTIFS(pic!$B:$B,"Exploration",pic!$F:$F,"four")</f>
        <v>0.66666666666666663</v>
      </c>
      <c r="L19" s="4">
        <f>COUNTIFS(pic!$B:$B,"Exploration",pic!$F:$F,"five",pic!$T:$T,1)/COUNTIFS(pic!$B:$B,"Exploration",pic!$F:$F,"five")</f>
        <v>0.9285714285714286</v>
      </c>
      <c r="M19" s="9">
        <f>COUNTIFS(pic!$B:$B,"Exploration",pic!$F:$F,"six",pic!$T:$T,1)/COUNTIFS(pic!$B:$B,"Exploration",pic!$F:$F,"six")</f>
        <v>1</v>
      </c>
    </row>
    <row r="37" spans="1:13" x14ac:dyDescent="0.25">
      <c r="A37" s="9"/>
      <c r="B37" t="s">
        <v>149</v>
      </c>
      <c r="D37" s="9"/>
      <c r="E37" t="s">
        <v>148</v>
      </c>
      <c r="G37" s="9"/>
      <c r="H37" t="s">
        <v>150</v>
      </c>
      <c r="J37" s="9"/>
      <c r="K37" t="s">
        <v>151</v>
      </c>
      <c r="M37" s="9"/>
    </row>
    <row r="38" spans="1:13" x14ac:dyDescent="0.25">
      <c r="A38" s="9"/>
      <c r="B38" t="s">
        <v>145</v>
      </c>
      <c r="C38" t="s">
        <v>146</v>
      </c>
      <c r="D38" s="9" t="s">
        <v>147</v>
      </c>
      <c r="E38" t="s">
        <v>145</v>
      </c>
      <c r="F38" t="s">
        <v>146</v>
      </c>
      <c r="G38" s="9" t="s">
        <v>147</v>
      </c>
      <c r="H38" t="s">
        <v>145</v>
      </c>
      <c r="I38" t="s">
        <v>146</v>
      </c>
      <c r="J38" s="9" t="s">
        <v>147</v>
      </c>
      <c r="K38" t="s">
        <v>145</v>
      </c>
      <c r="L38" t="s">
        <v>146</v>
      </c>
      <c r="M38" s="9" t="s">
        <v>147</v>
      </c>
    </row>
    <row r="39" spans="1:13" x14ac:dyDescent="0.25">
      <c r="A39" s="9" t="s">
        <v>23</v>
      </c>
      <c r="B39">
        <f>COUNTIFS(pic!$B:$B,"Demonstration",pic!$F:$F,"four",pic!$P:$P,0)/COUNTIFS(pic!$B:$B,"Demonstration",pic!$F:$F,"four")</f>
        <v>0</v>
      </c>
      <c r="C39">
        <f>COUNTIFS(pic!$B:$B,"Demonstration",pic!$F:$F,"five",pic!$P:$P,0)/COUNTIFS(pic!$B:$B,"Demonstration",pic!$F:$F,"five")</f>
        <v>0</v>
      </c>
      <c r="D39" s="9">
        <f>COUNTIFS(pic!$B:$B,"Demonstration",pic!$F:$F,"six",pic!$P:$P,0)/COUNTIFS(pic!$B:$B,"Demonstration",pic!$F:$F,"six")</f>
        <v>0</v>
      </c>
      <c r="E39">
        <f>COUNTIFS(pic!$B:$B,"Demonstration",pic!$F:$F,"four",pic!$P:$P,1)/COUNTIFS(pic!$B:$B,"Demonstration",pic!$F:$F,"four")</f>
        <v>0.5</v>
      </c>
      <c r="F39">
        <f>COUNTIFS(pic!$B:$B,"Demonstration",pic!$F:$F,"five",pic!$P:$P,1)/COUNTIFS(pic!$B:$B,"Demonstration",pic!$F:$F,"five")</f>
        <v>0.2857142857142857</v>
      </c>
      <c r="G39" s="9">
        <f>COUNTIFS(pic!$B:$B,"Demonstration",pic!$F:$F,"six",pic!$P:$P,1)/COUNTIFS(pic!$B:$B,"Demonstration",pic!$F:$F,"six")</f>
        <v>0.27272727272727271</v>
      </c>
      <c r="H39">
        <f>COUNTIFS(pic!$B:$B,"Demonstration",pic!$F:$F,"four",pic!$P:$P,2)/COUNTIFS(pic!$B:$B,"Demonstration",pic!$F:$F,"four")</f>
        <v>0.33333333333333331</v>
      </c>
      <c r="I39">
        <f>COUNTIFS(pic!$B:$B,"Demonstration",pic!$F:$F,"five",pic!$P:$P,2)/COUNTIFS(pic!$B:$B,"Demonstration",pic!$F:$F,"five")</f>
        <v>0.35714285714285715</v>
      </c>
      <c r="J39" s="9">
        <f>COUNTIFS(pic!$B:$B,"Demonstration",pic!$F:$F,"six",pic!$P:$P,2)/COUNTIFS(pic!$B:$B,"Demonstration",pic!$F:$F,"six")</f>
        <v>0.27272727272727271</v>
      </c>
      <c r="K39">
        <f>COUNTIFS(pic!$B:$B,"Demonstration",pic!$F:$F,"four",pic!$P:$P,3)/COUNTIFS(pic!$B:$B,"Demonstration",pic!$F:$F,"four")</f>
        <v>0.16666666666666666</v>
      </c>
      <c r="L39">
        <f>COUNTIFS(pic!$B:$B,"Demonstration",pic!$F:$F,"five",pic!$P:$P,3)/COUNTIFS(pic!$B:$B,"Demonstration",pic!$F:$F,"five")</f>
        <v>0.35714285714285715</v>
      </c>
      <c r="M39" s="9">
        <f>COUNTIFS(pic!$B:$B,"Demonstration",pic!$F:$F,"six",pic!$P:$P,3)/COUNTIFS(pic!$B:$B,"Demonstration",pic!$F:$F,"six")</f>
        <v>0.45454545454545453</v>
      </c>
    </row>
    <row r="40" spans="1:13" x14ac:dyDescent="0.25">
      <c r="A40" s="9" t="s">
        <v>17</v>
      </c>
      <c r="B40">
        <f>COUNTIFS(pic!$B:$B,"Exploration",pic!$F:$F,"four",pic!$P:$P,0)/COUNTIFS(pic!$B:$B,"Exploration",pic!$F:$F,"four")</f>
        <v>0</v>
      </c>
      <c r="C40">
        <f>COUNTIFS(pic!$B:$B,"Exploration",pic!$F:$F,"five",pic!$P:$P,0)/COUNTIFS(pic!$B:$B,"Exploration",pic!$F:$F,"five")</f>
        <v>7.1428571428571425E-2</v>
      </c>
      <c r="D40" s="9">
        <f>COUNTIFS(pic!$B:$B,"Exploration",pic!$F:$F,"six",pic!$P:$P,0)/COUNTIFS(pic!$B:$B,"Exploration",pic!$F:$F,"six")</f>
        <v>0</v>
      </c>
      <c r="E40">
        <f>COUNTIFS(pic!$B:$B,"Exploration",pic!$F:$F,"four",pic!$P:$P,1)/COUNTIFS(pic!$B:$B,"Exploration",pic!$F:$F,"four")</f>
        <v>0.66666666666666663</v>
      </c>
      <c r="F40">
        <f>COUNTIFS(pic!$B:$B,"Exploration",pic!$F:$F,"five",pic!$P:$P,1)/COUNTIFS(pic!$B:$B,"Exploration",pic!$F:$F,"five")</f>
        <v>0.21428571428571427</v>
      </c>
      <c r="G40" s="9">
        <f>COUNTIFS(pic!$B:$B,"Exploration",pic!$F:$F,"six",pic!$P:$P,1)/COUNTIFS(pic!$B:$B,"Exploration",pic!$F:$F,"six")</f>
        <v>0.18181818181818182</v>
      </c>
      <c r="H40">
        <f>COUNTIFS(pic!$B:$B,"Exploration",pic!$F:$F,"four",pic!$P:$P,2)/COUNTIFS(pic!$B:$B,"Exploration",pic!$F:$F,"four")</f>
        <v>0.16666666666666666</v>
      </c>
      <c r="I40">
        <f>COUNTIFS(pic!$B:$B,"Exploration",pic!$F:$F,"five",pic!$P:$P,2)/COUNTIFS(pic!$B:$B,"Exploration",pic!$F:$F,"five")</f>
        <v>0.21428571428571427</v>
      </c>
      <c r="J40" s="9">
        <f>COUNTIFS(pic!$B:$B,"Exploration",pic!$F:$F,"six",pic!$P:$P,2)/COUNTIFS(pic!$B:$B,"Exploration",pic!$F:$F,"six")</f>
        <v>0.18181818181818182</v>
      </c>
      <c r="K40">
        <f>COUNTIFS(pic!$B:$B,"Exploration",pic!$F:$F,"four",pic!$P:$P,3)/COUNTIFS(pic!$B:$B,"Exploration",pic!$F:$F,"four")</f>
        <v>0.16666666666666666</v>
      </c>
      <c r="L40">
        <f>COUNTIFS(pic!$B:$B,"Exploration",pic!$F:$F,"five",pic!$P:$P,3)/COUNTIFS(pic!$B:$B,"Exploration",pic!$F:$F,"five")</f>
        <v>0.5</v>
      </c>
      <c r="M40" s="9">
        <f>COUNTIFS(pic!$B:$B,"Exploration",pic!$F:$F,"six",pic!$P:$P,3)/COUNTIFS(pic!$B:$B,"Exploration",pic!$F:$F,"six")</f>
        <v>0.63636363636363635</v>
      </c>
    </row>
    <row r="42" spans="1:13" x14ac:dyDescent="0.25">
      <c r="B42" t="s">
        <v>23</v>
      </c>
      <c r="D42" s="9"/>
      <c r="E42" t="s">
        <v>17</v>
      </c>
      <c r="G42" s="9"/>
    </row>
    <row r="43" spans="1:13" x14ac:dyDescent="0.25">
      <c r="B43" t="s">
        <v>145</v>
      </c>
      <c r="C43" t="s">
        <v>146</v>
      </c>
      <c r="D43" s="9" t="s">
        <v>147</v>
      </c>
      <c r="E43" t="s">
        <v>145</v>
      </c>
      <c r="F43" t="s">
        <v>146</v>
      </c>
      <c r="G43" s="9" t="s">
        <v>147</v>
      </c>
    </row>
    <row r="44" spans="1:13" x14ac:dyDescent="0.25">
      <c r="A44" t="s">
        <v>149</v>
      </c>
      <c r="B44">
        <f>COUNTIFS(pic!$B:$B,"Demonstration",pic!$F:$F,"four",pic!$P:$P,0)/COUNTIFS(pic!$B:$B,"Demonstration",pic!$F:$F,"four")</f>
        <v>0</v>
      </c>
      <c r="C44">
        <f>COUNTIFS(pic!$B:$B,"Demonstration",pic!$F:$F,"five",pic!$P:$P,0)/COUNTIFS(pic!$B:$B,"Demonstration",pic!$F:$F,"five")</f>
        <v>0</v>
      </c>
      <c r="D44" s="9">
        <f>COUNTIFS(pic!$B:$B,"Demonstration",pic!$F:$F,"six",pic!$P:$P,0)/COUNTIFS(pic!$B:$B,"Demonstration",pic!$F:$F,"six")</f>
        <v>0</v>
      </c>
      <c r="E44">
        <f>COUNTIFS(pic!$B:$B,"Exploration",pic!$F:$F,"four",pic!$P:$P,0)/COUNTIFS(pic!$B:$B,"Exploration",pic!$F:$F,"four")</f>
        <v>0</v>
      </c>
      <c r="F44">
        <f>COUNTIFS(pic!$B:$B,"Exploration",pic!$F:$F,"five",pic!$P:$P,0)/COUNTIFS(pic!$B:$B,"Exploration",pic!$F:$F,"five")</f>
        <v>7.1428571428571425E-2</v>
      </c>
      <c r="G44" s="9">
        <f>COUNTIFS(pic!$B:$B,"Exploration",pic!$F:$F,"six",pic!$P:$P,0)/COUNTIFS(pic!$B:$B,"Exploration",pic!$F:$F,"six")</f>
        <v>0</v>
      </c>
    </row>
    <row r="45" spans="1:13" x14ac:dyDescent="0.25">
      <c r="A45" t="s">
        <v>148</v>
      </c>
      <c r="B45">
        <f>COUNTIFS(pic!$B:$B,"Demonstration",pic!$F:$F,"four",pic!$P:$P,1)/COUNTIFS(pic!$B:$B,"Demonstration",pic!$F:$F,"four")</f>
        <v>0.5</v>
      </c>
      <c r="C45">
        <f>COUNTIFS(pic!$B:$B,"Demonstration",pic!$F:$F,"five",pic!$P:$P,1)/COUNTIFS(pic!$B:$B,"Demonstration",pic!$F:$F,"five")</f>
        <v>0.2857142857142857</v>
      </c>
      <c r="D45" s="9">
        <f>COUNTIFS(pic!$B:$B,"Demonstration",pic!$F:$F,"six",pic!$P:$P,1)/COUNTIFS(pic!$B:$B,"Demonstration",pic!$F:$F,"six")</f>
        <v>0.27272727272727271</v>
      </c>
      <c r="E45">
        <f>COUNTIFS(pic!$B:$B,"Exploration",pic!$F:$F,"four",pic!$P:$P,1)/COUNTIFS(pic!$B:$B,"Exploration",pic!$F:$F,"four")</f>
        <v>0.66666666666666663</v>
      </c>
      <c r="F45">
        <f>COUNTIFS(pic!$B:$B,"Exploration",pic!$F:$F,"five",pic!$P:$P,1)/COUNTIFS(pic!$B:$B,"Exploration",pic!$F:$F,"five")</f>
        <v>0.21428571428571427</v>
      </c>
      <c r="G45" s="9">
        <f>COUNTIFS(pic!$B:$B,"Exploration",pic!$F:$F,"six",pic!$P:$P,1)/COUNTIFS(pic!$B:$B,"Exploration",pic!$F:$F,"six")</f>
        <v>0.18181818181818182</v>
      </c>
    </row>
    <row r="46" spans="1:13" x14ac:dyDescent="0.25">
      <c r="A46" t="s">
        <v>150</v>
      </c>
      <c r="B46">
        <f>COUNTIFS(pic!$B:$B,"Demonstration",pic!$F:$F,"four",pic!$P:$P,2)/COUNTIFS(pic!$B:$B,"Demonstration",pic!$F:$F,"four")</f>
        <v>0.33333333333333331</v>
      </c>
      <c r="C46">
        <f>COUNTIFS(pic!$B:$B,"Demonstration",pic!$F:$F,"five",pic!$P:$P,2)/COUNTIFS(pic!$B:$B,"Demonstration",pic!$F:$F,"five")</f>
        <v>0.35714285714285715</v>
      </c>
      <c r="D46" s="9">
        <f>COUNTIFS(pic!$B:$B,"Demonstration",pic!$F:$F,"six",pic!$P:$P,2)/COUNTIFS(pic!$B:$B,"Demonstration",pic!$F:$F,"six")</f>
        <v>0.27272727272727271</v>
      </c>
      <c r="E46">
        <f>COUNTIFS(pic!$B:$B,"Exploration",pic!$F:$F,"four",pic!$P:$P,2)/COUNTIFS(pic!$B:$B,"Exploration",pic!$F:$F,"four")</f>
        <v>0.16666666666666666</v>
      </c>
      <c r="F46">
        <f>COUNTIFS(pic!$B:$B,"Exploration",pic!$F:$F,"five",pic!$P:$P,2)/COUNTIFS(pic!$B:$B,"Exploration",pic!$F:$F,"five")</f>
        <v>0.21428571428571427</v>
      </c>
      <c r="G46" s="9">
        <f>COUNTIFS(pic!$B:$B,"Exploration",pic!$F:$F,"six",pic!$P:$P,2)/COUNTIFS(pic!$B:$B,"Exploration",pic!$F:$F,"six")</f>
        <v>0.18181818181818182</v>
      </c>
    </row>
    <row r="47" spans="1:13" x14ac:dyDescent="0.25">
      <c r="A47" t="s">
        <v>151</v>
      </c>
      <c r="B47">
        <f>COUNTIFS(pic!$B:$B,"Demonstration",pic!$F:$F,"four",pic!$P:$P,3)/COUNTIFS(pic!$B:$B,"Demonstration",pic!$F:$F,"four")</f>
        <v>0.16666666666666666</v>
      </c>
      <c r="C47">
        <f>COUNTIFS(pic!$B:$B,"Demonstration",pic!$F:$F,"five",pic!$P:$P,3)/COUNTIFS(pic!$B:$B,"Demonstration",pic!$F:$F,"five")</f>
        <v>0.35714285714285715</v>
      </c>
      <c r="D47" s="9">
        <f>COUNTIFS(pic!$B:$B,"Demonstration",pic!$F:$F,"six",pic!$P:$P,3)/COUNTIFS(pic!$B:$B,"Demonstration",pic!$F:$F,"six")</f>
        <v>0.45454545454545453</v>
      </c>
      <c r="E47">
        <f>COUNTIFS(pic!$B:$B,"Exploration",pic!$F:$F,"four",pic!$P:$P,3)/COUNTIFS(pic!$B:$B,"Exploration",pic!$F:$F,"four")</f>
        <v>0.16666666666666666</v>
      </c>
      <c r="F47">
        <f>COUNTIFS(pic!$B:$B,"Exploration",pic!$F:$F,"five",pic!$P:$P,3)/COUNTIFS(pic!$B:$B,"Exploration",pic!$F:$F,"five")</f>
        <v>0.5</v>
      </c>
      <c r="G47" s="9">
        <f>COUNTIFS(pic!$B:$B,"Exploration",pic!$F:$F,"six",pic!$P:$P,3)/COUNTIFS(pic!$B:$B,"Exploration",pic!$F:$F,"six")</f>
        <v>0.63636363636363635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0671-CF5F-4C67-B343-51C857B8C5C8}">
  <dimension ref="A1:H18"/>
  <sheetViews>
    <sheetView workbookViewId="0">
      <selection activeCell="N30" sqref="N30"/>
    </sheetView>
  </sheetViews>
  <sheetFormatPr defaultRowHeight="15" x14ac:dyDescent="0.25"/>
  <cols>
    <col min="1" max="1" width="12.42578125" customWidth="1"/>
    <col min="4" max="4" width="9.7109375" bestFit="1" customWidth="1"/>
  </cols>
  <sheetData>
    <row r="1" spans="1:8" x14ac:dyDescent="0.25">
      <c r="A1" t="str" cm="1">
        <f t="array" ref="A1:A8">_xlfn.UNIQUE(pic!R:R)</f>
        <v>gen_strat</v>
      </c>
      <c r="B1" t="s">
        <v>23</v>
      </c>
      <c r="C1" t="s">
        <v>17</v>
      </c>
      <c r="D1" t="s">
        <v>185</v>
      </c>
      <c r="E1" t="s">
        <v>186</v>
      </c>
      <c r="F1" t="s">
        <v>121</v>
      </c>
      <c r="G1" t="s">
        <v>119</v>
      </c>
      <c r="H1" t="s">
        <v>120</v>
      </c>
    </row>
    <row r="2" spans="1:8" x14ac:dyDescent="0.25">
      <c r="A2" t="str">
        <v>randomexp</v>
      </c>
      <c r="B2">
        <f>COUNTIFS(pic!$B:$B,"Demonstration",pic!$R:$R,"randomexp")</f>
        <v>10</v>
      </c>
      <c r="C2">
        <f>COUNTIFS(pic!$B:$B,"Exploration",pic!$R:$R,"randomexp")</f>
        <v>14</v>
      </c>
      <c r="D2">
        <f>AVERAGEIFS(pic!$P:$P,pic!$B:$B,"Demonstration",pic!$R:$R,Sheet2!$A2)</f>
        <v>1.8</v>
      </c>
      <c r="E2">
        <f>AVERAGEIFS(pic!$P:$P,pic!$B:$B,"Exploration",pic!$R:$R,Sheet2!$A2)</f>
        <v>1.7857142857142858</v>
      </c>
      <c r="F2">
        <f>COUNTIFS(pic!$F:$F,"four",pic!$R:$R,Sheet2!$A2)</f>
        <v>3</v>
      </c>
      <c r="G2">
        <f>COUNTIFS(pic!$F:$F,"five",pic!$R:$R,Sheet2!$A2)</f>
        <v>12</v>
      </c>
      <c r="H2">
        <f>COUNTIFS(pic!$F:$F,"six",pic!$R:$R,Sheet2!$A2)</f>
        <v>9</v>
      </c>
    </row>
    <row r="3" spans="1:8" x14ac:dyDescent="0.25">
      <c r="A3" t="str">
        <v>exploit</v>
      </c>
      <c r="B3">
        <f>COUNTIFS(pic!$B:$B,"Demonstration",pic!$R:$R,"exploit")</f>
        <v>5</v>
      </c>
      <c r="C3">
        <f>COUNTIFS(pic!$B:$B,"Exploration",pic!$R:$R,"exploit")</f>
        <v>8</v>
      </c>
      <c r="D3">
        <f>AVERAGEIFS(pic!P:P,pic!B:B,"Demonstration",pic!R:R,Sheet2!A3)</f>
        <v>3</v>
      </c>
      <c r="E3">
        <f>AVERAGEIFS(pic!$P:$P,pic!$B:$B,"Exploration",pic!$R:$R,Sheet2!$A3)</f>
        <v>3</v>
      </c>
      <c r="F3">
        <f>COUNTIFS(pic!$F:$F,"four",pic!$R:$R,Sheet2!$A3)</f>
        <v>1</v>
      </c>
      <c r="G3">
        <f>COUNTIFS(pic!$F:$F,"five",pic!$R:$R,Sheet2!$A3)</f>
        <v>5</v>
      </c>
      <c r="H3">
        <f>COUNTIFS(pic!$F:$F,"six",pic!$R:$R,Sheet2!$A3)</f>
        <v>7</v>
      </c>
    </row>
    <row r="4" spans="1:8" x14ac:dyDescent="0.25">
      <c r="A4" t="str">
        <v>semiseq</v>
      </c>
      <c r="B4">
        <f>COUNTIFS(pic!$B:$B,"Demonstration",pic!$R:$R,"semiseq")</f>
        <v>4</v>
      </c>
      <c r="C4">
        <f>COUNTIFS(pic!$B:$B,"Exploration",pic!$R:$R,"semiseq")</f>
        <v>1</v>
      </c>
      <c r="D4">
        <f>AVERAGEIFS(pic!P:P,pic!B:B,"Demonstration",pic!R:R,Sheet2!A4)</f>
        <v>2</v>
      </c>
      <c r="E4">
        <f>AVERAGEIFS(pic!$P:$P,pic!$B:$B,"Exploration",pic!$R:$R,Sheet2!$A4)</f>
        <v>1</v>
      </c>
      <c r="F4">
        <f>COUNTIFS(pic!$F:$F,"four",pic!$R:$R,Sheet2!$A4)</f>
        <v>0</v>
      </c>
      <c r="G4">
        <f>COUNTIFS(pic!$F:$F,"five",pic!$R:$R,Sheet2!$A4)</f>
        <v>3</v>
      </c>
      <c r="H4">
        <f>COUNTIFS(pic!$F:$F,"six",pic!$R:$R,Sheet2!$A4)</f>
        <v>2</v>
      </c>
    </row>
    <row r="5" spans="1:8" x14ac:dyDescent="0.25">
      <c r="A5" t="str">
        <v>bigonly</v>
      </c>
      <c r="B5">
        <f>COUNTIFS(pic!$B:$B,"Demonstration",pic!$R:$R,"bigonly")</f>
        <v>4</v>
      </c>
      <c r="C5">
        <f>COUNTIFS(pic!$B:$B,"Exploration",pic!$R:$R,"bigonly")</f>
        <v>4</v>
      </c>
      <c r="D5">
        <f>AVERAGEIFS(pic!P:P,pic!B:B,"Demonstration",pic!R:R,Sheet2!A5)</f>
        <v>2.75</v>
      </c>
      <c r="E5">
        <f>AVERAGEIFS(pic!$P:$P,pic!$B:$B,"Exploration",pic!$R:$R,Sheet2!$A5)</f>
        <v>2.75</v>
      </c>
      <c r="F5">
        <f>COUNTIFS(pic!$F:$F,"four",pic!$R:$R,Sheet2!$A5)</f>
        <v>2</v>
      </c>
      <c r="G5">
        <f>COUNTIFS(pic!$F:$F,"five",pic!$R:$R,Sheet2!$A5)</f>
        <v>3</v>
      </c>
      <c r="H5">
        <f>COUNTIFS(pic!$F:$F,"six",pic!$R:$R,Sheet2!$A5)</f>
        <v>3</v>
      </c>
    </row>
    <row r="6" spans="1:8" x14ac:dyDescent="0.25">
      <c r="A6" t="str">
        <v>seq</v>
      </c>
      <c r="B6">
        <f>COUNTIFS(pic!$B:$B,"Demonstration",pic!$R:$R,"seq")</f>
        <v>5</v>
      </c>
      <c r="C6">
        <f>COUNTIFS(pic!$B:$B,"Exploration",pic!$R:$R,"seq")</f>
        <v>3</v>
      </c>
      <c r="D6">
        <f>AVERAGEIFS(pic!P:P,pic!B:B,"Demonstration",pic!R:R,Sheet2!A6)</f>
        <v>1</v>
      </c>
      <c r="E6">
        <f>AVERAGEIFS(pic!$P:$P,pic!$B:$B,"Exploration",pic!$R:$R,Sheet2!$A6)</f>
        <v>1</v>
      </c>
      <c r="F6">
        <f>COUNTIFS(pic!$F:$F,"four",pic!$R:$R,Sheet2!$A6)</f>
        <v>4</v>
      </c>
      <c r="G6">
        <f>COUNTIFS(pic!$F:$F,"five",pic!$R:$R,Sheet2!$A6)</f>
        <v>3</v>
      </c>
      <c r="H6">
        <f>COUNTIFS(pic!$F:$F,"six",pic!$R:$R,Sheet2!$A6)</f>
        <v>1</v>
      </c>
    </row>
    <row r="7" spans="1:8" x14ac:dyDescent="0.25">
      <c r="A7" t="str">
        <v>backseq</v>
      </c>
      <c r="B7">
        <f>COUNTIFS(pic!$B:$B,"Demonstration",pic!$R:$R,"backseq")</f>
        <v>3</v>
      </c>
      <c r="C7">
        <f>COUNTIFS(pic!$B:$B,"Exploration",pic!$R:$R,"backseq")</f>
        <v>1</v>
      </c>
      <c r="D7">
        <f>AVERAGEIFS(pic!P:P,pic!B:B,"Demonstration",pic!R:R,Sheet2!A7)</f>
        <v>2</v>
      </c>
      <c r="E7">
        <f>AVERAGEIFS(pic!$P:$P,pic!$B:$B,"Exploration",pic!$R:$R,Sheet2!$A7)</f>
        <v>2</v>
      </c>
      <c r="F7">
        <f>COUNTIFS(pic!$F:$F,"four",pic!$R:$R,Sheet2!$A7)</f>
        <v>2</v>
      </c>
      <c r="G7">
        <f>COUNTIFS(pic!$F:$F,"five",pic!$R:$R,Sheet2!$A7)</f>
        <v>2</v>
      </c>
      <c r="H7">
        <f>COUNTIFS(pic!$F:$F,"six",pic!$R:$R,Sheet2!$A7)</f>
        <v>0</v>
      </c>
    </row>
    <row r="8" spans="1:8" x14ac:dyDescent="0.25">
      <c r="A8">
        <v>0</v>
      </c>
    </row>
    <row r="11" spans="1:8" x14ac:dyDescent="0.25">
      <c r="B11" t="s">
        <v>23</v>
      </c>
      <c r="E11" t="s">
        <v>17</v>
      </c>
    </row>
    <row r="12" spans="1:8" x14ac:dyDescent="0.25">
      <c r="B12" t="s">
        <v>145</v>
      </c>
      <c r="C12" t="s">
        <v>146</v>
      </c>
      <c r="D12" t="s">
        <v>147</v>
      </c>
      <c r="E12" t="s">
        <v>145</v>
      </c>
      <c r="F12" t="s">
        <v>146</v>
      </c>
      <c r="G12" t="s">
        <v>147</v>
      </c>
    </row>
    <row r="13" spans="1:8" x14ac:dyDescent="0.25">
      <c r="A13" t="s">
        <v>135</v>
      </c>
      <c r="B13">
        <f>COUNTIFS(pic!$B:$B,"Demonstration",pic!$F:$F,"four",pic!$R:$R,Sheet2!$A13)/COUNTIFS(pic!$B:$B,"Demonstration",pic!$F:$F,"four")</f>
        <v>0.16666666666666666</v>
      </c>
      <c r="C13">
        <f>COUNTIFS(pic!$B:$B,"Demonstration",pic!$F:$F,"five",pic!$R:$R,Sheet2!$A13)/COUNTIFS(pic!$B:$B,"Demonstration",pic!$F:$F,"five")</f>
        <v>0.2857142857142857</v>
      </c>
      <c r="D13">
        <f>COUNTIFS(pic!$B:$B,"Demonstration",pic!$F:$F,"six",pic!$R:$R,Sheet2!$A13)/COUNTIFS(pic!$B:$B,"Demonstration",pic!$F:$F,"six")</f>
        <v>0.45454545454545453</v>
      </c>
      <c r="E13">
        <f>COUNTIFS(pic!$B:$B,"Exploration",pic!$F:$F,"four",pic!$R:$R,Sheet2!$A13)/COUNTIFS(pic!$B:$B,"Exploration",pic!$F:$F,"four")</f>
        <v>0.33333333333333331</v>
      </c>
      <c r="F13">
        <f>COUNTIFS(pic!$B:$B,"Exploration",pic!$F:$F,"five",pic!$R:$R,Sheet2!$A13)/COUNTIFS(pic!$B:$B,"Exploration",pic!$F:$F,"five")</f>
        <v>0.5714285714285714</v>
      </c>
      <c r="G13">
        <f>COUNTIFS(pic!$B:$B,"Exploration",pic!$F:$F,"six",pic!$R:$R,Sheet2!$A13)/COUNTIFS(pic!$B:$B,"Exploration",pic!$F:$F,"six")</f>
        <v>0.36363636363636365</v>
      </c>
    </row>
    <row r="14" spans="1:8" x14ac:dyDescent="0.25">
      <c r="A14" t="s">
        <v>133</v>
      </c>
      <c r="B14">
        <f>COUNTIFS(pic!$B:$B,"Demonstration",pic!$F:$F,"four",pic!$R:$R,Sheet2!$A14)/COUNTIFS(pic!$B:$B,"Demonstration",pic!$F:$F,"four")</f>
        <v>0.16666666666666666</v>
      </c>
      <c r="C14">
        <f>COUNTIFS(pic!$B:$B,"Demonstration",pic!$F:$F,"five",pic!$R:$R,Sheet2!$A14)/COUNTIFS(pic!$B:$B,"Demonstration",pic!$F:$F,"five")</f>
        <v>0.14285714285714285</v>
      </c>
      <c r="D14">
        <f>COUNTIFS(pic!$B:$B,"Demonstration",pic!$F:$F,"six",pic!$R:$R,Sheet2!$A14)/COUNTIFS(pic!$B:$B,"Demonstration",pic!$F:$F,"six")</f>
        <v>0.18181818181818182</v>
      </c>
      <c r="E14">
        <f>COUNTIFS(pic!$B:$B,"Exploration",pic!$F:$F,"four",pic!$R:$R,Sheet2!$A14)/COUNTIFS(pic!$B:$B,"Exploration",pic!$F:$F,"four")</f>
        <v>0</v>
      </c>
      <c r="F14">
        <f>COUNTIFS(pic!$B:$B,"Exploration",pic!$F:$F,"five",pic!$R:$R,Sheet2!$A14)/COUNTIFS(pic!$B:$B,"Exploration",pic!$F:$F,"five")</f>
        <v>0.21428571428571427</v>
      </c>
      <c r="G14">
        <f>COUNTIFS(pic!$B:$B,"Exploration",pic!$F:$F,"six",pic!$R:$R,Sheet2!$A14)/COUNTIFS(pic!$B:$B,"Exploration",pic!$F:$F,"six")</f>
        <v>0.45454545454545453</v>
      </c>
    </row>
    <row r="15" spans="1:8" x14ac:dyDescent="0.25">
      <c r="A15" t="s">
        <v>134</v>
      </c>
      <c r="B15">
        <f>COUNTIFS(pic!$B:$B,"Demonstration",pic!$F:$F,"four",pic!$R:$R,Sheet2!$A15)/COUNTIFS(pic!$B:$B,"Demonstration",pic!$F:$F,"four")</f>
        <v>0</v>
      </c>
      <c r="C15">
        <f>COUNTIFS(pic!$B:$B,"Demonstration",pic!$F:$F,"five",pic!$R:$R,Sheet2!$A15)/COUNTIFS(pic!$B:$B,"Demonstration",pic!$F:$F,"five")</f>
        <v>0.14285714285714285</v>
      </c>
      <c r="D15">
        <f>COUNTIFS(pic!$B:$B,"Demonstration",pic!$F:$F,"six",pic!$R:$R,Sheet2!$A15)/COUNTIFS(pic!$B:$B,"Demonstration",pic!$F:$F,"six")</f>
        <v>0.18181818181818182</v>
      </c>
      <c r="E15">
        <f>COUNTIFS(pic!$B:$B,"Exploration",pic!$F:$F,"four",pic!$R:$R,Sheet2!$A15)/COUNTIFS(pic!$B:$B,"Exploration",pic!$F:$F,"four")</f>
        <v>0</v>
      </c>
      <c r="F15">
        <f>COUNTIFS(pic!$B:$B,"Exploration",pic!$F:$F,"five",pic!$R:$R,Sheet2!$A15)/COUNTIFS(pic!$B:$B,"Exploration",pic!$F:$F,"five")</f>
        <v>7.1428571428571425E-2</v>
      </c>
      <c r="G15">
        <f>COUNTIFS(pic!$B:$B,"Exploration",pic!$F:$F,"six",pic!$R:$R,Sheet2!$A15)/COUNTIFS(pic!$B:$B,"Exploration",pic!$F:$F,"six")</f>
        <v>0</v>
      </c>
    </row>
    <row r="16" spans="1:8" x14ac:dyDescent="0.25">
      <c r="A16" t="s">
        <v>183</v>
      </c>
      <c r="B16">
        <f>COUNTIFS(pic!$B:$B,"Demonstration",pic!$F:$F,"four",pic!$R:$R,Sheet2!$A16)/COUNTIFS(pic!$B:$B,"Demonstration",pic!$F:$F,"four")</f>
        <v>0.16666666666666666</v>
      </c>
      <c r="C16">
        <f>COUNTIFS(pic!$B:$B,"Demonstration",pic!$F:$F,"five",pic!$R:$R,Sheet2!$A16)/COUNTIFS(pic!$B:$B,"Demonstration",pic!$F:$F,"five")</f>
        <v>7.1428571428571425E-2</v>
      </c>
      <c r="D16">
        <f>COUNTIFS(pic!$B:$B,"Demonstration",pic!$F:$F,"six",pic!$R:$R,Sheet2!$A16)/COUNTIFS(pic!$B:$B,"Demonstration",pic!$F:$F,"six")</f>
        <v>0.18181818181818182</v>
      </c>
      <c r="E16">
        <f>COUNTIFS(pic!$B:$B,"Exploration",pic!$F:$F,"four",pic!$R:$R,Sheet2!$A16)/COUNTIFS(pic!$B:$B,"Exploration",pic!$F:$F,"four")</f>
        <v>0.16666666666666666</v>
      </c>
      <c r="F16">
        <f>COUNTIFS(pic!$B:$B,"Exploration",pic!$F:$F,"five",pic!$R:$R,Sheet2!$A16)/COUNTIFS(pic!$B:$B,"Exploration",pic!$F:$F,"five")</f>
        <v>0.14285714285714285</v>
      </c>
      <c r="G16">
        <f>COUNTIFS(pic!$B:$B,"Exploration",pic!$F:$F,"six",pic!$R:$R,Sheet2!$A16)/COUNTIFS(pic!$B:$B,"Exploration",pic!$F:$F,"six")</f>
        <v>9.0909090909090912E-2</v>
      </c>
    </row>
    <row r="17" spans="1:7" x14ac:dyDescent="0.25">
      <c r="A17" t="s">
        <v>136</v>
      </c>
      <c r="B17">
        <f>COUNTIFS(pic!$B:$B,"Demonstration",pic!$F:$F,"four",pic!$R:$R,Sheet2!$A17)/COUNTIFS(pic!$B:$B,"Demonstration",pic!$F:$F,"four")</f>
        <v>0.33333333333333331</v>
      </c>
      <c r="C17">
        <f>COUNTIFS(pic!$B:$B,"Demonstration",pic!$F:$F,"five",pic!$R:$R,Sheet2!$A17)/COUNTIFS(pic!$B:$B,"Demonstration",pic!$F:$F,"five")</f>
        <v>0.21428571428571427</v>
      </c>
      <c r="D17">
        <f>COUNTIFS(pic!$B:$B,"Demonstration",pic!$F:$F,"six",pic!$R:$R,Sheet2!$A17)/COUNTIFS(pic!$B:$B,"Demonstration",pic!$F:$F,"six")</f>
        <v>0</v>
      </c>
      <c r="E17">
        <f>COUNTIFS(pic!$B:$B,"Exploration",pic!$F:$F,"four",pic!$R:$R,Sheet2!$A17)/COUNTIFS(pic!$B:$B,"Exploration",pic!$F:$F,"four")</f>
        <v>0.33333333333333331</v>
      </c>
      <c r="F17">
        <f>COUNTIFS(pic!$B:$B,"Exploration",pic!$F:$F,"five",pic!$R:$R,Sheet2!$A17)/COUNTIFS(pic!$B:$B,"Exploration",pic!$F:$F,"five")</f>
        <v>0</v>
      </c>
      <c r="G17">
        <f>COUNTIFS(pic!$B:$B,"Exploration",pic!$F:$F,"six",pic!$R:$R,Sheet2!$A17)/COUNTIFS(pic!$B:$B,"Exploration",pic!$F:$F,"six")</f>
        <v>9.0909090909090912E-2</v>
      </c>
    </row>
    <row r="18" spans="1:7" x14ac:dyDescent="0.25">
      <c r="A18" t="s">
        <v>184</v>
      </c>
      <c r="B18">
        <f>COUNTIFS(pic!$B:$B,"Demonstration",pic!$F:$F,"four",pic!$R:$R,Sheet2!$A18)/COUNTIFS(pic!$B:$B,"Demonstration",pic!$F:$F,"four")</f>
        <v>0.16666666666666666</v>
      </c>
      <c r="C18">
        <f>COUNTIFS(pic!$B:$B,"Demonstration",pic!$F:$F,"five",pic!$R:$R,Sheet2!$A18)/COUNTIFS(pic!$B:$B,"Demonstration",pic!$F:$F,"five")</f>
        <v>0.14285714285714285</v>
      </c>
      <c r="D18">
        <f>COUNTIFS(pic!$B:$B,"Demonstration",pic!$F:$F,"six",pic!$R:$R,Sheet2!$A18)/COUNTIFS(pic!$B:$B,"Demonstration",pic!$F:$F,"six")</f>
        <v>0</v>
      </c>
      <c r="E18">
        <f>COUNTIFS(pic!$B:$B,"Exploration",pic!$F:$F,"four",pic!$R:$R,Sheet2!$A18)/COUNTIFS(pic!$B:$B,"Exploration",pic!$F:$F,"four")</f>
        <v>0.16666666666666666</v>
      </c>
      <c r="F18">
        <f>COUNTIFS(pic!$B:$B,"Exploration",pic!$F:$F,"five",pic!$R:$R,Sheet2!$A18)/COUNTIFS(pic!$B:$B,"Exploration",pic!$F:$F,"five")</f>
        <v>0</v>
      </c>
      <c r="G18">
        <f>COUNTIFS(pic!$B:$B,"Exploration",pic!$F:$F,"six",pic!$R:$R,Sheet2!$A18)/COUNTIFS(pic!$B:$B,"Exploration",pic!$F:$F,"six")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pic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Tricia Ngoon</cp:lastModifiedBy>
  <dcterms:created xsi:type="dcterms:W3CDTF">2021-02-08T17:49:12Z</dcterms:created>
  <dcterms:modified xsi:type="dcterms:W3CDTF">2021-03-04T22:55:41Z</dcterms:modified>
</cp:coreProperties>
</file>