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4355" windowHeight="6090" activeTab="2"/>
  </bookViews>
  <sheets>
    <sheet name="raw" sheetId="1" r:id="rId1"/>
    <sheet name="weights" sheetId="2" r:id="rId2"/>
    <sheet name="processed_data" sheetId="5" r:id="rId3"/>
    <sheet name="processed_data_old" sheetId="3" r:id="rId4"/>
    <sheet name="Sheet1" sheetId="4" r:id="rId5"/>
  </sheets>
  <calcPr calcId="145621" concurrentCalc="0"/>
</workbook>
</file>

<file path=xl/calcChain.xml><?xml version="1.0" encoding="utf-8"?>
<calcChain xmlns="http://schemas.openxmlformats.org/spreadsheetml/2006/main">
  <c r="D20" i="5" l="1"/>
  <c r="C44" i="5"/>
  <c r="C43" i="5"/>
  <c r="C42" i="5"/>
  <c r="E42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D10" i="5"/>
  <c r="E43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E44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D44" i="5"/>
  <c r="D43" i="5"/>
  <c r="D42" i="5"/>
  <c r="E5" i="5"/>
  <c r="E8" i="5"/>
  <c r="C49" i="5"/>
  <c r="E9" i="5"/>
  <c r="C53" i="5"/>
  <c r="C83" i="5"/>
  <c r="C84" i="5"/>
  <c r="C85" i="5"/>
  <c r="E11" i="5"/>
  <c r="E12" i="5"/>
  <c r="C40" i="5"/>
  <c r="E13" i="5"/>
  <c r="E14" i="5"/>
  <c r="C87" i="5"/>
  <c r="C89" i="5"/>
  <c r="E16" i="5"/>
  <c r="E17" i="5"/>
  <c r="E18" i="5"/>
  <c r="E19" i="5"/>
  <c r="C91" i="5"/>
  <c r="C93" i="5"/>
  <c r="E21" i="5"/>
  <c r="E22" i="5"/>
  <c r="E23" i="5"/>
  <c r="E24" i="5"/>
  <c r="F5" i="5"/>
  <c r="F8" i="5"/>
  <c r="F9" i="5"/>
  <c r="F11" i="5"/>
  <c r="F12" i="5"/>
  <c r="F13" i="5"/>
  <c r="F14" i="5"/>
  <c r="F16" i="5"/>
  <c r="F17" i="5"/>
  <c r="F18" i="5"/>
  <c r="F19" i="5"/>
  <c r="F21" i="5"/>
  <c r="F22" i="5"/>
  <c r="F23" i="5"/>
  <c r="F24" i="5"/>
  <c r="G5" i="5"/>
  <c r="G8" i="5"/>
  <c r="G9" i="5"/>
  <c r="G11" i="5"/>
  <c r="G12" i="5"/>
  <c r="G13" i="5"/>
  <c r="G14" i="5"/>
  <c r="G16" i="5"/>
  <c r="G17" i="5"/>
  <c r="G18" i="5"/>
  <c r="G19" i="5"/>
  <c r="G21" i="5"/>
  <c r="G22" i="5"/>
  <c r="G23" i="5"/>
  <c r="G24" i="5"/>
  <c r="H5" i="5"/>
  <c r="H8" i="5"/>
  <c r="H9" i="5"/>
  <c r="H11" i="5"/>
  <c r="H12" i="5"/>
  <c r="H13" i="5"/>
  <c r="H14" i="5"/>
  <c r="H16" i="5"/>
  <c r="H17" i="5"/>
  <c r="H18" i="5"/>
  <c r="H19" i="5"/>
  <c r="H21" i="5"/>
  <c r="H22" i="5"/>
  <c r="H23" i="5"/>
  <c r="H24" i="5"/>
  <c r="I5" i="5"/>
  <c r="I8" i="5"/>
  <c r="I9" i="5"/>
  <c r="I11" i="5"/>
  <c r="I12" i="5"/>
  <c r="I13" i="5"/>
  <c r="I14" i="5"/>
  <c r="I16" i="5"/>
  <c r="I17" i="5"/>
  <c r="I18" i="5"/>
  <c r="I19" i="5"/>
  <c r="I21" i="5"/>
  <c r="I22" i="5"/>
  <c r="I23" i="5"/>
  <c r="I24" i="5"/>
  <c r="J5" i="5"/>
  <c r="J8" i="5"/>
  <c r="J9" i="5"/>
  <c r="J11" i="5"/>
  <c r="J12" i="5"/>
  <c r="J13" i="5"/>
  <c r="J14" i="5"/>
  <c r="J16" i="5"/>
  <c r="J17" i="5"/>
  <c r="J18" i="5"/>
  <c r="J19" i="5"/>
  <c r="J21" i="5"/>
  <c r="J22" i="5"/>
  <c r="J23" i="5"/>
  <c r="J24" i="5"/>
  <c r="K5" i="5"/>
  <c r="K8" i="5"/>
  <c r="K9" i="5"/>
  <c r="K11" i="5"/>
  <c r="K12" i="5"/>
  <c r="K13" i="5"/>
  <c r="K14" i="5"/>
  <c r="K16" i="5"/>
  <c r="K17" i="5"/>
  <c r="K18" i="5"/>
  <c r="K19" i="5"/>
  <c r="K21" i="5"/>
  <c r="K22" i="5"/>
  <c r="K23" i="5"/>
  <c r="K24" i="5"/>
  <c r="L5" i="5"/>
  <c r="L8" i="5"/>
  <c r="L9" i="5"/>
  <c r="L11" i="5"/>
  <c r="L12" i="5"/>
  <c r="L13" i="5"/>
  <c r="L14" i="5"/>
  <c r="L16" i="5"/>
  <c r="L17" i="5"/>
  <c r="L18" i="5"/>
  <c r="L19" i="5"/>
  <c r="L21" i="5"/>
  <c r="L22" i="5"/>
  <c r="L23" i="5"/>
  <c r="L24" i="5"/>
  <c r="M5" i="5"/>
  <c r="M8" i="5"/>
  <c r="M9" i="5"/>
  <c r="M11" i="5"/>
  <c r="M12" i="5"/>
  <c r="M13" i="5"/>
  <c r="M14" i="5"/>
  <c r="M16" i="5"/>
  <c r="M17" i="5"/>
  <c r="M18" i="5"/>
  <c r="M19" i="5"/>
  <c r="M21" i="5"/>
  <c r="M22" i="5"/>
  <c r="M23" i="5"/>
  <c r="M24" i="5"/>
  <c r="N5" i="5"/>
  <c r="N8" i="5"/>
  <c r="N9" i="5"/>
  <c r="N11" i="5"/>
  <c r="N12" i="5"/>
  <c r="N13" i="5"/>
  <c r="N14" i="5"/>
  <c r="N16" i="5"/>
  <c r="N17" i="5"/>
  <c r="N18" i="5"/>
  <c r="N19" i="5"/>
  <c r="N21" i="5"/>
  <c r="N22" i="5"/>
  <c r="N23" i="5"/>
  <c r="N24" i="5"/>
  <c r="O5" i="5"/>
  <c r="O8" i="5"/>
  <c r="O9" i="5"/>
  <c r="O11" i="5"/>
  <c r="O12" i="5"/>
  <c r="O13" i="5"/>
  <c r="O14" i="5"/>
  <c r="O16" i="5"/>
  <c r="O17" i="5"/>
  <c r="O18" i="5"/>
  <c r="O19" i="5"/>
  <c r="O21" i="5"/>
  <c r="O22" i="5"/>
  <c r="O23" i="5"/>
  <c r="O24" i="5"/>
  <c r="P5" i="5"/>
  <c r="P8" i="5"/>
  <c r="P9" i="5"/>
  <c r="P11" i="5"/>
  <c r="P12" i="5"/>
  <c r="P13" i="5"/>
  <c r="P14" i="5"/>
  <c r="P16" i="5"/>
  <c r="P17" i="5"/>
  <c r="P18" i="5"/>
  <c r="P19" i="5"/>
  <c r="P21" i="5"/>
  <c r="P22" i="5"/>
  <c r="P23" i="5"/>
  <c r="P24" i="5"/>
  <c r="Q5" i="5"/>
  <c r="Q8" i="5"/>
  <c r="Q9" i="5"/>
  <c r="Q11" i="5"/>
  <c r="Q12" i="5"/>
  <c r="Q13" i="5"/>
  <c r="Q14" i="5"/>
  <c r="Q16" i="5"/>
  <c r="Q17" i="5"/>
  <c r="Q18" i="5"/>
  <c r="Q19" i="5"/>
  <c r="Q21" i="5"/>
  <c r="Q22" i="5"/>
  <c r="Q23" i="5"/>
  <c r="Q24" i="5"/>
  <c r="R5" i="5"/>
  <c r="R8" i="5"/>
  <c r="R9" i="5"/>
  <c r="R11" i="5"/>
  <c r="R12" i="5"/>
  <c r="R13" i="5"/>
  <c r="R14" i="5"/>
  <c r="R16" i="5"/>
  <c r="R17" i="5"/>
  <c r="R18" i="5"/>
  <c r="R19" i="5"/>
  <c r="R21" i="5"/>
  <c r="R22" i="5"/>
  <c r="R23" i="5"/>
  <c r="R24" i="5"/>
  <c r="S5" i="5"/>
  <c r="S8" i="5"/>
  <c r="S9" i="5"/>
  <c r="S11" i="5"/>
  <c r="S12" i="5"/>
  <c r="S13" i="5"/>
  <c r="S14" i="5"/>
  <c r="S16" i="5"/>
  <c r="S17" i="5"/>
  <c r="S18" i="5"/>
  <c r="S19" i="5"/>
  <c r="S21" i="5"/>
  <c r="S22" i="5"/>
  <c r="S23" i="5"/>
  <c r="S24" i="5"/>
  <c r="T5" i="5"/>
  <c r="T8" i="5"/>
  <c r="T9" i="5"/>
  <c r="T11" i="5"/>
  <c r="T12" i="5"/>
  <c r="T13" i="5"/>
  <c r="T14" i="5"/>
  <c r="T16" i="5"/>
  <c r="T17" i="5"/>
  <c r="T18" i="5"/>
  <c r="T19" i="5"/>
  <c r="T21" i="5"/>
  <c r="T22" i="5"/>
  <c r="T23" i="5"/>
  <c r="T24" i="5"/>
  <c r="U5" i="5"/>
  <c r="U8" i="5"/>
  <c r="U9" i="5"/>
  <c r="U11" i="5"/>
  <c r="U12" i="5"/>
  <c r="U13" i="5"/>
  <c r="U14" i="5"/>
  <c r="U16" i="5"/>
  <c r="U17" i="5"/>
  <c r="U18" i="5"/>
  <c r="U19" i="5"/>
  <c r="U21" i="5"/>
  <c r="U22" i="5"/>
  <c r="U23" i="5"/>
  <c r="U24" i="5"/>
  <c r="V5" i="5"/>
  <c r="V8" i="5"/>
  <c r="V9" i="5"/>
  <c r="V11" i="5"/>
  <c r="V12" i="5"/>
  <c r="V13" i="5"/>
  <c r="V14" i="5"/>
  <c r="V16" i="5"/>
  <c r="V17" i="5"/>
  <c r="V18" i="5"/>
  <c r="V19" i="5"/>
  <c r="V21" i="5"/>
  <c r="V22" i="5"/>
  <c r="V23" i="5"/>
  <c r="V24" i="5"/>
  <c r="W5" i="5"/>
  <c r="W8" i="5"/>
  <c r="W9" i="5"/>
  <c r="W11" i="5"/>
  <c r="W12" i="5"/>
  <c r="W13" i="5"/>
  <c r="W14" i="5"/>
  <c r="W16" i="5"/>
  <c r="W17" i="5"/>
  <c r="W18" i="5"/>
  <c r="W19" i="5"/>
  <c r="W21" i="5"/>
  <c r="W22" i="5"/>
  <c r="W23" i="5"/>
  <c r="W24" i="5"/>
  <c r="X5" i="5"/>
  <c r="X8" i="5"/>
  <c r="X9" i="5"/>
  <c r="X11" i="5"/>
  <c r="X12" i="5"/>
  <c r="X13" i="5"/>
  <c r="X14" i="5"/>
  <c r="X16" i="5"/>
  <c r="X17" i="5"/>
  <c r="X18" i="5"/>
  <c r="X19" i="5"/>
  <c r="X21" i="5"/>
  <c r="X22" i="5"/>
  <c r="X23" i="5"/>
  <c r="X24" i="5"/>
  <c r="Y5" i="5"/>
  <c r="Y8" i="5"/>
  <c r="Y9" i="5"/>
  <c r="Y11" i="5"/>
  <c r="Y12" i="5"/>
  <c r="Y13" i="5"/>
  <c r="Y14" i="5"/>
  <c r="Y16" i="5"/>
  <c r="Y17" i="5"/>
  <c r="Y18" i="5"/>
  <c r="Y19" i="5"/>
  <c r="Y21" i="5"/>
  <c r="Y22" i="5"/>
  <c r="Y23" i="5"/>
  <c r="Y24" i="5"/>
  <c r="D5" i="5"/>
  <c r="D8" i="5"/>
  <c r="D9" i="5"/>
  <c r="D11" i="5"/>
  <c r="D12" i="5"/>
  <c r="D13" i="5"/>
  <c r="D14" i="5"/>
  <c r="D16" i="5"/>
  <c r="D17" i="5"/>
  <c r="D18" i="5"/>
  <c r="D19" i="5"/>
  <c r="D21" i="5"/>
  <c r="D22" i="5"/>
  <c r="D23" i="5"/>
  <c r="D24" i="5"/>
  <c r="Y24" i="1"/>
  <c r="Y25" i="1"/>
  <c r="Y26" i="1"/>
  <c r="Y27" i="1"/>
  <c r="X24" i="1"/>
  <c r="X25" i="1"/>
  <c r="X26" i="1"/>
  <c r="X27" i="1"/>
  <c r="A21" i="5"/>
  <c r="A16" i="5"/>
  <c r="A11" i="5"/>
  <c r="D40" i="5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AE24" i="5"/>
  <c r="AD24" i="5"/>
  <c r="AC24" i="5"/>
  <c r="AB24" i="5"/>
  <c r="AA24" i="5"/>
  <c r="Z24" i="5"/>
  <c r="AE23" i="5"/>
  <c r="AD23" i="5"/>
  <c r="AC23" i="5"/>
  <c r="AB23" i="5"/>
  <c r="AA23" i="5"/>
  <c r="Z23" i="5"/>
  <c r="B23" i="5"/>
  <c r="A23" i="5"/>
  <c r="AE22" i="5"/>
  <c r="AD22" i="5"/>
  <c r="AC22" i="5"/>
  <c r="AB22" i="5"/>
  <c r="AA22" i="5"/>
  <c r="Z22" i="5"/>
  <c r="B22" i="5"/>
  <c r="A22" i="5"/>
  <c r="AE20" i="5"/>
  <c r="AD20" i="5"/>
  <c r="AC20" i="5"/>
  <c r="AB20" i="5"/>
  <c r="AA20" i="5"/>
  <c r="Z20" i="5"/>
  <c r="A20" i="5"/>
  <c r="AE19" i="5"/>
  <c r="AD19" i="5"/>
  <c r="AC19" i="5"/>
  <c r="AB19" i="5"/>
  <c r="AA19" i="5"/>
  <c r="Z19" i="5"/>
  <c r="B19" i="5"/>
  <c r="A19" i="5"/>
  <c r="AE18" i="5"/>
  <c r="AD18" i="5"/>
  <c r="AC18" i="5"/>
  <c r="AB18" i="5"/>
  <c r="AA18" i="5"/>
  <c r="Z18" i="5"/>
  <c r="B18" i="5"/>
  <c r="A18" i="5"/>
  <c r="AE17" i="5"/>
  <c r="AD17" i="5"/>
  <c r="AC17" i="5"/>
  <c r="AB17" i="5"/>
  <c r="AA17" i="5"/>
  <c r="Z17" i="5"/>
  <c r="B17" i="5"/>
  <c r="A17" i="5"/>
  <c r="AE15" i="5"/>
  <c r="AD15" i="5"/>
  <c r="AC15" i="5"/>
  <c r="AB15" i="5"/>
  <c r="AA15" i="5"/>
  <c r="Z15" i="5"/>
  <c r="A15" i="5"/>
  <c r="AE14" i="5"/>
  <c r="AD14" i="5"/>
  <c r="AC14" i="5"/>
  <c r="AB14" i="5"/>
  <c r="AA14" i="5"/>
  <c r="Z14" i="5"/>
  <c r="B14" i="5"/>
  <c r="A14" i="5"/>
  <c r="AE13" i="5"/>
  <c r="AD13" i="5"/>
  <c r="AC13" i="5"/>
  <c r="AB13" i="5"/>
  <c r="AA13" i="5"/>
  <c r="Z13" i="5"/>
  <c r="B13" i="5"/>
  <c r="A13" i="5"/>
  <c r="AE12" i="5"/>
  <c r="AD12" i="5"/>
  <c r="AC12" i="5"/>
  <c r="AB12" i="5"/>
  <c r="AA12" i="5"/>
  <c r="Z12" i="5"/>
  <c r="B12" i="5"/>
  <c r="A12" i="5"/>
  <c r="AE10" i="5"/>
  <c r="AD10" i="5"/>
  <c r="AC10" i="5"/>
  <c r="AB10" i="5"/>
  <c r="AA10" i="5"/>
  <c r="Z10" i="5"/>
  <c r="A10" i="5"/>
  <c r="AE9" i="5"/>
  <c r="AD9" i="5"/>
  <c r="AC9" i="5"/>
  <c r="AB9" i="5"/>
  <c r="AA9" i="5"/>
  <c r="Z9" i="5"/>
  <c r="B9" i="5"/>
  <c r="A9" i="5"/>
  <c r="AE8" i="5"/>
  <c r="AD8" i="5"/>
  <c r="AC8" i="5"/>
  <c r="AB8" i="5"/>
  <c r="AA8" i="5"/>
  <c r="Z8" i="5"/>
  <c r="B8" i="5"/>
  <c r="A8" i="5"/>
  <c r="C7" i="5"/>
  <c r="B7" i="5"/>
  <c r="A7" i="5"/>
  <c r="C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Z21" i="1"/>
  <c r="AA21" i="1"/>
  <c r="AB21" i="1"/>
  <c r="AC21" i="1"/>
  <c r="Z22" i="1"/>
  <c r="AA22" i="1"/>
  <c r="AB22" i="1"/>
  <c r="AC22" i="1"/>
  <c r="Z23" i="1"/>
  <c r="AA23" i="1"/>
  <c r="AB23" i="1"/>
  <c r="AC23" i="1"/>
  <c r="Y9" i="1"/>
  <c r="Y10" i="1"/>
  <c r="Y11" i="1"/>
  <c r="Y12" i="1"/>
  <c r="Y13" i="1"/>
  <c r="Y14" i="1"/>
  <c r="Y15" i="1"/>
  <c r="Y16" i="1"/>
  <c r="Y17" i="1"/>
  <c r="X9" i="1"/>
  <c r="X10" i="1"/>
  <c r="X11" i="1"/>
  <c r="X12" i="1"/>
  <c r="X13" i="1"/>
  <c r="X14" i="1"/>
  <c r="X15" i="1"/>
  <c r="X16" i="1"/>
  <c r="X17" i="1"/>
  <c r="X18" i="1"/>
  <c r="Y21" i="1"/>
  <c r="X21" i="1"/>
  <c r="E5" i="3"/>
  <c r="E8" i="3"/>
  <c r="F5" i="3"/>
  <c r="F8" i="3"/>
  <c r="G5" i="3"/>
  <c r="G8" i="3"/>
  <c r="H5" i="3"/>
  <c r="H8" i="3"/>
  <c r="I5" i="3"/>
  <c r="I8" i="3"/>
  <c r="J5" i="3"/>
  <c r="J8" i="3"/>
  <c r="K5" i="3"/>
  <c r="K8" i="3"/>
  <c r="L5" i="3"/>
  <c r="L8" i="3"/>
  <c r="M5" i="3"/>
  <c r="M8" i="3"/>
  <c r="N5" i="3"/>
  <c r="N8" i="3"/>
  <c r="O5" i="3"/>
  <c r="O8" i="3"/>
  <c r="P5" i="3"/>
  <c r="P8" i="3"/>
  <c r="Q5" i="3"/>
  <c r="Q8" i="3"/>
  <c r="R5" i="3"/>
  <c r="R8" i="3"/>
  <c r="S5" i="3"/>
  <c r="S8" i="3"/>
  <c r="T5" i="3"/>
  <c r="T8" i="3"/>
  <c r="U5" i="3"/>
  <c r="U8" i="3"/>
  <c r="V5" i="3"/>
  <c r="V8" i="3"/>
  <c r="W5" i="3"/>
  <c r="W8" i="3"/>
  <c r="X5" i="3"/>
  <c r="X8" i="3"/>
  <c r="Y5" i="3"/>
  <c r="Y8" i="3"/>
  <c r="D5" i="3"/>
  <c r="D8" i="3"/>
  <c r="Y11" i="3"/>
  <c r="Y10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7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3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9" i="3"/>
  <c r="X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19" i="3"/>
  <c r="D20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8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5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4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1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D10" i="3"/>
  <c r="C43" i="3"/>
  <c r="C47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2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37" i="3"/>
  <c r="X23" i="1"/>
  <c r="Y23" i="1"/>
  <c r="Y22" i="1"/>
  <c r="X22" i="1"/>
  <c r="Y20" i="1"/>
  <c r="X20" i="1"/>
  <c r="Y19" i="1"/>
  <c r="X19" i="1"/>
  <c r="Y18" i="1"/>
  <c r="AC8" i="1"/>
  <c r="AB8" i="1"/>
  <c r="AA8" i="1"/>
  <c r="Z8" i="1"/>
  <c r="Y8" i="1"/>
  <c r="X8" i="1"/>
  <c r="AC7" i="1"/>
  <c r="AB7" i="1"/>
  <c r="AA7" i="1"/>
  <c r="Z7" i="1"/>
  <c r="Y7" i="1"/>
  <c r="X7" i="1"/>
  <c r="AC6" i="1"/>
  <c r="AB6" i="1"/>
  <c r="AA6" i="1"/>
  <c r="Z6" i="1"/>
  <c r="Y6" i="1"/>
  <c r="X6" i="1"/>
  <c r="D21" i="2"/>
  <c r="D20" i="2"/>
  <c r="Z19" i="3"/>
  <c r="AD18" i="3"/>
  <c r="AE15" i="3"/>
  <c r="AC17" i="3"/>
  <c r="AD17" i="3"/>
  <c r="AE14" i="3"/>
  <c r="Z13" i="3"/>
  <c r="AA18" i="3"/>
  <c r="AC14" i="3"/>
  <c r="AB18" i="3"/>
  <c r="AE18" i="3"/>
  <c r="AC18" i="3"/>
  <c r="AE19" i="3"/>
  <c r="AD15" i="3"/>
  <c r="AB11" i="3"/>
  <c r="Z11" i="3"/>
  <c r="AE11" i="3"/>
  <c r="AD11" i="3"/>
  <c r="AD19" i="3"/>
  <c r="Z18" i="3"/>
  <c r="AA17" i="3"/>
  <c r="AE17" i="3"/>
  <c r="Z17" i="3"/>
  <c r="AB17" i="3"/>
  <c r="AC19" i="3"/>
  <c r="AA19" i="3"/>
  <c r="AB19" i="3"/>
  <c r="AA15" i="3"/>
  <c r="Z15" i="3"/>
  <c r="AB15" i="3"/>
  <c r="AC15" i="3"/>
  <c r="AB14" i="3"/>
  <c r="AC13" i="3"/>
  <c r="AB13" i="3"/>
  <c r="AE13" i="3"/>
  <c r="AA14" i="3"/>
  <c r="AD14" i="3"/>
  <c r="AD13" i="3"/>
  <c r="AA13" i="3"/>
  <c r="Z14" i="3"/>
  <c r="AC11" i="3"/>
  <c r="AA11" i="3"/>
  <c r="AA20" i="3"/>
  <c r="D37" i="3"/>
  <c r="AB12" i="3"/>
  <c r="AE12" i="3"/>
  <c r="Z12" i="3"/>
  <c r="AD12" i="3"/>
  <c r="AA12" i="3"/>
  <c r="AC12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1" i="3"/>
  <c r="C2" i="3"/>
  <c r="C3" i="3"/>
  <c r="C4" i="3"/>
  <c r="C5" i="3"/>
  <c r="A7" i="3"/>
  <c r="B7" i="3"/>
  <c r="C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C9" i="3"/>
  <c r="AA9" i="3"/>
  <c r="AE9" i="3"/>
  <c r="AB9" i="3"/>
  <c r="AD9" i="3"/>
  <c r="Z9" i="3"/>
  <c r="Z20" i="3"/>
  <c r="AD20" i="3"/>
  <c r="AC16" i="3"/>
  <c r="AE16" i="3"/>
  <c r="AA16" i="3"/>
  <c r="X21" i="3"/>
  <c r="T21" i="3"/>
  <c r="P21" i="3"/>
  <c r="L21" i="3"/>
  <c r="H21" i="3"/>
  <c r="AB16" i="3"/>
  <c r="Z16" i="3"/>
  <c r="AC20" i="3"/>
  <c r="AD16" i="3"/>
  <c r="AE20" i="3"/>
  <c r="AB20" i="3"/>
  <c r="AB10" i="3"/>
  <c r="AC10" i="3"/>
  <c r="Z10" i="3"/>
  <c r="AA10" i="3"/>
  <c r="AD10" i="3"/>
  <c r="AE10" i="3"/>
  <c r="AD8" i="3"/>
  <c r="Z8" i="3"/>
  <c r="AC8" i="3"/>
  <c r="AA8" i="3"/>
  <c r="AB8" i="3"/>
  <c r="AE8" i="3"/>
  <c r="S21" i="3"/>
  <c r="K21" i="3"/>
  <c r="W21" i="3"/>
  <c r="O21" i="3"/>
  <c r="G21" i="3"/>
  <c r="Y21" i="3"/>
  <c r="U21" i="3"/>
  <c r="V21" i="3"/>
  <c r="Q21" i="3"/>
  <c r="M21" i="3"/>
  <c r="I21" i="3"/>
  <c r="E21" i="3"/>
  <c r="R21" i="3"/>
  <c r="N21" i="3"/>
  <c r="J21" i="3"/>
  <c r="F21" i="3"/>
  <c r="D21" i="3"/>
  <c r="AC21" i="3"/>
  <c r="AD21" i="3"/>
  <c r="AE21" i="3"/>
  <c r="AA21" i="3"/>
  <c r="AB21" i="3"/>
  <c r="Z21" i="3"/>
</calcChain>
</file>

<file path=xl/sharedStrings.xml><?xml version="1.0" encoding="utf-8"?>
<sst xmlns="http://schemas.openxmlformats.org/spreadsheetml/2006/main" count="298" uniqueCount="89">
  <si>
    <t>Number of Satellites</t>
  </si>
  <si>
    <t>Formula (for score out of 10)</t>
  </si>
  <si>
    <t>Weight</t>
  </si>
  <si>
    <t>Fraction of coverage gap to total time analysed</t>
  </si>
  <si>
    <t>Average coverage gap time</t>
  </si>
  <si>
    <t>Maximum coverage gap time</t>
  </si>
  <si>
    <t>Minimum Received RX Power</t>
  </si>
  <si>
    <t>Flight Path</t>
  </si>
  <si>
    <t>Parameter</t>
  </si>
  <si>
    <t>All</t>
  </si>
  <si>
    <t>LAX - Heathrow</t>
  </si>
  <si>
    <t>LAX - Narita</t>
  </si>
  <si>
    <t>LAX - Sydney</t>
  </si>
  <si>
    <t>Notes</t>
  </si>
  <si>
    <t>Important due to having to replace satellites. Need to apply a sane scale</t>
  </si>
  <si>
    <t>Fraction of total flight time. Total flight time is 9h44min49s (38689s)</t>
  </si>
  <si>
    <t>=10(1-raw/total)</t>
  </si>
  <si>
    <t>=10(1-raw)</t>
  </si>
  <si>
    <t>linear between 140.5 (@800km) and 137.8 (@400km). Current standard is min 84dbm for a Class R3. Note that dbm = dbW + 30</t>
  </si>
  <si>
    <t>= (raw+30) + 84</t>
  </si>
  <si>
    <t>LAX-Heathrow Gap Fraction</t>
  </si>
  <si>
    <t>LAX-Heathrow Average Coverage</t>
  </si>
  <si>
    <t>LAX-heathrow average gap</t>
  </si>
  <si>
    <t>LAX-Heathrow Maximum Gap (S)</t>
  </si>
  <si>
    <t>Lax-Heathrow Minimum RX Power (dBW)</t>
  </si>
  <si>
    <t>LAX-Narita Gap Fraction</t>
  </si>
  <si>
    <t>LAX-Narita Average coverage</t>
  </si>
  <si>
    <t>LAX-Narita average gap</t>
  </si>
  <si>
    <t>LAX-Narita Maximum Gap (s)</t>
  </si>
  <si>
    <t>Lax-Narita Minimum RX Power (dBW)</t>
  </si>
  <si>
    <t>LAX-Sydney Gap Fraction2</t>
  </si>
  <si>
    <t>LAX-Sydney Average coverage</t>
  </si>
  <si>
    <t>LAX-Sydney average gap</t>
  </si>
  <si>
    <t>LAX-Sydney Maximum Gap (s)</t>
  </si>
  <si>
    <t>Lax-Sydney Minimum RX Power (dBW)</t>
  </si>
  <si>
    <t>Number of Planes</t>
  </si>
  <si>
    <t>Number of Satellites (Total)</t>
  </si>
  <si>
    <t>Number of Satellites per plane</t>
  </si>
  <si>
    <t>Inclination (deg)</t>
  </si>
  <si>
    <t>Altitude (km above mean radius of Earth)</t>
  </si>
  <si>
    <t>Scalar Parameters</t>
  </si>
  <si>
    <t>Satellite Number Scalar</t>
  </si>
  <si>
    <t>Coverage Gap upper offset</t>
  </si>
  <si>
    <t>Total Score (%)</t>
  </si>
  <si>
    <t>Total Flight Time (heathrow)</t>
  </si>
  <si>
    <t>dBm to dBW</t>
  </si>
  <si>
    <t>Minimum ADS-B Threshhold</t>
  </si>
  <si>
    <t>Mnimum RX Power Scalar</t>
  </si>
  <si>
    <t>Total flight time is 9h41m11s (34871)</t>
  </si>
  <si>
    <t>Total flight time is 13h18m19s (47899s)</t>
  </si>
  <si>
    <t>Total Flight time (japan)</t>
  </si>
  <si>
    <t>Total Flight time (sydney)</t>
  </si>
  <si>
    <t>Min</t>
  </si>
  <si>
    <t>Max</t>
  </si>
  <si>
    <t>Average</t>
  </si>
  <si>
    <t>stdev</t>
  </si>
  <si>
    <t>Stdev.p</t>
  </si>
  <si>
    <t>stdev.s</t>
  </si>
  <si>
    <t>Minimum RX Power offset</t>
  </si>
  <si>
    <t>Minimum RX Power</t>
  </si>
  <si>
    <t>Maximum RX Power</t>
  </si>
  <si>
    <t>Scale</t>
  </si>
  <si>
    <t>Linearisation Parameters</t>
  </si>
  <si>
    <t>LAX-Narita</t>
  </si>
  <si>
    <t>gap fraction lower bound</t>
  </si>
  <si>
    <t>gap fraction upper bound</t>
  </si>
  <si>
    <t>scale</t>
  </si>
  <si>
    <t>Average gap lower bound</t>
  </si>
  <si>
    <t>average gap upper bound</t>
  </si>
  <si>
    <t>maximum gap lower bound</t>
  </si>
  <si>
    <t>maximum gap upper bound</t>
  </si>
  <si>
    <t>LAX-Sydney</t>
  </si>
  <si>
    <t>LAX-Heathrow</t>
  </si>
  <si>
    <t>Total</t>
  </si>
  <si>
    <t>LAX-Narita Average Period</t>
  </si>
  <si>
    <t>LAX-Heathrow Average Period</t>
  </si>
  <si>
    <t>LAX-Sydney average period</t>
  </si>
  <si>
    <t>LAX-Heathrow Period Stdev</t>
  </si>
  <si>
    <t>LAX-Narita Period stdev</t>
  </si>
  <si>
    <t>LAX-Sydney Period stdev</t>
  </si>
  <si>
    <t>Average Period</t>
  </si>
  <si>
    <t>Period stdev</t>
  </si>
  <si>
    <t>Period stdev lower bound</t>
  </si>
  <si>
    <t>Period stdev upper bound</t>
  </si>
  <si>
    <t>Baseline</t>
  </si>
  <si>
    <t>Minimum</t>
  </si>
  <si>
    <t>Total Flight Time /4(heathrow)</t>
  </si>
  <si>
    <t>Total Flight time/4 (japan)</t>
  </si>
  <si>
    <t>Total Flight time/4 (sydney)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</si>
</sst>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31">
    <xf numFmtId="0" fontId="0" fillId="0" borderId="0" xfId="0"/>
    <xf numFmtId="0" fontId="4" fillId="0" borderId="0" xfId="0" applyFont="1"/>
    <xf numFmtId="0" fontId="0" fillId="0" borderId="0" xfId="0" quotePrefix="1"/>
    <xf numFmtId="0" fontId="0" fillId="0" borderId="0" xfId="0"/>
    <xf numFmtId="0" fontId="3" fillId="5" borderId="3" xfId="0" applyFont="1" applyFill="1" applyBorder="1"/>
    <xf numFmtId="0" fontId="0" fillId="6" borderId="3" xfId="0" applyFont="1" applyFill="1" applyBorder="1"/>
    <xf numFmtId="0" fontId="0" fillId="0" borderId="3" xfId="0" applyFont="1" applyBorder="1"/>
    <xf numFmtId="0" fontId="0" fillId="0" borderId="0" xfId="0"/>
    <xf numFmtId="0" fontId="0" fillId="0" borderId="3" xfId="0" applyFont="1" applyBorder="1"/>
    <xf numFmtId="0" fontId="0" fillId="6" borderId="3" xfId="0" applyFont="1" applyFill="1" applyBorder="1"/>
    <xf numFmtId="0" fontId="0" fillId="0" borderId="0" xfId="0"/>
    <xf numFmtId="0" fontId="4" fillId="0" borderId="0" xfId="0" applyFont="1"/>
    <xf numFmtId="0" fontId="0" fillId="6" borderId="3" xfId="0" applyFont="1" applyFill="1" applyBorder="1"/>
    <xf numFmtId="0" fontId="0" fillId="0" borderId="3" xfId="0" applyFont="1" applyBorder="1"/>
    <xf numFmtId="0" fontId="2" fillId="3" borderId="1" xfId="2"/>
    <xf numFmtId="0" fontId="3" fillId="4" borderId="2" xfId="3"/>
    <xf numFmtId="0" fontId="1" fillId="2" borderId="1" xfId="1"/>
    <xf numFmtId="0" fontId="2" fillId="3" borderId="4" xfId="2" applyBorder="1"/>
    <xf numFmtId="0" fontId="0" fillId="0" borderId="0" xfId="0"/>
    <xf numFmtId="0" fontId="2" fillId="3" borderId="4" xfId="2" applyBorder="1"/>
    <xf numFmtId="2" fontId="0" fillId="0" borderId="0" xfId="0" applyNumberFormat="1"/>
    <xf numFmtId="0" fontId="3" fillId="5" borderId="3" xfId="0" applyFont="1" applyFill="1" applyBorder="1"/>
    <xf numFmtId="0" fontId="0" fillId="6" borderId="3" xfId="0" applyFont="1" applyFill="1" applyBorder="1"/>
    <xf numFmtId="0" fontId="0" fillId="0" borderId="3" xfId="0" applyFont="1" applyBorder="1"/>
    <xf numFmtId="0" fontId="0" fillId="0" borderId="3" xfId="0" applyFont="1" applyBorder="1"/>
    <xf numFmtId="0" fontId="0" fillId="6" borderId="3" xfId="0" applyFont="1" applyFill="1" applyBorder="1"/>
    <xf numFmtId="0" fontId="0" fillId="6" borderId="3" xfId="0" applyFont="1" applyFill="1" applyBorder="1"/>
    <xf numFmtId="0" fontId="0" fillId="0" borderId="3" xfId="0" applyFont="1" applyBorder="1"/>
    <xf numFmtId="0" fontId="0" fillId="0" borderId="0" xfId="0" applyFill="1" applyBorder="1"/>
    <xf numFmtId="2" fontId="2" fillId="3" borderId="1" xfId="2" applyNumberFormat="1"/>
    <xf numFmtId="2" fontId="2" fillId="3" borderId="4" xfId="2" applyNumberFormat="1" applyBorder="1"/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pane xSplit="1" topLeftCell="L1" activePane="topRight" state="frozen"/>
      <selection pane="topRight" activeCell="L32" sqref="L32"/>
    </sheetView>
  </sheetViews>
  <sheetFormatPr defaultRowHeight="15" x14ac:dyDescent="0.25"/>
  <cols>
    <col min="1" max="1" width="52.85546875" customWidth="1"/>
    <col min="2" max="2" width="21.7109375" customWidth="1"/>
    <col min="3" max="3" width="9.140625" customWidth="1"/>
  </cols>
  <sheetData>
    <row r="1" spans="1:29" s="3" customFormat="1" x14ac:dyDescent="0.25">
      <c r="A1" s="3" t="s">
        <v>39</v>
      </c>
      <c r="B1" s="3">
        <v>400</v>
      </c>
      <c r="C1" s="3">
        <v>450</v>
      </c>
      <c r="D1" s="3">
        <v>500</v>
      </c>
      <c r="E1" s="3">
        <v>550</v>
      </c>
      <c r="F1" s="3">
        <v>600</v>
      </c>
      <c r="G1" s="3">
        <v>650</v>
      </c>
      <c r="H1" s="3">
        <v>700</v>
      </c>
      <c r="I1" s="3">
        <v>750</v>
      </c>
      <c r="J1" s="3">
        <v>800</v>
      </c>
      <c r="K1" s="3">
        <v>700</v>
      </c>
      <c r="L1" s="7">
        <v>700</v>
      </c>
      <c r="M1" s="7">
        <v>700</v>
      </c>
      <c r="N1" s="7">
        <v>700</v>
      </c>
      <c r="O1" s="7">
        <v>700</v>
      </c>
      <c r="P1" s="7">
        <v>700</v>
      </c>
      <c r="Q1" s="7">
        <v>700</v>
      </c>
      <c r="R1" s="10">
        <v>700</v>
      </c>
      <c r="S1" s="10">
        <v>700</v>
      </c>
      <c r="T1" s="10">
        <v>700</v>
      </c>
      <c r="U1" s="10">
        <v>700</v>
      </c>
      <c r="V1" s="10">
        <v>700</v>
      </c>
      <c r="W1" s="10">
        <v>700</v>
      </c>
    </row>
    <row r="2" spans="1:29" ht="14.25" customHeight="1" x14ac:dyDescent="0.25">
      <c r="A2" t="s">
        <v>38</v>
      </c>
      <c r="B2">
        <v>60</v>
      </c>
      <c r="C2" s="3">
        <v>60</v>
      </c>
      <c r="D2" s="3">
        <v>60</v>
      </c>
      <c r="E2" s="3">
        <v>60</v>
      </c>
      <c r="F2" s="3">
        <v>60</v>
      </c>
      <c r="G2" s="3">
        <v>60</v>
      </c>
      <c r="H2" s="3">
        <v>60</v>
      </c>
      <c r="I2" s="3">
        <v>60</v>
      </c>
      <c r="J2" s="3">
        <v>60</v>
      </c>
      <c r="K2">
        <v>30</v>
      </c>
      <c r="L2">
        <v>40</v>
      </c>
      <c r="M2">
        <v>50</v>
      </c>
      <c r="N2">
        <v>60</v>
      </c>
      <c r="O2">
        <v>70</v>
      </c>
      <c r="P2">
        <v>80</v>
      </c>
      <c r="Q2">
        <v>90</v>
      </c>
      <c r="R2">
        <v>60</v>
      </c>
      <c r="S2">
        <v>60</v>
      </c>
      <c r="T2">
        <v>60</v>
      </c>
      <c r="U2">
        <v>60</v>
      </c>
      <c r="V2">
        <v>60</v>
      </c>
      <c r="W2">
        <v>60</v>
      </c>
    </row>
    <row r="3" spans="1:29" s="3" customFormat="1" x14ac:dyDescent="0.25">
      <c r="A3" s="3" t="s">
        <v>35</v>
      </c>
      <c r="B3" s="3">
        <v>3</v>
      </c>
      <c r="C3" s="3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7">
        <v>3</v>
      </c>
      <c r="L3" s="7">
        <v>3</v>
      </c>
      <c r="M3" s="7">
        <v>3</v>
      </c>
      <c r="N3" s="7">
        <v>3</v>
      </c>
      <c r="O3" s="7">
        <v>3</v>
      </c>
      <c r="P3" s="7">
        <v>3</v>
      </c>
      <c r="Q3" s="7">
        <v>3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</row>
    <row r="4" spans="1:29" s="3" customFormat="1" x14ac:dyDescent="0.25">
      <c r="A4" s="3" t="s">
        <v>37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7">
        <v>4</v>
      </c>
      <c r="L4" s="7">
        <v>4</v>
      </c>
      <c r="M4" s="7">
        <v>4</v>
      </c>
      <c r="N4" s="7">
        <v>4</v>
      </c>
      <c r="O4" s="7">
        <v>4</v>
      </c>
      <c r="P4" s="7">
        <v>4</v>
      </c>
      <c r="Q4" s="7">
        <v>4</v>
      </c>
      <c r="R4" s="3">
        <v>1</v>
      </c>
      <c r="S4" s="3">
        <v>2</v>
      </c>
      <c r="T4" s="3">
        <v>3</v>
      </c>
      <c r="U4" s="3">
        <v>4</v>
      </c>
      <c r="V4" s="3">
        <v>5</v>
      </c>
      <c r="W4" s="3">
        <v>6</v>
      </c>
    </row>
    <row r="5" spans="1:29" x14ac:dyDescent="0.25">
      <c r="A5" t="s">
        <v>36</v>
      </c>
      <c r="B5">
        <f>B3*B4</f>
        <v>12</v>
      </c>
      <c r="C5" s="3">
        <f t="shared" ref="C5:J5" si="0">C3*C4</f>
        <v>12</v>
      </c>
      <c r="D5" s="3">
        <f t="shared" si="0"/>
        <v>12</v>
      </c>
      <c r="E5" s="3">
        <f t="shared" si="0"/>
        <v>12</v>
      </c>
      <c r="F5" s="3">
        <f t="shared" si="0"/>
        <v>12</v>
      </c>
      <c r="G5" s="3">
        <f t="shared" si="0"/>
        <v>12</v>
      </c>
      <c r="H5" s="3">
        <f t="shared" si="0"/>
        <v>12</v>
      </c>
      <c r="I5" s="3">
        <f t="shared" si="0"/>
        <v>12</v>
      </c>
      <c r="J5" s="3">
        <f t="shared" si="0"/>
        <v>12</v>
      </c>
      <c r="K5" s="7">
        <f t="shared" ref="K5" si="1">K3*K4</f>
        <v>12</v>
      </c>
      <c r="L5" s="7">
        <f t="shared" ref="L5" si="2">L3*L4</f>
        <v>12</v>
      </c>
      <c r="M5" s="7">
        <f t="shared" ref="M5" si="3">M3*M4</f>
        <v>12</v>
      </c>
      <c r="N5" s="7">
        <f t="shared" ref="N5" si="4">N3*N4</f>
        <v>12</v>
      </c>
      <c r="O5" s="7">
        <f t="shared" ref="O5" si="5">O3*O4</f>
        <v>12</v>
      </c>
      <c r="P5" s="7">
        <f t="shared" ref="P5" si="6">P3*P4</f>
        <v>12</v>
      </c>
      <c r="Q5" s="7">
        <f t="shared" ref="Q5" si="7">Q3*Q4</f>
        <v>12</v>
      </c>
      <c r="R5" s="10">
        <f t="shared" ref="R5" si="8">R3*R4</f>
        <v>3</v>
      </c>
      <c r="S5" s="10">
        <f t="shared" ref="S5" si="9">S3*S4</f>
        <v>6</v>
      </c>
      <c r="T5" s="10">
        <f t="shared" ref="T5" si="10">T3*T4</f>
        <v>9</v>
      </c>
      <c r="U5" s="10">
        <f t="shared" ref="U5" si="11">U3*U4</f>
        <v>12</v>
      </c>
      <c r="V5" s="10">
        <f t="shared" ref="V5" si="12">V3*V4</f>
        <v>15</v>
      </c>
      <c r="W5" s="10">
        <f t="shared" ref="W5" si="13">W3*W4</f>
        <v>18</v>
      </c>
      <c r="X5" s="10" t="s">
        <v>52</v>
      </c>
      <c r="Y5" s="10" t="s">
        <v>53</v>
      </c>
      <c r="Z5" s="10" t="s">
        <v>54</v>
      </c>
      <c r="AA5" s="10" t="s">
        <v>56</v>
      </c>
      <c r="AB5" s="10" t="s">
        <v>57</v>
      </c>
      <c r="AC5" s="10" t="s">
        <v>55</v>
      </c>
    </row>
    <row r="6" spans="1:29" x14ac:dyDescent="0.25">
      <c r="A6" s="4" t="s">
        <v>20</v>
      </c>
      <c r="B6" s="5">
        <v>0.40301833088408101</v>
      </c>
      <c r="C6" s="6">
        <v>0.36684383227739997</v>
      </c>
      <c r="D6" s="5">
        <v>0.333206191658451</v>
      </c>
      <c r="E6" s="6">
        <v>0.303517836170001</v>
      </c>
      <c r="F6" s="5">
        <v>0.27594641626869099</v>
      </c>
      <c r="G6" s="6">
        <v>0.248517750195107</v>
      </c>
      <c r="H6" s="5">
        <v>0.22667202779163001</v>
      </c>
      <c r="I6" s="6">
        <v>0.20634175637437699</v>
      </c>
      <c r="J6" s="5">
        <v>0.18842049831511001</v>
      </c>
      <c r="K6" s="9">
        <v>0.81605338309728603</v>
      </c>
      <c r="L6" s="8">
        <v>0.56405559922398396</v>
      </c>
      <c r="M6" s="9">
        <v>0.33309198552823499</v>
      </c>
      <c r="N6" s="8">
        <v>0.22667202779163001</v>
      </c>
      <c r="O6" s="9">
        <v>0.18594900504185299</v>
      </c>
      <c r="P6" s="8">
        <v>0.155641210641457</v>
      </c>
      <c r="Q6" s="9">
        <v>0.195395947536117</v>
      </c>
      <c r="R6" s="12">
        <v>0.77353905583462701</v>
      </c>
      <c r="S6" s="13">
        <v>0.54150046063812396</v>
      </c>
      <c r="T6" s="12">
        <v>0.32955437436526003</v>
      </c>
      <c r="U6" s="13">
        <v>0.22666981936570299</v>
      </c>
      <c r="V6" s="12">
        <v>0.154433462494447</v>
      </c>
      <c r="W6" s="13">
        <v>6.90611280516992E-2</v>
      </c>
      <c r="X6" s="17">
        <f>MIN(B6:W6)</f>
        <v>6.90611280516992E-2</v>
      </c>
      <c r="Y6" s="17">
        <f t="shared" ref="Y6:Y21" si="14">MAX(B6:W6)</f>
        <v>0.81605338309728603</v>
      </c>
      <c r="Z6" s="10">
        <f>AVERAGE(B6:W6)</f>
        <v>0.32382282270660318</v>
      </c>
      <c r="AA6" s="10">
        <f>_xlfn.STDEV.P(B6:W6)</f>
        <v>0.18879650388493274</v>
      </c>
      <c r="AB6" s="10">
        <f>_xlfn.STDEV.S(B6:W6)</f>
        <v>0.19323938242769984</v>
      </c>
      <c r="AC6" s="10">
        <f>STDEV(B6:W6)</f>
        <v>0.19323938242769984</v>
      </c>
    </row>
    <row r="7" spans="1:29" x14ac:dyDescent="0.25">
      <c r="A7" s="4" t="s">
        <v>21</v>
      </c>
      <c r="B7" s="5">
        <v>739.96000295212298</v>
      </c>
      <c r="C7" s="6">
        <v>809.84096051983602</v>
      </c>
      <c r="D7" s="5">
        <v>903.51745659340202</v>
      </c>
      <c r="E7" s="6">
        <v>981.97555853728295</v>
      </c>
      <c r="F7" s="5">
        <v>1054.91070139833</v>
      </c>
      <c r="G7" s="6">
        <v>1142.8978260884901</v>
      </c>
      <c r="H7" s="5">
        <v>1314.39363967791</v>
      </c>
      <c r="I7" s="6">
        <v>1480.7425688775299</v>
      </c>
      <c r="J7" s="5">
        <v>1661.43431068925</v>
      </c>
      <c r="K7" s="9">
        <v>594.74544615144498</v>
      </c>
      <c r="L7" s="8">
        <v>723.68234644852998</v>
      </c>
      <c r="M7" s="9">
        <v>936.58460534051596</v>
      </c>
      <c r="N7" s="8">
        <v>1314.39363967791</v>
      </c>
      <c r="O7" s="9">
        <v>1612.6559387054499</v>
      </c>
      <c r="P7" s="8">
        <v>1722.08828637478</v>
      </c>
      <c r="Q7" s="9">
        <v>1428.75984318375</v>
      </c>
      <c r="R7" s="12">
        <v>938.18324749394901</v>
      </c>
      <c r="S7" s="13">
        <v>948.23919306002006</v>
      </c>
      <c r="T7" s="12">
        <v>1022.7679054423</v>
      </c>
      <c r="U7" s="13">
        <v>1314.39363967791</v>
      </c>
      <c r="V7" s="12">
        <v>1213.01615357267</v>
      </c>
      <c r="W7" s="13">
        <v>1313.4775369123399</v>
      </c>
      <c r="X7" s="17">
        <f t="shared" ref="X7:X22" si="15">MIN(B7:W7)</f>
        <v>594.74544615144498</v>
      </c>
      <c r="Y7" s="17">
        <f t="shared" si="14"/>
        <v>1722.08828637478</v>
      </c>
      <c r="Z7" s="10">
        <f t="shared" ref="Z7:Z9" si="16">AVERAGE(B7:W7)</f>
        <v>1144.2118548807148</v>
      </c>
      <c r="AA7" s="10">
        <f t="shared" ref="AA7:AA9" si="17">_xlfn.STDEV.P(B7:W7)</f>
        <v>310.44795107834943</v>
      </c>
      <c r="AB7" s="10">
        <f t="shared" ref="AB7:AB9" si="18">_xlfn.STDEV.S(B7:W7)</f>
        <v>317.75360829185718</v>
      </c>
      <c r="AC7" s="10">
        <f t="shared" ref="AC7:AC9" si="19">STDEV(B7:W7)</f>
        <v>317.75360829185718</v>
      </c>
    </row>
    <row r="8" spans="1:29" x14ac:dyDescent="0.25">
      <c r="A8" s="4" t="s">
        <v>22</v>
      </c>
      <c r="B8" s="5">
        <v>500.26438937757399</v>
      </c>
      <c r="C8" s="6">
        <v>469.51127048428998</v>
      </c>
      <c r="D8" s="5">
        <v>451.14211575442602</v>
      </c>
      <c r="E8" s="6">
        <v>427.43858861951901</v>
      </c>
      <c r="F8" s="5">
        <v>403.14525346329901</v>
      </c>
      <c r="G8" s="6">
        <v>378.99446376705703</v>
      </c>
      <c r="H8" s="5">
        <v>386.32778137373703</v>
      </c>
      <c r="I8" s="6">
        <v>386.05161778628798</v>
      </c>
      <c r="J8" s="5">
        <v>385.14266018394102</v>
      </c>
      <c r="K8" s="9">
        <v>2643.2358461530698</v>
      </c>
      <c r="L8" s="8">
        <v>935.08027559888797</v>
      </c>
      <c r="M8" s="9">
        <v>468.60040803766998</v>
      </c>
      <c r="N8" s="8">
        <v>386.32778137373703</v>
      </c>
      <c r="O8" s="9">
        <v>369.333495257778</v>
      </c>
      <c r="P8" s="8">
        <v>318.13985440400802</v>
      </c>
      <c r="Q8" s="9">
        <v>348.45505935974597</v>
      </c>
      <c r="R8" s="12">
        <v>3217.2319010215901</v>
      </c>
      <c r="S8" s="13">
        <v>1123.94058911976</v>
      </c>
      <c r="T8" s="12">
        <v>503.40309455973897</v>
      </c>
      <c r="U8" s="13">
        <v>386.32778137373703</v>
      </c>
      <c r="V8" s="12">
        <v>221.939440284309</v>
      </c>
      <c r="W8" s="13">
        <v>97.581654361249207</v>
      </c>
      <c r="X8" s="17">
        <f t="shared" si="15"/>
        <v>97.581654361249207</v>
      </c>
      <c r="Y8" s="17">
        <f t="shared" si="14"/>
        <v>3217.2319010215901</v>
      </c>
      <c r="Z8" s="10">
        <f t="shared" si="16"/>
        <v>673.07342371433697</v>
      </c>
      <c r="AA8" s="10">
        <f t="shared" si="17"/>
        <v>747.94636539541227</v>
      </c>
      <c r="AB8" s="10">
        <f t="shared" si="18"/>
        <v>765.54751154789199</v>
      </c>
      <c r="AC8" s="10">
        <f t="shared" si="19"/>
        <v>765.54751154789199</v>
      </c>
    </row>
    <row r="9" spans="1:29" s="18" customFormat="1" x14ac:dyDescent="0.25">
      <c r="A9" s="4" t="s">
        <v>75</v>
      </c>
      <c r="B9" s="12">
        <f>B7+B8</f>
        <v>1240.2243923296969</v>
      </c>
      <c r="C9" s="12">
        <f t="shared" ref="C9:W9" si="20">C7+C8</f>
        <v>1279.352231004126</v>
      </c>
      <c r="D9" s="12">
        <f t="shared" si="20"/>
        <v>1354.6595723478281</v>
      </c>
      <c r="E9" s="12">
        <f t="shared" si="20"/>
        <v>1409.4141471568018</v>
      </c>
      <c r="F9" s="12">
        <f t="shared" si="20"/>
        <v>1458.0559548616291</v>
      </c>
      <c r="G9" s="12">
        <f t="shared" si="20"/>
        <v>1521.892289855547</v>
      </c>
      <c r="H9" s="12">
        <f t="shared" si="20"/>
        <v>1700.721421051647</v>
      </c>
      <c r="I9" s="12">
        <f t="shared" si="20"/>
        <v>1866.794186663818</v>
      </c>
      <c r="J9" s="12">
        <f t="shared" si="20"/>
        <v>2046.5769708731909</v>
      </c>
      <c r="K9" s="12">
        <f t="shared" si="20"/>
        <v>3237.9812923045147</v>
      </c>
      <c r="L9" s="12">
        <f t="shared" si="20"/>
        <v>1658.7626220474181</v>
      </c>
      <c r="M9" s="12">
        <f t="shared" si="20"/>
        <v>1405.1850133781859</v>
      </c>
      <c r="N9" s="12">
        <f t="shared" si="20"/>
        <v>1700.721421051647</v>
      </c>
      <c r="O9" s="12">
        <f t="shared" si="20"/>
        <v>1981.9894339632278</v>
      </c>
      <c r="P9" s="12">
        <f t="shared" si="20"/>
        <v>2040.228140778788</v>
      </c>
      <c r="Q9" s="12">
        <f t="shared" si="20"/>
        <v>1777.214902543496</v>
      </c>
      <c r="R9" s="12">
        <f t="shared" si="20"/>
        <v>4155.4151485155389</v>
      </c>
      <c r="S9" s="12">
        <f t="shared" si="20"/>
        <v>2072.17978217978</v>
      </c>
      <c r="T9" s="12">
        <f t="shared" si="20"/>
        <v>1526.1710000020389</v>
      </c>
      <c r="U9" s="12">
        <f t="shared" si="20"/>
        <v>1700.721421051647</v>
      </c>
      <c r="V9" s="12">
        <f t="shared" si="20"/>
        <v>1434.955593856979</v>
      </c>
      <c r="W9" s="12">
        <f t="shared" si="20"/>
        <v>1411.059191273589</v>
      </c>
      <c r="X9" s="19">
        <f t="shared" si="15"/>
        <v>1240.2243923296969</v>
      </c>
      <c r="Y9" s="19">
        <f t="shared" si="14"/>
        <v>4155.4151485155389</v>
      </c>
      <c r="Z9" s="18">
        <f t="shared" si="16"/>
        <v>1817.2852785950513</v>
      </c>
      <c r="AA9" s="18">
        <f t="shared" si="17"/>
        <v>658.31665665872049</v>
      </c>
      <c r="AB9" s="18">
        <f t="shared" si="18"/>
        <v>673.80857990957588</v>
      </c>
      <c r="AC9" s="18">
        <f t="shared" si="19"/>
        <v>673.80857990957588</v>
      </c>
    </row>
    <row r="10" spans="1:29" x14ac:dyDescent="0.25">
      <c r="A10" s="4" t="s">
        <v>23</v>
      </c>
      <c r="B10" s="5">
        <v>2719.5900001097498</v>
      </c>
      <c r="C10" s="6">
        <v>2649.0960000548498</v>
      </c>
      <c r="D10" s="5">
        <v>1214.9219997692901</v>
      </c>
      <c r="E10" s="6">
        <v>1148.8429997814801</v>
      </c>
      <c r="F10" s="5">
        <v>1094.4260002579499</v>
      </c>
      <c r="G10" s="6">
        <v>1046.7900002142401</v>
      </c>
      <c r="H10" s="5">
        <v>978.86799951084004</v>
      </c>
      <c r="I10" s="6">
        <v>967.20699984580301</v>
      </c>
      <c r="J10" s="5">
        <v>932.84499992150802</v>
      </c>
      <c r="K10" s="9">
        <v>29886.509000184</v>
      </c>
      <c r="L10" s="8">
        <v>14117.9269999964</v>
      </c>
      <c r="M10" s="9">
        <v>1239.3180000130101</v>
      </c>
      <c r="N10" s="8">
        <v>978.86799951084004</v>
      </c>
      <c r="O10" s="9">
        <v>4752.2220001788801</v>
      </c>
      <c r="P10" s="8">
        <v>2315.4940005624699</v>
      </c>
      <c r="Q10" s="9">
        <v>1171.11800028943</v>
      </c>
      <c r="R10" s="12">
        <v>5521.4729995932403</v>
      </c>
      <c r="S10" s="13">
        <v>2470.1049999799602</v>
      </c>
      <c r="T10" s="12">
        <v>1475.72900019586</v>
      </c>
      <c r="U10" s="13">
        <v>978.86799951084004</v>
      </c>
      <c r="V10" s="12">
        <v>1092.78699976858</v>
      </c>
      <c r="W10" s="13">
        <v>763.79400012083397</v>
      </c>
      <c r="X10" s="19">
        <f t="shared" si="15"/>
        <v>763.79400012083397</v>
      </c>
      <c r="Y10" s="19">
        <f t="shared" si="14"/>
        <v>29886.509000184</v>
      </c>
      <c r="Z10" s="18">
        <f t="shared" ref="Z10:Z23" si="21">AVERAGE(B10:W10)</f>
        <v>3614.3999545168203</v>
      </c>
      <c r="AA10" s="18">
        <f t="shared" ref="AA10:AA23" si="22">_xlfn.STDEV.P(B10:W10)</f>
        <v>6398.4844593714706</v>
      </c>
      <c r="AB10" s="18">
        <f t="shared" ref="AB10:AB23" si="23">_xlfn.STDEV.S(B10:W10)</f>
        <v>6549.0576359176639</v>
      </c>
      <c r="AC10" s="18">
        <f t="shared" ref="AC10:AC23" si="24">STDEV(B10:W10)</f>
        <v>6549.0576359176639</v>
      </c>
    </row>
    <row r="11" spans="1:29" ht="19.5" customHeight="1" x14ac:dyDescent="0.25">
      <c r="A11" s="4" t="s">
        <v>24</v>
      </c>
      <c r="B11" s="5">
        <v>-137.79900000000001</v>
      </c>
      <c r="C11" s="6">
        <v>-138.24600000000001</v>
      </c>
      <c r="D11" s="5">
        <v>-138.65</v>
      </c>
      <c r="E11" s="6">
        <v>-139.02099999999999</v>
      </c>
      <c r="F11" s="5">
        <v>-139.363</v>
      </c>
      <c r="G11" s="6">
        <v>-139.68100000000001</v>
      </c>
      <c r="H11" s="5">
        <v>-139.97800000000001</v>
      </c>
      <c r="I11" s="6">
        <v>-140.25700000000001</v>
      </c>
      <c r="J11" s="5">
        <v>-140.52000000000001</v>
      </c>
      <c r="K11" s="9">
        <v>-139.90899999999999</v>
      </c>
      <c r="L11" s="8">
        <v>-139.93199999999999</v>
      </c>
      <c r="M11" s="9">
        <v>-139.95599999999999</v>
      </c>
      <c r="N11" s="8">
        <v>-139.97800000000001</v>
      </c>
      <c r="O11" s="9">
        <v>-139.994</v>
      </c>
      <c r="P11" s="8">
        <v>-140.00399999999999</v>
      </c>
      <c r="Q11" s="12">
        <v>-140.00800000000001</v>
      </c>
      <c r="R11" s="12">
        <v>-139.97800000000001</v>
      </c>
      <c r="S11" s="13">
        <v>-139.97800000000001</v>
      </c>
      <c r="T11" s="12">
        <v>-139.97800000000001</v>
      </c>
      <c r="U11" s="13">
        <v>-139.97800000000001</v>
      </c>
      <c r="V11" s="12">
        <v>-139.97800000000001</v>
      </c>
      <c r="W11" s="13">
        <v>-139.97800000000001</v>
      </c>
      <c r="X11" s="19">
        <f t="shared" si="15"/>
        <v>-140.52000000000001</v>
      </c>
      <c r="Y11" s="19">
        <f t="shared" si="14"/>
        <v>-137.79900000000001</v>
      </c>
      <c r="Z11" s="18">
        <f t="shared" si="21"/>
        <v>-139.68927272727274</v>
      </c>
      <c r="AA11" s="18">
        <f t="shared" si="22"/>
        <v>0.65506885008150673</v>
      </c>
      <c r="AB11" s="18">
        <f t="shared" si="23"/>
        <v>0.67048434389719758</v>
      </c>
      <c r="AC11" s="18">
        <f t="shared" si="24"/>
        <v>0.67048434389719758</v>
      </c>
    </row>
    <row r="12" spans="1:29" x14ac:dyDescent="0.25">
      <c r="A12" s="4" t="s">
        <v>25</v>
      </c>
      <c r="B12" s="5">
        <v>0.50784374318750802</v>
      </c>
      <c r="C12" s="6">
        <v>0.470328284822009</v>
      </c>
      <c r="D12" s="5">
        <v>0.43644932365573702</v>
      </c>
      <c r="E12" s="6">
        <v>0.40582648764621798</v>
      </c>
      <c r="F12" s="5">
        <v>0.37684334515880802</v>
      </c>
      <c r="G12" s="6">
        <v>0.35003742031138202</v>
      </c>
      <c r="H12" s="5">
        <v>0.32650061561212601</v>
      </c>
      <c r="I12" s="6">
        <v>0.30303585190945498</v>
      </c>
      <c r="J12" s="5">
        <v>0.27804737751011399</v>
      </c>
      <c r="K12" s="9">
        <v>0.49864400192652503</v>
      </c>
      <c r="L12" s="8">
        <v>0.406518928470958</v>
      </c>
      <c r="M12" s="9">
        <v>0.36231502310734898</v>
      </c>
      <c r="N12" s="8">
        <v>0.32650061561212601</v>
      </c>
      <c r="O12" s="9">
        <v>0.369860335510801</v>
      </c>
      <c r="P12" s="8">
        <v>0.43499891749629299</v>
      </c>
      <c r="Q12" s="9">
        <v>0.43875413005791702</v>
      </c>
      <c r="R12" s="12">
        <v>0.76457350552130199</v>
      </c>
      <c r="S12" s="13">
        <v>0.52309270892244197</v>
      </c>
      <c r="T12" s="12">
        <v>0.33122150086909102</v>
      </c>
      <c r="U12" s="13">
        <v>0.32650385294468598</v>
      </c>
      <c r="V12" s="12">
        <v>0.28827733530873001</v>
      </c>
      <c r="W12" s="13">
        <v>0.11513765934565</v>
      </c>
      <c r="X12" s="19">
        <f t="shared" si="15"/>
        <v>0.11513765934565</v>
      </c>
      <c r="Y12" s="19">
        <f t="shared" si="14"/>
        <v>0.76457350552130199</v>
      </c>
      <c r="Z12" s="18">
        <f t="shared" si="21"/>
        <v>0.39278686204123753</v>
      </c>
      <c r="AA12" s="18">
        <f t="shared" si="22"/>
        <v>0.12089821426589971</v>
      </c>
      <c r="AB12" s="18">
        <f t="shared" si="23"/>
        <v>0.12374326738376992</v>
      </c>
      <c r="AC12" s="18">
        <f t="shared" si="24"/>
        <v>0.12374326738376992</v>
      </c>
    </row>
    <row r="13" spans="1:29" x14ac:dyDescent="0.25">
      <c r="A13" s="4" t="s">
        <v>26</v>
      </c>
      <c r="B13" s="5">
        <v>740.26099133207299</v>
      </c>
      <c r="C13" s="6">
        <v>790.20933430123</v>
      </c>
      <c r="D13" s="5">
        <v>834.731332385987</v>
      </c>
      <c r="E13" s="6">
        <v>898.05105504579797</v>
      </c>
      <c r="F13" s="5">
        <v>949.89585670532301</v>
      </c>
      <c r="G13" s="6">
        <v>1005.04655488905</v>
      </c>
      <c r="H13" s="5">
        <v>1047.02271343855</v>
      </c>
      <c r="I13" s="6">
        <v>1102.91176664156</v>
      </c>
      <c r="J13" s="5">
        <v>1154.8419846591</v>
      </c>
      <c r="K13" s="9">
        <v>782.63309877261304</v>
      </c>
      <c r="L13" s="8">
        <v>927.80445209037896</v>
      </c>
      <c r="M13" s="9">
        <v>998.36022156432898</v>
      </c>
      <c r="N13" s="8">
        <v>1047.02271343855</v>
      </c>
      <c r="O13" s="9">
        <v>947.35694523586699</v>
      </c>
      <c r="P13" s="8">
        <v>849.28201727498003</v>
      </c>
      <c r="Q13" s="9">
        <v>831.79102842418195</v>
      </c>
      <c r="R13" s="12">
        <v>900.30704410661099</v>
      </c>
      <c r="S13" s="13">
        <v>845.16720069733901</v>
      </c>
      <c r="T13" s="12">
        <v>1099.2928391332</v>
      </c>
      <c r="U13" s="13">
        <v>1047.02271343855</v>
      </c>
      <c r="V13" s="12">
        <v>911.46024265908602</v>
      </c>
      <c r="W13" s="13">
        <v>1729.45163534574</v>
      </c>
      <c r="X13" s="19">
        <f t="shared" si="15"/>
        <v>740.26099133207299</v>
      </c>
      <c r="Y13" s="19">
        <f t="shared" si="14"/>
        <v>1729.45163534574</v>
      </c>
      <c r="Z13" s="18">
        <f t="shared" si="21"/>
        <v>974.54198825364074</v>
      </c>
      <c r="AA13" s="18">
        <f t="shared" si="22"/>
        <v>198.70217331325159</v>
      </c>
      <c r="AB13" s="18">
        <f t="shared" si="23"/>
        <v>203.37815832382523</v>
      </c>
      <c r="AC13" s="18">
        <f t="shared" si="24"/>
        <v>203.37815832382523</v>
      </c>
    </row>
    <row r="14" spans="1:29" x14ac:dyDescent="0.25">
      <c r="A14" s="4" t="s">
        <v>27</v>
      </c>
      <c r="B14" s="5">
        <v>765.15767437423301</v>
      </c>
      <c r="C14" s="6">
        <v>702.77517141401802</v>
      </c>
      <c r="D14" s="5">
        <v>648.49259091021304</v>
      </c>
      <c r="E14" s="6">
        <v>615.26393336061699</v>
      </c>
      <c r="F14" s="5">
        <v>576.35107019450504</v>
      </c>
      <c r="G14" s="6">
        <v>543.13959644655495</v>
      </c>
      <c r="H14" s="5">
        <v>509.30801790499498</v>
      </c>
      <c r="I14" s="6">
        <v>480.321948510933</v>
      </c>
      <c r="J14" s="5">
        <v>446.12192024871098</v>
      </c>
      <c r="K14" s="9">
        <v>780.51244613608606</v>
      </c>
      <c r="L14" s="8">
        <v>636.62936228019305</v>
      </c>
      <c r="M14" s="9">
        <v>567.40379340501897</v>
      </c>
      <c r="N14" s="8">
        <v>509.30801790499498</v>
      </c>
      <c r="O14" s="9">
        <v>556.87304611931097</v>
      </c>
      <c r="P14" s="8">
        <v>655.50501730705003</v>
      </c>
      <c r="Q14" s="9">
        <v>651.78854543979003</v>
      </c>
      <c r="R14" s="12">
        <v>2937.7980808960301</v>
      </c>
      <c r="S14" s="13">
        <v>929.34592515396503</v>
      </c>
      <c r="T14" s="12">
        <v>546.01033752386104</v>
      </c>
      <c r="U14" s="13">
        <v>509.30801790499498</v>
      </c>
      <c r="V14" s="12">
        <v>369.40888479259598</v>
      </c>
      <c r="W14" s="13">
        <v>226.40609773816001</v>
      </c>
      <c r="X14" s="19">
        <f t="shared" si="15"/>
        <v>226.40609773816001</v>
      </c>
      <c r="Y14" s="19">
        <f t="shared" si="14"/>
        <v>2937.7980808960301</v>
      </c>
      <c r="Z14" s="18">
        <f t="shared" si="21"/>
        <v>689.23770436212862</v>
      </c>
      <c r="AA14" s="18">
        <f t="shared" si="22"/>
        <v>510.95894331341952</v>
      </c>
      <c r="AB14" s="18">
        <f t="shared" si="23"/>
        <v>522.98315180652662</v>
      </c>
      <c r="AC14" s="18">
        <f t="shared" si="24"/>
        <v>522.98315180652662</v>
      </c>
    </row>
    <row r="15" spans="1:29" s="18" customFormat="1" x14ac:dyDescent="0.25">
      <c r="A15" s="4" t="s">
        <v>74</v>
      </c>
      <c r="B15" s="12">
        <f>B13+B14</f>
        <v>1505.418665706306</v>
      </c>
      <c r="C15" s="12">
        <f t="shared" ref="C15:W15" si="25">C13+C14</f>
        <v>1492.9845057152479</v>
      </c>
      <c r="D15" s="12">
        <f t="shared" si="25"/>
        <v>1483.2239232962002</v>
      </c>
      <c r="E15" s="12">
        <f t="shared" si="25"/>
        <v>1513.3149884064151</v>
      </c>
      <c r="F15" s="12">
        <f t="shared" si="25"/>
        <v>1526.2469268998279</v>
      </c>
      <c r="G15" s="12">
        <f t="shared" si="25"/>
        <v>1548.1861513356048</v>
      </c>
      <c r="H15" s="12">
        <f t="shared" si="25"/>
        <v>1556.330731343545</v>
      </c>
      <c r="I15" s="12">
        <f t="shared" si="25"/>
        <v>1583.233715152493</v>
      </c>
      <c r="J15" s="12">
        <f t="shared" si="25"/>
        <v>1600.963904907811</v>
      </c>
      <c r="K15" s="12">
        <f t="shared" si="25"/>
        <v>1563.1455449086991</v>
      </c>
      <c r="L15" s="12">
        <f t="shared" si="25"/>
        <v>1564.433814370572</v>
      </c>
      <c r="M15" s="12">
        <f t="shared" si="25"/>
        <v>1565.764014969348</v>
      </c>
      <c r="N15" s="12">
        <f t="shared" si="25"/>
        <v>1556.330731343545</v>
      </c>
      <c r="O15" s="12">
        <f t="shared" si="25"/>
        <v>1504.2299913551778</v>
      </c>
      <c r="P15" s="12">
        <f t="shared" si="25"/>
        <v>1504.7870345820302</v>
      </c>
      <c r="Q15" s="12">
        <f t="shared" si="25"/>
        <v>1483.579573863972</v>
      </c>
      <c r="R15" s="12">
        <f t="shared" si="25"/>
        <v>3838.1051250026412</v>
      </c>
      <c r="S15" s="12">
        <f t="shared" si="25"/>
        <v>1774.513125851304</v>
      </c>
      <c r="T15" s="12">
        <f t="shared" si="25"/>
        <v>1645.3031766570612</v>
      </c>
      <c r="U15" s="12">
        <f t="shared" si="25"/>
        <v>1556.330731343545</v>
      </c>
      <c r="V15" s="12">
        <f t="shared" si="25"/>
        <v>1280.8691274516821</v>
      </c>
      <c r="W15" s="12">
        <f t="shared" si="25"/>
        <v>1955.8577330839</v>
      </c>
      <c r="X15" s="19">
        <f t="shared" si="15"/>
        <v>1280.8691274516821</v>
      </c>
      <c r="Y15" s="19">
        <f t="shared" si="14"/>
        <v>3838.1051250026412</v>
      </c>
      <c r="Z15" s="18">
        <f t="shared" si="21"/>
        <v>1663.7796926157694</v>
      </c>
      <c r="AA15" s="18">
        <f t="shared" si="22"/>
        <v>489.52067811697174</v>
      </c>
      <c r="AB15" s="18">
        <f t="shared" si="23"/>
        <v>501.04038781653395</v>
      </c>
      <c r="AC15" s="18">
        <f t="shared" si="24"/>
        <v>501.04038781653395</v>
      </c>
    </row>
    <row r="16" spans="1:29" x14ac:dyDescent="0.25">
      <c r="A16" s="4" t="s">
        <v>28</v>
      </c>
      <c r="B16" s="5">
        <v>5618.56699995697</v>
      </c>
      <c r="C16" s="6">
        <v>4202.1640000166399</v>
      </c>
      <c r="D16" s="5">
        <v>2761.8749994551799</v>
      </c>
      <c r="E16" s="6">
        <v>1291.39399998821</v>
      </c>
      <c r="F16" s="5">
        <v>1175.2150001702801</v>
      </c>
      <c r="G16" s="6">
        <v>1133.9269999181899</v>
      </c>
      <c r="H16" s="5">
        <v>1105.7220005197451</v>
      </c>
      <c r="I16" s="6">
        <v>1037.4739995226264</v>
      </c>
      <c r="J16" s="5">
        <v>976.87400006689097</v>
      </c>
      <c r="K16" s="9">
        <v>1246.1580001283401</v>
      </c>
      <c r="L16" s="8">
        <v>1207.4990001507099</v>
      </c>
      <c r="M16" s="9">
        <v>1461.0440001357299</v>
      </c>
      <c r="N16" s="8">
        <v>1105.7220005197451</v>
      </c>
      <c r="O16" s="9">
        <v>7757.0329996291603</v>
      </c>
      <c r="P16" s="8">
        <v>2472.4059996195101</v>
      </c>
      <c r="Q16" s="9">
        <v>1286.88599977177</v>
      </c>
      <c r="R16" s="12">
        <v>5663.1400004960597</v>
      </c>
      <c r="S16" s="13">
        <v>2596.3010000065001</v>
      </c>
      <c r="T16" s="12">
        <v>1583.9439998846501</v>
      </c>
      <c r="U16" s="13">
        <v>1105.7220005197451</v>
      </c>
      <c r="V16" s="12">
        <v>900.81200001295701</v>
      </c>
      <c r="W16" s="13">
        <v>612.15899982489702</v>
      </c>
      <c r="X16" s="19">
        <f t="shared" si="15"/>
        <v>612.15899982489702</v>
      </c>
      <c r="Y16" s="19">
        <f t="shared" si="14"/>
        <v>7757.0329996291603</v>
      </c>
      <c r="Z16" s="18">
        <f t="shared" si="21"/>
        <v>2195.5471818324772</v>
      </c>
      <c r="AA16" s="18">
        <f t="shared" si="22"/>
        <v>1863.9059602571383</v>
      </c>
      <c r="AB16" s="18">
        <f t="shared" si="23"/>
        <v>1907.7685722555536</v>
      </c>
      <c r="AC16" s="18">
        <f t="shared" si="24"/>
        <v>1907.7685722555536</v>
      </c>
    </row>
    <row r="17" spans="1:29" x14ac:dyDescent="0.25">
      <c r="A17" s="4" t="s">
        <v>29</v>
      </c>
      <c r="B17" s="5">
        <v>-137.79400000000001</v>
      </c>
      <c r="C17" s="6">
        <v>-138.24</v>
      </c>
      <c r="D17" s="5">
        <v>-138.64500000000001</v>
      </c>
      <c r="E17" s="6">
        <v>-139.01599999999999</v>
      </c>
      <c r="F17" s="5">
        <v>-139.358</v>
      </c>
      <c r="G17" s="6">
        <v>-139.67599999999999</v>
      </c>
      <c r="H17" s="5">
        <v>-139.97300000000001</v>
      </c>
      <c r="I17" s="6">
        <v>-140.25299999999999</v>
      </c>
      <c r="J17" s="5">
        <v>-140.51599999999999</v>
      </c>
      <c r="K17" s="9">
        <v>-139.90899999999999</v>
      </c>
      <c r="L17" s="8">
        <v>-139.93199999999999</v>
      </c>
      <c r="M17" s="9">
        <v>-139.95500000000001</v>
      </c>
      <c r="N17" s="8">
        <v>-139.97300000000001</v>
      </c>
      <c r="O17" s="9">
        <v>-139.98699999999999</v>
      </c>
      <c r="P17" s="8">
        <v>-139.99299999999999</v>
      </c>
      <c r="Q17" s="12">
        <v>-139.965</v>
      </c>
      <c r="R17" s="12">
        <v>-139.97300000000001</v>
      </c>
      <c r="S17" s="13">
        <v>-139.97300000000001</v>
      </c>
      <c r="T17" s="12">
        <v>-139.97300000000001</v>
      </c>
      <c r="U17" s="13">
        <v>-139.97300000000001</v>
      </c>
      <c r="V17" s="12">
        <v>-139.97300000000001</v>
      </c>
      <c r="W17" s="13">
        <v>-139.97300000000001</v>
      </c>
      <c r="X17" s="19">
        <f t="shared" si="15"/>
        <v>-140.51599999999999</v>
      </c>
      <c r="Y17" s="19">
        <f t="shared" si="14"/>
        <v>-137.79400000000001</v>
      </c>
      <c r="Z17" s="18">
        <f t="shared" si="21"/>
        <v>-139.68286363636363</v>
      </c>
      <c r="AA17" s="18">
        <f t="shared" si="22"/>
        <v>0.65453892831342253</v>
      </c>
      <c r="AB17" s="18">
        <f t="shared" si="23"/>
        <v>0.6699419516754539</v>
      </c>
      <c r="AC17" s="18">
        <f t="shared" si="24"/>
        <v>0.6699419516754539</v>
      </c>
    </row>
    <row r="18" spans="1:29" x14ac:dyDescent="0.25">
      <c r="A18" s="4" t="s">
        <v>30</v>
      </c>
      <c r="B18" s="5">
        <v>0.66260537716540802</v>
      </c>
      <c r="C18" s="6">
        <v>0.63225465885377796</v>
      </c>
      <c r="D18" s="5">
        <v>0.59793634151418895</v>
      </c>
      <c r="E18" s="6">
        <v>0.56855247312826096</v>
      </c>
      <c r="F18" s="5">
        <v>0.54234742359504995</v>
      </c>
      <c r="G18" s="6">
        <v>0.50903955027638803</v>
      </c>
      <c r="H18" s="5">
        <v>0.47775785693992501</v>
      </c>
      <c r="I18" s="6">
        <v>0.45062487987225702</v>
      </c>
      <c r="J18" s="5">
        <v>0.420831359649459</v>
      </c>
      <c r="K18" s="9">
        <v>0.23824347405659799</v>
      </c>
      <c r="L18" s="8">
        <v>0.32448416792913998</v>
      </c>
      <c r="M18" s="9">
        <v>0.41211867367826699</v>
      </c>
      <c r="N18" s="8">
        <v>0.47775785693992501</v>
      </c>
      <c r="O18" s="9">
        <v>0.48339120768614802</v>
      </c>
      <c r="P18" s="8">
        <v>0.48168425596327302</v>
      </c>
      <c r="Q18" s="9">
        <v>0.475977434694901</v>
      </c>
      <c r="R18" s="12">
        <v>0.84595216123479899</v>
      </c>
      <c r="S18" s="13">
        <v>0.67427157994569897</v>
      </c>
      <c r="T18" s="12">
        <v>0.60259756944842802</v>
      </c>
      <c r="U18" s="13">
        <v>0.47775785693992501</v>
      </c>
      <c r="V18" s="12">
        <v>0.32717684234239303</v>
      </c>
      <c r="W18" s="13">
        <v>0.24928269851762599</v>
      </c>
      <c r="X18" s="19">
        <f t="shared" si="15"/>
        <v>0.23824347405659799</v>
      </c>
      <c r="Y18" s="17">
        <f t="shared" si="14"/>
        <v>0.84595216123479899</v>
      </c>
      <c r="Z18" s="18">
        <f t="shared" si="21"/>
        <v>0.49693844092599271</v>
      </c>
      <c r="AA18" s="18">
        <f t="shared" si="22"/>
        <v>0.1400684675259109</v>
      </c>
      <c r="AB18" s="18">
        <f t="shared" si="23"/>
        <v>0.14336464714832808</v>
      </c>
      <c r="AC18" s="18">
        <f t="shared" si="24"/>
        <v>0.14336464714832808</v>
      </c>
    </row>
    <row r="19" spans="1:29" x14ac:dyDescent="0.25">
      <c r="A19" s="4" t="s">
        <v>31</v>
      </c>
      <c r="B19" s="5">
        <v>605.69547385662304</v>
      </c>
      <c r="C19" s="6">
        <v>653.24779084695501</v>
      </c>
      <c r="D19" s="5">
        <v>682.09594245929895</v>
      </c>
      <c r="E19" s="6">
        <v>723.99432433586605</v>
      </c>
      <c r="F19" s="5">
        <v>754.40538828217905</v>
      </c>
      <c r="G19" s="6">
        <v>794.47509113087995</v>
      </c>
      <c r="H19" s="5">
        <v>823.777134860297</v>
      </c>
      <c r="I19" s="6">
        <v>867.92455473043799</v>
      </c>
      <c r="J19" s="5">
        <v>915.31358931257603</v>
      </c>
      <c r="K19" s="9">
        <v>1271.41167830005</v>
      </c>
      <c r="L19" s="8">
        <v>1004.8318520177201</v>
      </c>
      <c r="M19" s="9">
        <v>900.62200985195204</v>
      </c>
      <c r="N19" s="8">
        <v>823.777134860297</v>
      </c>
      <c r="O19" s="9">
        <v>810.888751911447</v>
      </c>
      <c r="P19" s="8">
        <v>788.32103431324094</v>
      </c>
      <c r="Q19" s="9">
        <v>763.815805146103</v>
      </c>
      <c r="R19" s="12">
        <v>771.15145833289705</v>
      </c>
      <c r="S19" s="13">
        <v>749.23663938073605</v>
      </c>
      <c r="T19" s="12">
        <v>839.69460748669997</v>
      </c>
      <c r="U19" s="13">
        <v>823.777134860297</v>
      </c>
      <c r="V19" s="12">
        <v>1111.81748136841</v>
      </c>
      <c r="W19" s="13">
        <v>1049.29340222416</v>
      </c>
      <c r="X19" s="17">
        <f t="shared" si="15"/>
        <v>605.69547385662304</v>
      </c>
      <c r="Y19" s="17">
        <f t="shared" si="14"/>
        <v>1271.41167830005</v>
      </c>
      <c r="Z19" s="18">
        <f t="shared" si="21"/>
        <v>842.25310363041467</v>
      </c>
      <c r="AA19" s="18">
        <f t="shared" si="22"/>
        <v>151.00334586999656</v>
      </c>
      <c r="AB19" s="18">
        <f t="shared" si="23"/>
        <v>154.55685195430829</v>
      </c>
      <c r="AC19" s="18">
        <f t="shared" si="24"/>
        <v>154.55685195430829</v>
      </c>
    </row>
    <row r="20" spans="1:29" x14ac:dyDescent="0.25">
      <c r="A20" s="4" t="s">
        <v>32</v>
      </c>
      <c r="B20" s="5">
        <v>1193.6525639336101</v>
      </c>
      <c r="C20" s="6">
        <v>1124.6779226194999</v>
      </c>
      <c r="D20" s="5">
        <v>1016.88544384146</v>
      </c>
      <c r="E20" s="6">
        <v>955.71319998902698</v>
      </c>
      <c r="F20" s="5">
        <v>896.41071012066504</v>
      </c>
      <c r="G20" s="6">
        <v>824.60074741029496</v>
      </c>
      <c r="H20" s="5">
        <v>755.71377608082696</v>
      </c>
      <c r="I20" s="6">
        <v>713.28569463301301</v>
      </c>
      <c r="J20" s="5">
        <v>666.98383670816997</v>
      </c>
      <c r="K20" s="9">
        <v>397.68008577678597</v>
      </c>
      <c r="L20" s="8">
        <v>482.22417423506101</v>
      </c>
      <c r="M20" s="9">
        <v>631.33167734058804</v>
      </c>
      <c r="N20" s="8">
        <v>755.71377608082696</v>
      </c>
      <c r="O20" s="9">
        <v>761.26953922813402</v>
      </c>
      <c r="P20" s="8">
        <v>734.58000000100606</v>
      </c>
      <c r="Q20" s="9">
        <v>695.22943663899503</v>
      </c>
      <c r="R20" s="12">
        <v>4304.0710416639904</v>
      </c>
      <c r="S20" s="13">
        <v>1557.4243940735</v>
      </c>
      <c r="T20" s="12">
        <v>1278.68305804341</v>
      </c>
      <c r="U20" s="13">
        <v>755.71377608082696</v>
      </c>
      <c r="V20" s="12">
        <v>541.68517554706398</v>
      </c>
      <c r="W20" s="13">
        <v>348.820191034733</v>
      </c>
      <c r="X20" s="17">
        <f t="shared" si="15"/>
        <v>348.820191034733</v>
      </c>
      <c r="Y20" s="17">
        <f t="shared" si="14"/>
        <v>4304.0710416639904</v>
      </c>
      <c r="Z20" s="18">
        <f t="shared" si="21"/>
        <v>972.37955550370395</v>
      </c>
      <c r="AA20" s="18">
        <f t="shared" si="22"/>
        <v>779.81986121636055</v>
      </c>
      <c r="AB20" s="18">
        <f t="shared" si="23"/>
        <v>798.17107459864553</v>
      </c>
      <c r="AC20" s="18">
        <f t="shared" si="24"/>
        <v>798.17107459864553</v>
      </c>
    </row>
    <row r="21" spans="1:29" s="18" customFormat="1" x14ac:dyDescent="0.25">
      <c r="A21" s="4" t="s">
        <v>76</v>
      </c>
      <c r="B21" s="12">
        <f>B19+B20</f>
        <v>1799.3480377902331</v>
      </c>
      <c r="C21" s="12">
        <f t="shared" ref="C21:W21" si="26">C19+C20</f>
        <v>1777.9257134664549</v>
      </c>
      <c r="D21" s="12">
        <f t="shared" si="26"/>
        <v>1698.9813863007589</v>
      </c>
      <c r="E21" s="12">
        <f t="shared" si="26"/>
        <v>1679.707524324893</v>
      </c>
      <c r="F21" s="12">
        <f t="shared" si="26"/>
        <v>1650.8160984028441</v>
      </c>
      <c r="G21" s="12">
        <f t="shared" si="26"/>
        <v>1619.075838541175</v>
      </c>
      <c r="H21" s="12">
        <f t="shared" si="26"/>
        <v>1579.490910941124</v>
      </c>
      <c r="I21" s="12">
        <f t="shared" si="26"/>
        <v>1581.2102493634511</v>
      </c>
      <c r="J21" s="12">
        <f t="shared" si="26"/>
        <v>1582.2974260207461</v>
      </c>
      <c r="K21" s="12">
        <f t="shared" si="26"/>
        <v>1669.0917640768359</v>
      </c>
      <c r="L21" s="12">
        <f t="shared" si="26"/>
        <v>1487.0560262527811</v>
      </c>
      <c r="M21" s="12">
        <f t="shared" si="26"/>
        <v>1531.9536871925402</v>
      </c>
      <c r="N21" s="12">
        <f t="shared" si="26"/>
        <v>1579.490910941124</v>
      </c>
      <c r="O21" s="12">
        <f t="shared" si="26"/>
        <v>1572.158291139581</v>
      </c>
      <c r="P21" s="12">
        <f t="shared" si="26"/>
        <v>1522.901034314247</v>
      </c>
      <c r="Q21" s="12">
        <f t="shared" si="26"/>
        <v>1459.0452417850979</v>
      </c>
      <c r="R21" s="12">
        <f t="shared" si="26"/>
        <v>5075.2224999968876</v>
      </c>
      <c r="S21" s="12">
        <f t="shared" si="26"/>
        <v>2306.6610334542361</v>
      </c>
      <c r="T21" s="12">
        <f t="shared" si="26"/>
        <v>2118.3776655301099</v>
      </c>
      <c r="U21" s="12">
        <f t="shared" si="26"/>
        <v>1579.490910941124</v>
      </c>
      <c r="V21" s="12">
        <f t="shared" si="26"/>
        <v>1653.5026569154738</v>
      </c>
      <c r="W21" s="12">
        <f t="shared" si="26"/>
        <v>1398.1135932588929</v>
      </c>
      <c r="X21" s="19">
        <f t="shared" si="15"/>
        <v>1398.1135932588929</v>
      </c>
      <c r="Y21" s="19">
        <f t="shared" si="14"/>
        <v>5075.2224999968876</v>
      </c>
      <c r="Z21" s="18">
        <f t="shared" si="21"/>
        <v>1814.6326591341187</v>
      </c>
      <c r="AA21" s="18">
        <f t="shared" si="22"/>
        <v>739.05866468526403</v>
      </c>
      <c r="AB21" s="18">
        <f t="shared" si="23"/>
        <v>756.45065985259748</v>
      </c>
      <c r="AC21" s="18">
        <f t="shared" si="24"/>
        <v>756.45065985259748</v>
      </c>
    </row>
    <row r="22" spans="1:29" x14ac:dyDescent="0.25">
      <c r="A22" s="4" t="s">
        <v>33</v>
      </c>
      <c r="B22" s="5">
        <v>14147.132000257299</v>
      </c>
      <c r="C22" s="6">
        <v>14223.5229998594</v>
      </c>
      <c r="D22" s="5">
        <v>12932.1509998525</v>
      </c>
      <c r="E22" s="6">
        <v>11605.817000032401</v>
      </c>
      <c r="F22" s="5">
        <v>10187.328000040699</v>
      </c>
      <c r="G22" s="6">
        <v>8844.84100055415</v>
      </c>
      <c r="H22" s="5">
        <v>7512.08999985829</v>
      </c>
      <c r="I22" s="6">
        <v>7442.8569999290603</v>
      </c>
      <c r="J22" s="5">
        <v>6053.9649998070699</v>
      </c>
      <c r="K22" s="9">
        <v>1365.6129999551899</v>
      </c>
      <c r="L22" s="8">
        <v>1201.8590004416201</v>
      </c>
      <c r="M22" s="9">
        <v>5693.67000048515</v>
      </c>
      <c r="N22" s="8">
        <v>7512.08999985829</v>
      </c>
      <c r="O22" s="9">
        <v>7921.3659998495104</v>
      </c>
      <c r="P22" s="8">
        <v>3561.9569999165801</v>
      </c>
      <c r="Q22" s="9">
        <v>2700.3010004293201</v>
      </c>
      <c r="R22" s="12">
        <v>16423.212999827199</v>
      </c>
      <c r="S22" s="13">
        <v>8782.1240001590904</v>
      </c>
      <c r="T22" s="12">
        <v>8696.4630001690202</v>
      </c>
      <c r="U22" s="13">
        <v>7512.08999985829</v>
      </c>
      <c r="V22" s="12">
        <v>8016.4560003206097</v>
      </c>
      <c r="W22" s="13">
        <v>7512.0930003700796</v>
      </c>
      <c r="X22" s="17">
        <f t="shared" si="15"/>
        <v>1201.8590004416201</v>
      </c>
      <c r="Y22" s="17">
        <f>MAX(B22:W22)</f>
        <v>16423.212999827199</v>
      </c>
      <c r="Z22" s="18">
        <f t="shared" si="21"/>
        <v>8174.9545000832186</v>
      </c>
      <c r="AA22" s="18">
        <f t="shared" si="22"/>
        <v>3926.0649853307968</v>
      </c>
      <c r="AB22" s="18">
        <f t="shared" si="23"/>
        <v>4018.4556256334713</v>
      </c>
      <c r="AC22" s="18">
        <f t="shared" si="24"/>
        <v>4018.4556256334713</v>
      </c>
    </row>
    <row r="23" spans="1:29" x14ac:dyDescent="0.25">
      <c r="A23" s="4" t="s">
        <v>34</v>
      </c>
      <c r="B23" s="5">
        <v>-137.76900000000001</v>
      </c>
      <c r="C23" s="6">
        <v>-138.24</v>
      </c>
      <c r="D23" s="5">
        <v>-138.62700000000001</v>
      </c>
      <c r="E23" s="6">
        <v>-139.00200000000001</v>
      </c>
      <c r="F23" s="5">
        <v>-139.345</v>
      </c>
      <c r="G23" s="6">
        <v>-139.66399999999999</v>
      </c>
      <c r="H23" s="5">
        <v>-139.96199999999999</v>
      </c>
      <c r="I23" s="6">
        <v>-140.24100000000001</v>
      </c>
      <c r="J23" s="5">
        <v>-140.505</v>
      </c>
      <c r="K23" s="9">
        <v>-139.90899999999999</v>
      </c>
      <c r="L23" s="8">
        <v>-139.929</v>
      </c>
      <c r="M23" s="9">
        <v>-139.947</v>
      </c>
      <c r="N23" s="8">
        <v>-139.96199999999999</v>
      </c>
      <c r="O23" s="9">
        <v>-139.965</v>
      </c>
      <c r="P23" s="8">
        <v>-139.964</v>
      </c>
      <c r="Q23" s="12">
        <v>-139.965</v>
      </c>
      <c r="R23" s="12">
        <v>-139.96100000000001</v>
      </c>
      <c r="S23" s="13">
        <v>-139.96199999999999</v>
      </c>
      <c r="T23" s="12">
        <v>-139.96100000000001</v>
      </c>
      <c r="U23" s="13">
        <v>-139.96199999999999</v>
      </c>
      <c r="V23" s="12">
        <v>-139.96199999999999</v>
      </c>
      <c r="W23" s="13">
        <v>-139.96199999999999</v>
      </c>
      <c r="X23" s="17">
        <f t="shared" ref="X23:X27" si="27">MIN(B23:W23)</f>
        <v>-140.505</v>
      </c>
      <c r="Y23" s="17">
        <f>MAX(B23:W23)</f>
        <v>-137.76900000000001</v>
      </c>
      <c r="Z23" s="18">
        <f t="shared" si="21"/>
        <v>-139.67118181818182</v>
      </c>
      <c r="AA23" s="18">
        <f t="shared" si="22"/>
        <v>0.65588362578929227</v>
      </c>
      <c r="AB23" s="18">
        <f t="shared" si="23"/>
        <v>0.67131829342141935</v>
      </c>
      <c r="AC23" s="18">
        <f t="shared" si="24"/>
        <v>0.67131829342141935</v>
      </c>
    </row>
    <row r="24" spans="1:29" x14ac:dyDescent="0.25">
      <c r="X24" s="19">
        <f t="shared" si="27"/>
        <v>0</v>
      </c>
      <c r="Y24" s="19">
        <f t="shared" ref="Y24:Y27" si="28">MAX(B24:W24)</f>
        <v>0</v>
      </c>
    </row>
    <row r="25" spans="1:29" x14ac:dyDescent="0.25">
      <c r="A25" s="21" t="s">
        <v>77</v>
      </c>
      <c r="B25" s="22">
        <v>0</v>
      </c>
      <c r="C25" s="23">
        <v>0</v>
      </c>
      <c r="D25" s="22">
        <v>0</v>
      </c>
      <c r="E25" s="23">
        <v>0</v>
      </c>
      <c r="F25" s="22">
        <v>0</v>
      </c>
      <c r="G25" s="23">
        <v>0</v>
      </c>
      <c r="H25" s="22">
        <v>0</v>
      </c>
      <c r="I25" s="23">
        <v>0</v>
      </c>
      <c r="J25" s="22">
        <v>0</v>
      </c>
      <c r="K25" s="25">
        <v>0</v>
      </c>
      <c r="L25" s="24">
        <v>0</v>
      </c>
      <c r="M25" s="25">
        <v>0</v>
      </c>
      <c r="N25" s="24">
        <v>0</v>
      </c>
      <c r="O25" s="25">
        <v>0</v>
      </c>
      <c r="P25" s="24">
        <v>0</v>
      </c>
      <c r="Q25" s="25">
        <v>0</v>
      </c>
      <c r="R25" s="26">
        <v>1925.8075709434199</v>
      </c>
      <c r="S25" s="27">
        <v>1028.31669259209</v>
      </c>
      <c r="T25" s="26">
        <v>514.85547825518904</v>
      </c>
      <c r="U25" s="27">
        <v>0</v>
      </c>
      <c r="V25" s="26">
        <v>0</v>
      </c>
      <c r="W25" s="27">
        <v>0</v>
      </c>
      <c r="X25" s="19">
        <f t="shared" si="27"/>
        <v>0</v>
      </c>
      <c r="Y25" s="19">
        <f t="shared" si="28"/>
        <v>1925.8075709434199</v>
      </c>
    </row>
    <row r="26" spans="1:29" x14ac:dyDescent="0.25">
      <c r="A26" s="21" t="s">
        <v>78</v>
      </c>
      <c r="B26" s="22">
        <v>0</v>
      </c>
      <c r="C26" s="23">
        <v>154.745</v>
      </c>
      <c r="D26" s="22">
        <v>198.20890070311901</v>
      </c>
      <c r="E26" s="23">
        <v>75.283397938037993</v>
      </c>
      <c r="F26" s="22">
        <v>97.136100084065802</v>
      </c>
      <c r="G26" s="23">
        <v>77.443046009873697</v>
      </c>
      <c r="H26" s="22">
        <v>113.386159313172</v>
      </c>
      <c r="I26" s="23">
        <v>80.085096435725205</v>
      </c>
      <c r="J26" s="22">
        <v>81.983111197681794</v>
      </c>
      <c r="K26" s="25">
        <v>0</v>
      </c>
      <c r="L26" s="24">
        <v>60.050679304976299</v>
      </c>
      <c r="M26" s="25">
        <v>0</v>
      </c>
      <c r="N26" s="24">
        <v>113.386159313172</v>
      </c>
      <c r="O26" s="25">
        <v>0</v>
      </c>
      <c r="P26" s="24">
        <v>0</v>
      </c>
      <c r="Q26" s="25">
        <v>49.2121716419093</v>
      </c>
      <c r="R26" s="26">
        <v>1973.44932913965</v>
      </c>
      <c r="S26" s="27">
        <v>632.81390995256697</v>
      </c>
      <c r="T26" s="26">
        <v>542.66211152939002</v>
      </c>
      <c r="U26" s="27">
        <v>113.402872929841</v>
      </c>
      <c r="V26" s="26">
        <v>91.411600514362405</v>
      </c>
      <c r="W26" s="27">
        <v>0</v>
      </c>
      <c r="X26" s="19">
        <f t="shared" si="27"/>
        <v>0</v>
      </c>
      <c r="Y26" s="19">
        <f t="shared" si="28"/>
        <v>1973.44932913965</v>
      </c>
    </row>
    <row r="27" spans="1:29" x14ac:dyDescent="0.25">
      <c r="A27" s="21" t="s">
        <v>79</v>
      </c>
      <c r="B27" s="22">
        <v>0</v>
      </c>
      <c r="C27" s="23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v>0</v>
      </c>
      <c r="K27" s="25">
        <v>0</v>
      </c>
      <c r="L27" s="24">
        <v>0</v>
      </c>
      <c r="M27" s="25">
        <v>0</v>
      </c>
      <c r="N27" s="24">
        <v>0</v>
      </c>
      <c r="O27" s="25">
        <v>0</v>
      </c>
      <c r="P27" s="24">
        <v>0</v>
      </c>
      <c r="Q27" s="25">
        <v>0</v>
      </c>
      <c r="R27" s="26">
        <v>2692.79031318221</v>
      </c>
      <c r="S27" s="27">
        <v>1369.56366593763</v>
      </c>
      <c r="T27" s="26">
        <v>0</v>
      </c>
      <c r="U27" s="27">
        <v>0</v>
      </c>
      <c r="V27" s="26">
        <v>0</v>
      </c>
      <c r="W27" s="27">
        <v>0</v>
      </c>
      <c r="X27" s="19">
        <f t="shared" si="27"/>
        <v>0</v>
      </c>
      <c r="Y27" s="19">
        <f t="shared" si="28"/>
        <v>2692.79031318221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B14"/>
    </sheetView>
  </sheetViews>
  <sheetFormatPr defaultRowHeight="15" x14ac:dyDescent="0.25"/>
  <cols>
    <col min="1" max="1" width="19.140625" customWidth="1"/>
    <col min="2" max="2" width="42.5703125" customWidth="1"/>
    <col min="3" max="3" width="22" customWidth="1"/>
    <col min="4" max="4" width="33.28515625" customWidth="1"/>
    <col min="5" max="5" width="23.140625" customWidth="1"/>
  </cols>
  <sheetData>
    <row r="1" spans="1:5" x14ac:dyDescent="0.25">
      <c r="A1" t="s">
        <v>7</v>
      </c>
      <c r="B1" t="s">
        <v>8</v>
      </c>
      <c r="C1" t="s">
        <v>2</v>
      </c>
      <c r="D1" t="s">
        <v>1</v>
      </c>
      <c r="E1" s="1" t="s">
        <v>13</v>
      </c>
    </row>
    <row r="2" spans="1:5" x14ac:dyDescent="0.25">
      <c r="A2" t="s">
        <v>9</v>
      </c>
      <c r="B2" t="s">
        <v>0</v>
      </c>
      <c r="C2">
        <v>1</v>
      </c>
      <c r="E2" t="s">
        <v>14</v>
      </c>
    </row>
    <row r="3" spans="1:5" x14ac:dyDescent="0.25">
      <c r="A3" t="s">
        <v>10</v>
      </c>
      <c r="B3" t="s">
        <v>3</v>
      </c>
      <c r="C3">
        <v>1</v>
      </c>
      <c r="D3" s="2" t="s">
        <v>17</v>
      </c>
    </row>
    <row r="4" spans="1:5" x14ac:dyDescent="0.25">
      <c r="A4" t="s">
        <v>10</v>
      </c>
      <c r="B4" t="s">
        <v>4</v>
      </c>
      <c r="C4">
        <v>1</v>
      </c>
      <c r="D4" s="2" t="s">
        <v>16</v>
      </c>
      <c r="E4" t="s">
        <v>15</v>
      </c>
    </row>
    <row r="5" spans="1:5" x14ac:dyDescent="0.25">
      <c r="A5" t="s">
        <v>10</v>
      </c>
      <c r="B5" t="s">
        <v>5</v>
      </c>
      <c r="C5">
        <v>1</v>
      </c>
      <c r="D5" s="2" t="s">
        <v>16</v>
      </c>
    </row>
    <row r="6" spans="1:5" x14ac:dyDescent="0.25">
      <c r="A6" t="s">
        <v>10</v>
      </c>
      <c r="B6" t="s">
        <v>6</v>
      </c>
      <c r="C6">
        <v>1</v>
      </c>
      <c r="D6" s="2" t="s">
        <v>19</v>
      </c>
      <c r="E6" t="s">
        <v>18</v>
      </c>
    </row>
    <row r="7" spans="1:5" x14ac:dyDescent="0.25">
      <c r="A7" t="s">
        <v>11</v>
      </c>
      <c r="B7" t="s">
        <v>3</v>
      </c>
      <c r="C7">
        <v>1</v>
      </c>
      <c r="D7" s="2" t="s">
        <v>17</v>
      </c>
    </row>
    <row r="8" spans="1:5" x14ac:dyDescent="0.25">
      <c r="A8" t="s">
        <v>11</v>
      </c>
      <c r="B8" t="s">
        <v>4</v>
      </c>
      <c r="C8">
        <v>1</v>
      </c>
      <c r="D8" s="2" t="s">
        <v>16</v>
      </c>
      <c r="E8" t="s">
        <v>48</v>
      </c>
    </row>
    <row r="9" spans="1:5" x14ac:dyDescent="0.25">
      <c r="A9" t="s">
        <v>11</v>
      </c>
      <c r="B9" t="s">
        <v>5</v>
      </c>
      <c r="C9">
        <v>1</v>
      </c>
      <c r="D9" s="2" t="s">
        <v>16</v>
      </c>
    </row>
    <row r="10" spans="1:5" x14ac:dyDescent="0.25">
      <c r="A10" t="s">
        <v>11</v>
      </c>
      <c r="B10" t="s">
        <v>6</v>
      </c>
      <c r="C10">
        <v>1</v>
      </c>
      <c r="D10" s="2" t="s">
        <v>19</v>
      </c>
    </row>
    <row r="11" spans="1:5" x14ac:dyDescent="0.25">
      <c r="A11" t="s">
        <v>12</v>
      </c>
      <c r="B11" t="s">
        <v>3</v>
      </c>
      <c r="C11">
        <v>1</v>
      </c>
      <c r="D11" s="2" t="s">
        <v>17</v>
      </c>
    </row>
    <row r="12" spans="1:5" x14ac:dyDescent="0.25">
      <c r="A12" t="s">
        <v>12</v>
      </c>
      <c r="B12" t="s">
        <v>4</v>
      </c>
      <c r="C12">
        <v>1</v>
      </c>
      <c r="D12" s="2" t="s">
        <v>16</v>
      </c>
      <c r="E12" t="s">
        <v>49</v>
      </c>
    </row>
    <row r="13" spans="1:5" x14ac:dyDescent="0.25">
      <c r="A13" t="s">
        <v>12</v>
      </c>
      <c r="B13" t="s">
        <v>5</v>
      </c>
      <c r="C13">
        <v>1</v>
      </c>
      <c r="D13" s="2" t="s">
        <v>16</v>
      </c>
    </row>
    <row r="14" spans="1:5" x14ac:dyDescent="0.25">
      <c r="A14" t="s">
        <v>12</v>
      </c>
      <c r="B14" t="s">
        <v>6</v>
      </c>
      <c r="C14">
        <v>1</v>
      </c>
      <c r="D14" s="2" t="s">
        <v>19</v>
      </c>
    </row>
    <row r="20" spans="4:4" x14ac:dyDescent="0.25">
      <c r="D20">
        <f>9*60*60 + 41*60 + 11</f>
        <v>34871</v>
      </c>
    </row>
    <row r="21" spans="4:4" x14ac:dyDescent="0.25">
      <c r="D21" s="10">
        <f>13*60*60 + 18*60 + 19</f>
        <v>47899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3"/>
  <sheetViews>
    <sheetView tabSelected="1" topLeftCell="D1" workbookViewId="0">
      <selection activeCell="D24" sqref="D24:Y24"/>
    </sheetView>
  </sheetViews>
  <sheetFormatPr defaultRowHeight="15" x14ac:dyDescent="0.25"/>
  <cols>
    <col min="1" max="1" width="39" style="18" customWidth="1"/>
    <col min="2" max="2" width="28.85546875" style="18" customWidth="1"/>
    <col min="3" max="3" width="35.140625" style="18" customWidth="1"/>
    <col min="4" max="4" width="17.42578125" style="18" customWidth="1"/>
    <col min="5" max="16384" width="9.140625" style="18"/>
  </cols>
  <sheetData>
    <row r="1" spans="1:31" ht="16.5" thickTop="1" thickBot="1" x14ac:dyDescent="0.3">
      <c r="C1" s="15" t="str">
        <f>raw!A1</f>
        <v>Altitude (km above mean radius of Earth)</v>
      </c>
      <c r="D1" s="15">
        <f>raw!B1</f>
        <v>400</v>
      </c>
      <c r="E1" s="15">
        <f>raw!C1</f>
        <v>450</v>
      </c>
      <c r="F1" s="15">
        <f>raw!D1</f>
        <v>500</v>
      </c>
      <c r="G1" s="15">
        <f>raw!E1</f>
        <v>550</v>
      </c>
      <c r="H1" s="15">
        <f>raw!F1</f>
        <v>600</v>
      </c>
      <c r="I1" s="15">
        <f>raw!G1</f>
        <v>650</v>
      </c>
      <c r="J1" s="15">
        <f>raw!H1</f>
        <v>700</v>
      </c>
      <c r="K1" s="15">
        <f>raw!I1</f>
        <v>750</v>
      </c>
      <c r="L1" s="15">
        <f>raw!J1</f>
        <v>800</v>
      </c>
      <c r="M1" s="15">
        <f>raw!K1</f>
        <v>700</v>
      </c>
      <c r="N1" s="15">
        <f>raw!L1</f>
        <v>700</v>
      </c>
      <c r="O1" s="15">
        <f>raw!M1</f>
        <v>700</v>
      </c>
      <c r="P1" s="15">
        <f>raw!N1</f>
        <v>700</v>
      </c>
      <c r="Q1" s="15">
        <f>raw!O1</f>
        <v>700</v>
      </c>
      <c r="R1" s="15">
        <f>raw!P1</f>
        <v>700</v>
      </c>
      <c r="S1" s="15">
        <f>raw!Q1</f>
        <v>700</v>
      </c>
      <c r="T1" s="15">
        <f>raw!R1</f>
        <v>700</v>
      </c>
      <c r="U1" s="15">
        <f>raw!S1</f>
        <v>700</v>
      </c>
      <c r="V1" s="15">
        <f>raw!T1</f>
        <v>700</v>
      </c>
      <c r="W1" s="15">
        <f>raw!U1</f>
        <v>700</v>
      </c>
      <c r="X1" s="15">
        <f>raw!V1</f>
        <v>700</v>
      </c>
      <c r="Y1" s="15">
        <f>raw!W1</f>
        <v>700</v>
      </c>
    </row>
    <row r="2" spans="1:31" ht="16.5" thickTop="1" thickBot="1" x14ac:dyDescent="0.3">
      <c r="C2" s="15" t="str">
        <f>raw!A2</f>
        <v>Inclination (deg)</v>
      </c>
      <c r="D2" s="15">
        <f>raw!B2</f>
        <v>60</v>
      </c>
      <c r="E2" s="15">
        <f>raw!C2</f>
        <v>60</v>
      </c>
      <c r="F2" s="15">
        <f>raw!D2</f>
        <v>60</v>
      </c>
      <c r="G2" s="15">
        <f>raw!E2</f>
        <v>60</v>
      </c>
      <c r="H2" s="15">
        <f>raw!F2</f>
        <v>60</v>
      </c>
      <c r="I2" s="15">
        <f>raw!G2</f>
        <v>60</v>
      </c>
      <c r="J2" s="15">
        <f>raw!H2</f>
        <v>60</v>
      </c>
      <c r="K2" s="15">
        <f>raw!I2</f>
        <v>60</v>
      </c>
      <c r="L2" s="15">
        <f>raw!J2</f>
        <v>60</v>
      </c>
      <c r="M2" s="15">
        <f>raw!K2</f>
        <v>30</v>
      </c>
      <c r="N2" s="15">
        <f>raw!L2</f>
        <v>40</v>
      </c>
      <c r="O2" s="15">
        <f>raw!M2</f>
        <v>50</v>
      </c>
      <c r="P2" s="15">
        <f>raw!N2</f>
        <v>60</v>
      </c>
      <c r="Q2" s="15">
        <f>raw!O2</f>
        <v>70</v>
      </c>
      <c r="R2" s="15">
        <f>raw!P2</f>
        <v>80</v>
      </c>
      <c r="S2" s="15">
        <f>raw!Q2</f>
        <v>90</v>
      </c>
      <c r="T2" s="15">
        <f>raw!R2</f>
        <v>60</v>
      </c>
      <c r="U2" s="15">
        <f>raw!S2</f>
        <v>60</v>
      </c>
      <c r="V2" s="15">
        <f>raw!T2</f>
        <v>60</v>
      </c>
      <c r="W2" s="15">
        <f>raw!U2</f>
        <v>60</v>
      </c>
      <c r="X2" s="15">
        <f>raw!V2</f>
        <v>60</v>
      </c>
      <c r="Y2" s="15">
        <f>raw!W2</f>
        <v>60</v>
      </c>
    </row>
    <row r="3" spans="1:31" ht="16.5" thickTop="1" thickBot="1" x14ac:dyDescent="0.3">
      <c r="C3" s="15" t="str">
        <f>raw!A3</f>
        <v>Number of Planes</v>
      </c>
      <c r="D3" s="15">
        <f>raw!B3</f>
        <v>3</v>
      </c>
      <c r="E3" s="15">
        <f>raw!C3</f>
        <v>3</v>
      </c>
      <c r="F3" s="15">
        <f>raw!D3</f>
        <v>3</v>
      </c>
      <c r="G3" s="15">
        <f>raw!E3</f>
        <v>3</v>
      </c>
      <c r="H3" s="15">
        <f>raw!F3</f>
        <v>3</v>
      </c>
      <c r="I3" s="15">
        <f>raw!G3</f>
        <v>3</v>
      </c>
      <c r="J3" s="15">
        <f>raw!H3</f>
        <v>3</v>
      </c>
      <c r="K3" s="15">
        <f>raw!I3</f>
        <v>3</v>
      </c>
      <c r="L3" s="15">
        <f>raw!J3</f>
        <v>3</v>
      </c>
      <c r="M3" s="15">
        <f>raw!K3</f>
        <v>3</v>
      </c>
      <c r="N3" s="15">
        <f>raw!L3</f>
        <v>3</v>
      </c>
      <c r="O3" s="15">
        <f>raw!M3</f>
        <v>3</v>
      </c>
      <c r="P3" s="15">
        <f>raw!N3</f>
        <v>3</v>
      </c>
      <c r="Q3" s="15">
        <f>raw!O3</f>
        <v>3</v>
      </c>
      <c r="R3" s="15">
        <f>raw!P3</f>
        <v>3</v>
      </c>
      <c r="S3" s="15">
        <f>raw!Q3</f>
        <v>3</v>
      </c>
      <c r="T3" s="15">
        <f>raw!R3</f>
        <v>3</v>
      </c>
      <c r="U3" s="15">
        <f>raw!S3</f>
        <v>3</v>
      </c>
      <c r="V3" s="15">
        <f>raw!T3</f>
        <v>3</v>
      </c>
      <c r="W3" s="15">
        <f>raw!U3</f>
        <v>3</v>
      </c>
      <c r="X3" s="15">
        <f>raw!V3</f>
        <v>3</v>
      </c>
      <c r="Y3" s="15">
        <f>raw!W3</f>
        <v>3</v>
      </c>
    </row>
    <row r="4" spans="1:31" ht="16.5" thickTop="1" thickBot="1" x14ac:dyDescent="0.3">
      <c r="C4" s="15" t="str">
        <f>raw!A4</f>
        <v>Number of Satellites per plane</v>
      </c>
      <c r="D4" s="15">
        <f>raw!B4</f>
        <v>4</v>
      </c>
      <c r="E4" s="15">
        <f>raw!C4</f>
        <v>4</v>
      </c>
      <c r="F4" s="15">
        <f>raw!D4</f>
        <v>4</v>
      </c>
      <c r="G4" s="15">
        <f>raw!E4</f>
        <v>4</v>
      </c>
      <c r="H4" s="15">
        <f>raw!F4</f>
        <v>4</v>
      </c>
      <c r="I4" s="15">
        <f>raw!G4</f>
        <v>4</v>
      </c>
      <c r="J4" s="15">
        <f>raw!H4</f>
        <v>4</v>
      </c>
      <c r="K4" s="15">
        <f>raw!I4</f>
        <v>4</v>
      </c>
      <c r="L4" s="15">
        <f>raw!J4</f>
        <v>4</v>
      </c>
      <c r="M4" s="15">
        <f>raw!K4</f>
        <v>4</v>
      </c>
      <c r="N4" s="15">
        <f>raw!L4</f>
        <v>4</v>
      </c>
      <c r="O4" s="15">
        <f>raw!M4</f>
        <v>4</v>
      </c>
      <c r="P4" s="15">
        <f>raw!N4</f>
        <v>4</v>
      </c>
      <c r="Q4" s="15">
        <f>raw!O4</f>
        <v>4</v>
      </c>
      <c r="R4" s="15">
        <f>raw!P4</f>
        <v>4</v>
      </c>
      <c r="S4" s="15">
        <f>raw!Q4</f>
        <v>4</v>
      </c>
      <c r="T4" s="15">
        <f>raw!R4</f>
        <v>1</v>
      </c>
      <c r="U4" s="15">
        <f>raw!S4</f>
        <v>2</v>
      </c>
      <c r="V4" s="15">
        <f>raw!T4</f>
        <v>3</v>
      </c>
      <c r="W4" s="15">
        <f>raw!U4</f>
        <v>4</v>
      </c>
      <c r="X4" s="15">
        <f>raw!V4</f>
        <v>5</v>
      </c>
      <c r="Y4" s="15">
        <f>raw!W4</f>
        <v>6</v>
      </c>
    </row>
    <row r="5" spans="1:31" ht="16.5" thickTop="1" thickBot="1" x14ac:dyDescent="0.3">
      <c r="C5" s="15" t="str">
        <f>raw!A5</f>
        <v>Number of Satellites (Total)</v>
      </c>
      <c r="D5" s="15">
        <f>raw!B5</f>
        <v>12</v>
      </c>
      <c r="E5" s="15">
        <f>raw!C5</f>
        <v>12</v>
      </c>
      <c r="F5" s="15">
        <f>raw!D5</f>
        <v>12</v>
      </c>
      <c r="G5" s="15">
        <f>raw!E5</f>
        <v>12</v>
      </c>
      <c r="H5" s="15">
        <f>raw!F5</f>
        <v>12</v>
      </c>
      <c r="I5" s="15">
        <f>raw!G5</f>
        <v>12</v>
      </c>
      <c r="J5" s="15">
        <f>raw!H5</f>
        <v>12</v>
      </c>
      <c r="K5" s="15">
        <f>raw!I5</f>
        <v>12</v>
      </c>
      <c r="L5" s="15">
        <f>raw!J5</f>
        <v>12</v>
      </c>
      <c r="M5" s="15">
        <f>raw!K5</f>
        <v>12</v>
      </c>
      <c r="N5" s="15">
        <f>raw!L5</f>
        <v>12</v>
      </c>
      <c r="O5" s="15">
        <f>raw!M5</f>
        <v>12</v>
      </c>
      <c r="P5" s="15">
        <f>raw!N5</f>
        <v>12</v>
      </c>
      <c r="Q5" s="15">
        <f>raw!O5</f>
        <v>12</v>
      </c>
      <c r="R5" s="15">
        <f>raw!P5</f>
        <v>12</v>
      </c>
      <c r="S5" s="15">
        <f>raw!Q5</f>
        <v>12</v>
      </c>
      <c r="T5" s="15">
        <f>raw!R5</f>
        <v>3</v>
      </c>
      <c r="U5" s="15">
        <f>raw!S5</f>
        <v>6</v>
      </c>
      <c r="V5" s="15">
        <f>raw!T5</f>
        <v>9</v>
      </c>
      <c r="W5" s="15">
        <f>raw!U5</f>
        <v>12</v>
      </c>
      <c r="X5" s="15">
        <f>raw!V5</f>
        <v>15</v>
      </c>
      <c r="Y5" s="15">
        <f>raw!W5</f>
        <v>18</v>
      </c>
    </row>
    <row r="6" spans="1:31" ht="16.5" thickTop="1" thickBot="1" x14ac:dyDescent="0.3"/>
    <row r="7" spans="1:31" ht="16.5" thickTop="1" thickBot="1" x14ac:dyDescent="0.3">
      <c r="A7" s="15" t="str">
        <f>weights!A1</f>
        <v>Flight Path</v>
      </c>
      <c r="B7" s="15" t="str">
        <f>weights!B1</f>
        <v>Parameter</v>
      </c>
      <c r="C7" s="15" t="str">
        <f>weights!C1</f>
        <v>Weight</v>
      </c>
      <c r="Z7" s="18" t="s">
        <v>52</v>
      </c>
      <c r="AA7" s="18" t="s">
        <v>53</v>
      </c>
      <c r="AB7" s="18" t="s">
        <v>54</v>
      </c>
      <c r="AC7" s="18" t="s">
        <v>56</v>
      </c>
      <c r="AD7" s="18" t="s">
        <v>57</v>
      </c>
      <c r="AE7" s="18" t="s">
        <v>55</v>
      </c>
    </row>
    <row r="8" spans="1:31" ht="16.5" thickTop="1" thickBot="1" x14ac:dyDescent="0.3">
      <c r="A8" s="15" t="str">
        <f>weights!A2</f>
        <v>All</v>
      </c>
      <c r="B8" s="15" t="str">
        <f>weights!B2</f>
        <v>Number of Satellites</v>
      </c>
      <c r="C8" s="16">
        <v>10</v>
      </c>
      <c r="D8" s="29">
        <f>$C$8*(1-(D5-3)/15)</f>
        <v>4</v>
      </c>
      <c r="E8" s="29">
        <f t="shared" ref="E8:Y8" si="0">$C$8*(1-(E5-3)/15)</f>
        <v>4</v>
      </c>
      <c r="F8" s="29">
        <f t="shared" si="0"/>
        <v>4</v>
      </c>
      <c r="G8" s="29">
        <f t="shared" si="0"/>
        <v>4</v>
      </c>
      <c r="H8" s="29">
        <f t="shared" si="0"/>
        <v>4</v>
      </c>
      <c r="I8" s="29">
        <f t="shared" si="0"/>
        <v>4</v>
      </c>
      <c r="J8" s="29">
        <f t="shared" si="0"/>
        <v>4</v>
      </c>
      <c r="K8" s="29">
        <f t="shared" si="0"/>
        <v>4</v>
      </c>
      <c r="L8" s="29">
        <f t="shared" si="0"/>
        <v>4</v>
      </c>
      <c r="M8" s="29">
        <f t="shared" si="0"/>
        <v>4</v>
      </c>
      <c r="N8" s="29">
        <f t="shared" si="0"/>
        <v>4</v>
      </c>
      <c r="O8" s="29">
        <f t="shared" si="0"/>
        <v>4</v>
      </c>
      <c r="P8" s="29">
        <f t="shared" si="0"/>
        <v>4</v>
      </c>
      <c r="Q8" s="29">
        <f t="shared" si="0"/>
        <v>4</v>
      </c>
      <c r="R8" s="29">
        <f t="shared" si="0"/>
        <v>4</v>
      </c>
      <c r="S8" s="29">
        <f t="shared" si="0"/>
        <v>4</v>
      </c>
      <c r="T8" s="29">
        <f t="shared" si="0"/>
        <v>10</v>
      </c>
      <c r="U8" s="29">
        <f t="shared" si="0"/>
        <v>8</v>
      </c>
      <c r="V8" s="29">
        <f t="shared" si="0"/>
        <v>6</v>
      </c>
      <c r="W8" s="29">
        <f t="shared" si="0"/>
        <v>4</v>
      </c>
      <c r="X8" s="29">
        <f t="shared" si="0"/>
        <v>1.9999999999999996</v>
      </c>
      <c r="Y8" s="29">
        <f t="shared" si="0"/>
        <v>0</v>
      </c>
      <c r="Z8" s="30">
        <f>MIN(D8:Y8)</f>
        <v>0</v>
      </c>
      <c r="AA8" s="30">
        <f t="shared" ref="AA8:AA23" si="1">MAX(D8:Y8)</f>
        <v>10</v>
      </c>
      <c r="AB8" s="20">
        <f>AVERAGE(D8:Y8)</f>
        <v>4.2727272727272725</v>
      </c>
      <c r="AC8" s="20">
        <f>_xlfn.STDEV.P(D8:Y8)</f>
        <v>1.8385225832869714</v>
      </c>
      <c r="AD8" s="20">
        <f>_xlfn.STDEV.S(D8:Y8)</f>
        <v>1.8817878576304881</v>
      </c>
      <c r="AE8" s="20">
        <f>STDEV(D8:Y8)</f>
        <v>1.8817878576304881</v>
      </c>
    </row>
    <row r="9" spans="1:31" ht="16.5" thickTop="1" thickBot="1" x14ac:dyDescent="0.3">
      <c r="A9" s="15" t="str">
        <f>weights!A3</f>
        <v>LAX - Heathrow</v>
      </c>
      <c r="B9" s="15" t="str">
        <f>weights!B3</f>
        <v>Fraction of coverage gap to total time analysed</v>
      </c>
      <c r="C9" s="16">
        <v>20</v>
      </c>
      <c r="D9" s="29">
        <f>$C$9*(1-(raw!B6-$C$47)/$C$49)</f>
        <v>11.058616723890896</v>
      </c>
      <c r="E9" s="29">
        <f>$C$9*(1-(raw!C6-$C$47)/$C$49)</f>
        <v>12.027154171564259</v>
      </c>
      <c r="F9" s="29">
        <f>$C$9*(1-(raw!D6-$C$47)/$C$49)</f>
        <v>12.927769683753098</v>
      </c>
      <c r="G9" s="29">
        <f>$C$9*(1-(raw!E6-$C$47)/$C$49)</f>
        <v>13.72264688061609</v>
      </c>
      <c r="H9" s="29">
        <f>$C$9*(1-(raw!F6-$C$47)/$C$49)</f>
        <v>14.460845160854683</v>
      </c>
      <c r="I9" s="29">
        <f>$C$9*(1-(raw!G6-$C$47)/$C$49)</f>
        <v>15.195221344498249</v>
      </c>
      <c r="J9" s="29">
        <f>$C$9*(1-(raw!H6-$C$47)/$C$49)</f>
        <v>15.780119574859253</v>
      </c>
      <c r="K9" s="29">
        <f>$C$9*(1-(raw!I6-$C$47)/$C$49)</f>
        <v>16.324443060944457</v>
      </c>
      <c r="L9" s="29">
        <f>$C$9*(1-(raw!J6-$C$47)/$C$49)</f>
        <v>16.804267528687387</v>
      </c>
      <c r="M9" s="29">
        <f>$C$9*(1-(raw!K6-$C$47)/$C$49)</f>
        <v>0</v>
      </c>
      <c r="N9" s="29">
        <f>$C$9*(1-(raw!L6-$C$47)/$C$49)</f>
        <v>6.7469985711678726</v>
      </c>
      <c r="O9" s="29">
        <f>$C$9*(1-(raw!M6-$C$47)/$C$49)</f>
        <v>12.930827443172817</v>
      </c>
      <c r="P9" s="29">
        <f>$C$9*(1-(raw!N6-$C$47)/$C$49)</f>
        <v>15.780119574859253</v>
      </c>
      <c r="Q9" s="29">
        <f>$C$9*(1-(raw!O6-$C$47)/$C$49)</f>
        <v>16.870439386737136</v>
      </c>
      <c r="R9" s="29">
        <f>$C$9*(1-(raw!P6-$C$47)/$C$49)</f>
        <v>17.681901465378004</v>
      </c>
      <c r="S9" s="29">
        <f>$C$9*(1-(raw!Q6-$C$47)/$C$49)</f>
        <v>16.61750657704723</v>
      </c>
      <c r="T9" s="29">
        <f>$C$9*(1-(raw!R6-$C$47)/$C$49)</f>
        <v>1.1382802693199134</v>
      </c>
      <c r="U9" s="29">
        <f>$C$9*(1-(raw!S6-$C$47)/$C$49)</f>
        <v>7.3508907382823363</v>
      </c>
      <c r="V9" s="29">
        <f>$C$9*(1-(raw!T6-$C$47)/$C$49)</f>
        <v>13.025543583509746</v>
      </c>
      <c r="W9" s="29">
        <f>$C$9*(1-(raw!U6-$C$47)/$C$49)</f>
        <v>15.780178703341834</v>
      </c>
      <c r="X9" s="29">
        <f>$C$9*(1-(raw!V6-$C$47)/$C$49)</f>
        <v>17.714237761741245</v>
      </c>
      <c r="Y9" s="29">
        <f>$C$9*(1-(raw!W6-$C$47)/$C$49)</f>
        <v>20</v>
      </c>
      <c r="Z9" s="30">
        <f t="shared" ref="Z9:Z24" si="2">MIN(D9:Y9)</f>
        <v>0</v>
      </c>
      <c r="AA9" s="30">
        <f t="shared" si="1"/>
        <v>20</v>
      </c>
      <c r="AB9" s="20">
        <f t="shared" ref="AB9:AB24" si="3">AVERAGE(D9:Y9)</f>
        <v>13.179000372919353</v>
      </c>
      <c r="AC9" s="20">
        <f t="shared" ref="AC9:AC24" si="4">_xlfn.STDEV.P(D9:Y9)</f>
        <v>5.054845016389387</v>
      </c>
      <c r="AD9" s="20">
        <f t="shared" ref="AD9:AD24" si="5">_xlfn.STDEV.S(D9:Y9)</f>
        <v>5.1737988211378978</v>
      </c>
      <c r="AE9" s="20">
        <f t="shared" ref="AE9:AE24" si="6">STDEV(D9:Y9)</f>
        <v>5.1737988211378978</v>
      </c>
    </row>
    <row r="10" spans="1:31" ht="16.5" thickTop="1" thickBot="1" x14ac:dyDescent="0.3">
      <c r="A10" s="15" t="str">
        <f>weights!A4</f>
        <v>LAX - Heathrow</v>
      </c>
      <c r="B10" s="15" t="s">
        <v>80</v>
      </c>
      <c r="C10" s="16">
        <v>10</v>
      </c>
      <c r="D10" s="29">
        <f>$C$10*(1-(raw!B9-$D$42)/$E$42)</f>
        <v>10</v>
      </c>
      <c r="E10" s="29">
        <f>$C$10*(1-(raw!C9-$D$42)/$E$42)</f>
        <v>9.9535961576790797</v>
      </c>
      <c r="F10" s="29">
        <f>$C$10*(1-(raw!D9-$D$42)/$E$42)</f>
        <v>9.8642850658398924</v>
      </c>
      <c r="G10" s="29">
        <f>$C$10*(1-(raw!E9-$D$42)/$E$42)</f>
        <v>9.799348623095737</v>
      </c>
      <c r="H10" s="29">
        <f>$C$10*(1-(raw!F9-$D$42)/$E$42)</f>
        <v>9.7416616449388176</v>
      </c>
      <c r="I10" s="29">
        <f>$C$10*(1-(raw!G9-$D$42)/$E$42)</f>
        <v>9.6659546464498085</v>
      </c>
      <c r="J10" s="29">
        <f>$C$10*(1-(raw!H9-$D$42)/$E$42)</f>
        <v>9.453871406292869</v>
      </c>
      <c r="K10" s="29">
        <f>$C$10*(1-(raw!I9-$D$42)/$E$42)</f>
        <v>9.2569166372500646</v>
      </c>
      <c r="L10" s="29">
        <f>$C$10*(1-(raw!J9-$D$42)/$E$42)</f>
        <v>9.0437024078650978</v>
      </c>
      <c r="M10" s="29">
        <f>$C$10*(1-(raw!K9-$D$42)/$E$42)</f>
        <v>7.6307509097724608</v>
      </c>
      <c r="N10" s="29">
        <f>$C$10*(1-(raw!L9-$D$42)/$E$42)</f>
        <v>9.5036326391881545</v>
      </c>
      <c r="O10" s="29">
        <f>$C$10*(1-(raw!M9-$D$42)/$E$42)</f>
        <v>9.8043641839768245</v>
      </c>
      <c r="P10" s="29">
        <f>$C$10*(1-(raw!N9-$D$42)/$E$42)</f>
        <v>9.453871406292869</v>
      </c>
      <c r="Q10" s="29">
        <f>$C$10*(1-(raw!O9-$D$42)/$E$42)</f>
        <v>9.1203002977614602</v>
      </c>
      <c r="R10" s="29">
        <f>$C$10*(1-(raw!P9-$D$42)/$E$42)</f>
        <v>9.0512318324539276</v>
      </c>
      <c r="S10" s="29">
        <f>$C$10*(1-(raw!Q9-$D$42)/$E$42)</f>
        <v>9.3631536060263869</v>
      </c>
      <c r="T10" s="29">
        <f>$C$10*(1-(raw!R9-$D$42)/$E$42)</f>
        <v>6.5427159595744104</v>
      </c>
      <c r="U10" s="29">
        <f>$C$10*(1-(raw!S9-$D$42)/$E$42)</f>
        <v>9.0133386346771953</v>
      </c>
      <c r="V10" s="29">
        <f>$C$10*(1-(raw!T9-$D$42)/$E$42)</f>
        <v>9.6608802902445809</v>
      </c>
      <c r="W10" s="29">
        <f>$C$10*(1-(raw!U9-$D$42)/$E$42)</f>
        <v>9.453871406292869</v>
      </c>
      <c r="X10" s="29">
        <f>$C$10*(1-(raw!V9-$D$42)/$E$42)</f>
        <v>9.7690576255483119</v>
      </c>
      <c r="Y10" s="29">
        <f>$C$10*(1-(raw!W9-$D$42)/$E$42)</f>
        <v>9.7973976753717515</v>
      </c>
      <c r="Z10" s="30">
        <f t="shared" si="2"/>
        <v>6.5427159595744104</v>
      </c>
      <c r="AA10" s="30">
        <f t="shared" si="1"/>
        <v>10</v>
      </c>
      <c r="AB10" s="20">
        <f t="shared" si="3"/>
        <v>9.3156319571178461</v>
      </c>
      <c r="AC10" s="20">
        <f t="shared" si="4"/>
        <v>0.78073370182826873</v>
      </c>
      <c r="AD10" s="20">
        <f t="shared" si="5"/>
        <v>0.799106420284867</v>
      </c>
      <c r="AE10" s="20">
        <f t="shared" si="6"/>
        <v>0.799106420284867</v>
      </c>
    </row>
    <row r="11" spans="1:31" ht="16.5" thickTop="1" thickBot="1" x14ac:dyDescent="0.3">
      <c r="A11" s="15" t="str">
        <f>weights!A5</f>
        <v>LAX - Heathrow</v>
      </c>
      <c r="B11" s="15" t="s">
        <v>81</v>
      </c>
      <c r="C11" s="16">
        <v>5</v>
      </c>
      <c r="D11" s="29">
        <f>$C$11*(1-raw!B$25/$C$85)</f>
        <v>5</v>
      </c>
      <c r="E11" s="29">
        <f>$C$11*(1-raw!C$25/$C$85)</f>
        <v>5</v>
      </c>
      <c r="F11" s="29">
        <f>$C$11*(1-raw!D$25/$C$85)</f>
        <v>5</v>
      </c>
      <c r="G11" s="29">
        <f>$C$11*(1-raw!E$25/$C$85)</f>
        <v>5</v>
      </c>
      <c r="H11" s="29">
        <f>$C$11*(1-raw!F$25/$C$85)</f>
        <v>5</v>
      </c>
      <c r="I11" s="29">
        <f>$C$11*(1-raw!G$25/$C$85)</f>
        <v>5</v>
      </c>
      <c r="J11" s="29">
        <f>$C$11*(1-raw!H$25/$C$85)</f>
        <v>5</v>
      </c>
      <c r="K11" s="29">
        <f>$C$11*(1-raw!I$25/$C$85)</f>
        <v>5</v>
      </c>
      <c r="L11" s="29">
        <f>$C$11*(1-raw!J$25/$C$85)</f>
        <v>5</v>
      </c>
      <c r="M11" s="29">
        <f>$C$11*(1-raw!K$25/$C$85)</f>
        <v>5</v>
      </c>
      <c r="N11" s="29">
        <f>$C$11*(1-raw!L$25/$C$85)</f>
        <v>5</v>
      </c>
      <c r="O11" s="29">
        <f>$C$11*(1-raw!M$25/$C$85)</f>
        <v>5</v>
      </c>
      <c r="P11" s="29">
        <f>$C$11*(1-raw!N$25/$C$85)</f>
        <v>5</v>
      </c>
      <c r="Q11" s="29">
        <f>$C$11*(1-raw!O$25/$C$85)</f>
        <v>5</v>
      </c>
      <c r="R11" s="29">
        <f>$C$11*(1-raw!P$25/$C$85)</f>
        <v>5</v>
      </c>
      <c r="S11" s="29">
        <f>$C$11*(1-raw!Q$25/$C$85)</f>
        <v>5</v>
      </c>
      <c r="T11" s="29">
        <f>$C$11*(1-raw!R$25/$C$85)</f>
        <v>0</v>
      </c>
      <c r="U11" s="29">
        <f>$C$11*(1-raw!S$25/$C$85)</f>
        <v>2.330167592787229</v>
      </c>
      <c r="V11" s="29">
        <f>$C$11*(1-raw!T$25/$C$85)</f>
        <v>3.6632738233473394</v>
      </c>
      <c r="W11" s="29">
        <f>$C$11*(1-raw!U$25/$C$85)</f>
        <v>5</v>
      </c>
      <c r="X11" s="29">
        <f>$C$11*(1-raw!V$25/$C$85)</f>
        <v>5</v>
      </c>
      <c r="Y11" s="29">
        <f>$C$11*(1-raw!W$25/$C$85)</f>
        <v>5</v>
      </c>
      <c r="Z11" s="30"/>
      <c r="AA11" s="30"/>
      <c r="AB11" s="20"/>
      <c r="AC11" s="20"/>
      <c r="AD11" s="20"/>
      <c r="AE11" s="20"/>
    </row>
    <row r="12" spans="1:31" ht="16.5" thickTop="1" thickBot="1" x14ac:dyDescent="0.3">
      <c r="A12" s="15" t="str">
        <f>weights!A5</f>
        <v>LAX - Heathrow</v>
      </c>
      <c r="B12" s="15" t="str">
        <f>weights!B5</f>
        <v>Maximum coverage gap time</v>
      </c>
      <c r="C12" s="16">
        <v>10</v>
      </c>
      <c r="D12" s="29">
        <f>$C$12*(1-(raw!B10-$C$55)/$C$57)</f>
        <v>9.3284293720607181</v>
      </c>
      <c r="E12" s="29">
        <f>$C$12*(1-(raw!C10-$C$55)/$C$57)</f>
        <v>9.3526352196455846</v>
      </c>
      <c r="F12" s="29">
        <f>$C$12*(1-(raw!D10-$C$55)/$C$57)</f>
        <v>9.8450941130840732</v>
      </c>
      <c r="G12" s="29">
        <f>$C$12*(1-(raw!E10-$C$55)/$C$57)</f>
        <v>9.8677839618799918</v>
      </c>
      <c r="H12" s="29">
        <f>$C$12*(1-(raw!F10-$C$55)/$C$57)</f>
        <v>9.8864693761771871</v>
      </c>
      <c r="I12" s="29">
        <f>$C$12*(1-(raw!G10-$C$55)/$C$57)</f>
        <v>9.9028263676333772</v>
      </c>
      <c r="J12" s="29">
        <f>$C$12*(1-(raw!H10-$C$55)/$C$57)</f>
        <v>9.9261490560239523</v>
      </c>
      <c r="K12" s="29">
        <f>$C$12*(1-(raw!I10-$C$55)/$C$57)</f>
        <v>9.9301531468736588</v>
      </c>
      <c r="L12" s="29">
        <f>$C$12*(1-(raw!J10-$C$55)/$C$57)</f>
        <v>9.9419521841283327</v>
      </c>
      <c r="M12" s="29">
        <f>$C$12*(1-(raw!K10-$C$55)/$C$57)</f>
        <v>0</v>
      </c>
      <c r="N12" s="29">
        <f>$C$12*(1-(raw!L10-$C$55)/$C$57)</f>
        <v>5.4145302043966019</v>
      </c>
      <c r="O12" s="29">
        <f>$C$12*(1-(raw!M10-$C$55)/$C$57)</f>
        <v>9.8367171467731822</v>
      </c>
      <c r="P12" s="29">
        <f>$C$12*(1-(raw!N10-$C$55)/$C$57)</f>
        <v>9.9261490560239523</v>
      </c>
      <c r="Q12" s="29">
        <f>$C$12*(1-(raw!O10-$C$55)/$C$57)</f>
        <v>8.6304752149484028</v>
      </c>
      <c r="R12" s="29">
        <f>$C$12*(1-(raw!P10-$C$55)/$C$57)</f>
        <v>9.4671856657463866</v>
      </c>
      <c r="S12" s="29">
        <f>$C$12*(1-(raw!Q10-$C$55)/$C$57)</f>
        <v>9.8601352929602513</v>
      </c>
      <c r="T12" s="29">
        <f>$C$12*(1-(raw!R10-$C$55)/$C$57)</f>
        <v>8.3663339769447713</v>
      </c>
      <c r="U12" s="29">
        <f>$C$12*(1-(raw!S10-$C$55)/$C$57)</f>
        <v>9.4140961789258224</v>
      </c>
      <c r="V12" s="29">
        <f>$C$12*(1-(raw!T10-$C$55)/$C$57)</f>
        <v>9.7555396191345896</v>
      </c>
      <c r="W12" s="29">
        <f>$C$12*(1-(raw!U10-$C$55)/$C$57)</f>
        <v>9.9261490560239523</v>
      </c>
      <c r="X12" s="29">
        <f>$C$12*(1-(raw!V10-$C$55)/$C$57)</f>
        <v>9.887032167280065</v>
      </c>
      <c r="Y12" s="29">
        <f>$C$12*(1-(raw!W10-$C$55)/$C$57)</f>
        <v>10</v>
      </c>
      <c r="Z12" s="30">
        <f t="shared" si="2"/>
        <v>0</v>
      </c>
      <c r="AA12" s="30">
        <f t="shared" si="1"/>
        <v>10</v>
      </c>
      <c r="AB12" s="20">
        <f t="shared" si="3"/>
        <v>9.0211743807574933</v>
      </c>
      <c r="AC12" s="20">
        <f t="shared" si="4"/>
        <v>2.1970769069290323</v>
      </c>
      <c r="AD12" s="20">
        <f t="shared" si="5"/>
        <v>2.248779908021433</v>
      </c>
      <c r="AE12" s="20">
        <f t="shared" si="6"/>
        <v>2.248779908021433</v>
      </c>
    </row>
    <row r="13" spans="1:31" ht="16.5" thickTop="1" thickBot="1" x14ac:dyDescent="0.3">
      <c r="A13" s="15" t="str">
        <f>weights!A6</f>
        <v>LAX - Heathrow</v>
      </c>
      <c r="B13" s="15" t="str">
        <f>weights!B6</f>
        <v>Minimum Received RX Power</v>
      </c>
      <c r="C13" s="16">
        <v>15</v>
      </c>
      <c r="D13" s="29">
        <f>$C13*((raw!B11-$C$38)/$C$40)</f>
        <v>14.037096774193486</v>
      </c>
      <c r="E13" s="29">
        <f>$C13*((raw!C11-$C$38)/$C$40)</f>
        <v>11.874193548387019</v>
      </c>
      <c r="F13" s="29">
        <f>$C13*((raw!D11-$C$38)/$C$40)</f>
        <v>9.919354838709614</v>
      </c>
      <c r="G13" s="29">
        <f>$C13*((raw!E11-$C$38)/$C$40)</f>
        <v>8.1241935483871224</v>
      </c>
      <c r="H13" s="29">
        <f>$C13*((raw!F11-$C$38)/$C$40)</f>
        <v>6.469354838709636</v>
      </c>
      <c r="I13" s="29">
        <f>$C13*((raw!G11-$C$38)/$C$40)</f>
        <v>4.9306451612902205</v>
      </c>
      <c r="J13" s="29">
        <f>$C13*((raw!H11-$C$38)/$C$40)</f>
        <v>3.4935483870966841</v>
      </c>
      <c r="K13" s="29">
        <f>$C13*((raw!I11-$C$38)/$C$40)</f>
        <v>2.1435483870966991</v>
      </c>
      <c r="L13" s="29">
        <f>$C13*((raw!J11-$C$38)/$C$40)</f>
        <v>0.87096774193538096</v>
      </c>
      <c r="M13" s="29">
        <f>$C13*((raw!K11-$C$38)/$C$40)</f>
        <v>3.827419354838701</v>
      </c>
      <c r="N13" s="29">
        <f>$C13*((raw!L11-$C$38)/$C$40)</f>
        <v>3.7161290322580744</v>
      </c>
      <c r="O13" s="29">
        <f>$C13*((raw!M11-$C$38)/$C$40)</f>
        <v>3.6000000000000059</v>
      </c>
      <c r="P13" s="29">
        <f>$C13*((raw!N11-$C$38)/$C$40)</f>
        <v>3.4935483870966841</v>
      </c>
      <c r="Q13" s="29">
        <f>$C13*((raw!O11-$C$38)/$C$40)</f>
        <v>3.4161290322580169</v>
      </c>
      <c r="R13" s="29">
        <f>$C13*((raw!P11-$C$38)/$C$40)</f>
        <v>3.3677419354838674</v>
      </c>
      <c r="S13" s="29">
        <f>$C13*((raw!Q11-$C$38)/$C$40)</f>
        <v>3.3483870967740974</v>
      </c>
      <c r="T13" s="29">
        <f>$C13*((raw!R11-$C$38)/$C$40)</f>
        <v>3.4935483870966841</v>
      </c>
      <c r="U13" s="29">
        <f>$C13*((raw!S11-$C$38)/$C$40)</f>
        <v>3.4935483870966841</v>
      </c>
      <c r="V13" s="29">
        <f>$C13*((raw!T11-$C$38)/$C$40)</f>
        <v>3.4935483870966841</v>
      </c>
      <c r="W13" s="29">
        <f>$C13*((raw!U11-$C$38)/$C$40)</f>
        <v>3.4935483870966841</v>
      </c>
      <c r="X13" s="29">
        <f>$C13*((raw!V11-$C$38)/$C$40)</f>
        <v>3.4935483870966841</v>
      </c>
      <c r="Y13" s="29">
        <f>$C13*((raw!W11-$C$38)/$C$40)</f>
        <v>3.4935483870966841</v>
      </c>
      <c r="Z13" s="30">
        <f t="shared" si="2"/>
        <v>0.87096774193538096</v>
      </c>
      <c r="AA13" s="30">
        <f t="shared" si="1"/>
        <v>14.037096774193486</v>
      </c>
      <c r="AB13" s="20">
        <f t="shared" si="3"/>
        <v>4.8906158357770639</v>
      </c>
      <c r="AC13" s="20">
        <f t="shared" si="4"/>
        <v>3.1696879842653605</v>
      </c>
      <c r="AD13" s="20">
        <f t="shared" si="5"/>
        <v>3.244279083373542</v>
      </c>
      <c r="AE13" s="20">
        <f t="shared" si="6"/>
        <v>3.244279083373542</v>
      </c>
    </row>
    <row r="14" spans="1:31" ht="16.5" thickTop="1" thickBot="1" x14ac:dyDescent="0.3">
      <c r="A14" s="15" t="str">
        <f>weights!A7</f>
        <v>LAX - Narita</v>
      </c>
      <c r="B14" s="15" t="str">
        <f>weights!B7</f>
        <v>Fraction of coverage gap to total time analysed</v>
      </c>
      <c r="C14" s="16">
        <v>20</v>
      </c>
      <c r="D14" s="29">
        <f>$C$14*(1-(raw!B12-$C$59)/$C$61)</f>
        <v>7.9062393566848677</v>
      </c>
      <c r="E14" s="29">
        <f>$C$14*(1-(raw!C12-$C$59)/$C$61)</f>
        <v>9.0615638921695396</v>
      </c>
      <c r="F14" s="29">
        <f>$C$14*(1-(raw!D12-$C$59)/$C$61)</f>
        <v>10.104899007278316</v>
      </c>
      <c r="G14" s="29">
        <f>$C$14*(1-(raw!E12-$C$59)/$C$61)</f>
        <v>11.047958624016395</v>
      </c>
      <c r="H14" s="29">
        <f>$C$14*(1-(raw!F12-$C$59)/$C$61)</f>
        <v>11.940522305497289</v>
      </c>
      <c r="I14" s="29">
        <f>$C$14*(1-(raw!G12-$C$59)/$C$61)</f>
        <v>12.766036480770451</v>
      </c>
      <c r="J14" s="29">
        <f>$C$14*(1-(raw!H12-$C$59)/$C$61)</f>
        <v>13.490874964443865</v>
      </c>
      <c r="K14" s="29">
        <f>$C$14*(1-(raw!I12-$C$59)/$C$61)</f>
        <v>14.213494876505957</v>
      </c>
      <c r="L14" s="29">
        <f>$C$14*(1-(raw!J12-$C$59)/$C$61)</f>
        <v>14.983038921433295</v>
      </c>
      <c r="M14" s="29">
        <f>$C$14*(1-(raw!K12-$C$59)/$C$61)</f>
        <v>8.1895542157323842</v>
      </c>
      <c r="N14" s="29">
        <f>$C$14*(1-(raw!L12-$C$59)/$C$61)</f>
        <v>11.026634244439336</v>
      </c>
      <c r="O14" s="29">
        <f>$C$14*(1-(raw!M12-$C$59)/$C$61)</f>
        <v>12.387935922623981</v>
      </c>
      <c r="P14" s="29">
        <f>$C$14*(1-(raw!N12-$C$59)/$C$61)</f>
        <v>13.490874964443865</v>
      </c>
      <c r="Q14" s="29">
        <f>$C$14*(1-(raw!O12-$C$59)/$C$61)</f>
        <v>12.155570787626143</v>
      </c>
      <c r="R14" s="29">
        <f>$C$14*(1-(raw!P12-$C$59)/$C$61)</f>
        <v>10.149565656585867</v>
      </c>
      <c r="S14" s="29">
        <f>$C$14*(1-(raw!Q12-$C$59)/$C$61)</f>
        <v>10.033920282720615</v>
      </c>
      <c r="T14" s="29">
        <f>$C$14*(1-(raw!R12-$C$59)/$C$61)</f>
        <v>0</v>
      </c>
      <c r="U14" s="29">
        <f>$C$14*(1-(raw!S12-$C$59)/$C$61)</f>
        <v>7.4366328258864556</v>
      </c>
      <c r="V14" s="29">
        <f>$C$14*(1-(raw!T12-$C$59)/$C$61)</f>
        <v>13.345490773387425</v>
      </c>
      <c r="W14" s="29">
        <f>$C$14*(1-(raw!U12-$C$59)/$C$61)</f>
        <v>13.490775267681542</v>
      </c>
      <c r="X14" s="29">
        <f>$C$14*(1-(raw!V12-$C$59)/$C$61)</f>
        <v>14.667997555643051</v>
      </c>
      <c r="Y14" s="29">
        <f>$C$14*(1-(raw!W12-$C$59)/$C$61)</f>
        <v>20</v>
      </c>
      <c r="Z14" s="30">
        <f t="shared" si="2"/>
        <v>0</v>
      </c>
      <c r="AA14" s="30">
        <f t="shared" si="1"/>
        <v>20</v>
      </c>
      <c r="AB14" s="20">
        <f t="shared" si="3"/>
        <v>11.449526405707756</v>
      </c>
      <c r="AC14" s="20">
        <f t="shared" si="4"/>
        <v>3.7231765070510172</v>
      </c>
      <c r="AD14" s="20">
        <f t="shared" si="5"/>
        <v>3.8107926475712546</v>
      </c>
      <c r="AE14" s="20">
        <f t="shared" si="6"/>
        <v>3.8107926475712546</v>
      </c>
    </row>
    <row r="15" spans="1:31" ht="16.5" thickTop="1" thickBot="1" x14ac:dyDescent="0.3">
      <c r="A15" s="15" t="str">
        <f>weights!A8</f>
        <v>LAX - Narita</v>
      </c>
      <c r="B15" s="15" t="s">
        <v>80</v>
      </c>
      <c r="C15" s="16">
        <v>10</v>
      </c>
      <c r="D15" s="29">
        <f>$C$14*(1-(raw!B15-$D$43)/$E$43)</f>
        <v>19.396119039412071</v>
      </c>
      <c r="E15" s="29">
        <f>$C$14*(1-(raw!C15-$D$43)/$E$43)</f>
        <v>19.429558219638704</v>
      </c>
      <c r="F15" s="29">
        <f>$C$14*(1-(raw!D15-$D$43)/$E$43)</f>
        <v>19.455807349042075</v>
      </c>
      <c r="G15" s="29">
        <f>$C$14*(1-(raw!E15-$D$43)/$E$43)</f>
        <v>19.374883462735678</v>
      </c>
      <c r="H15" s="29">
        <f>$C$14*(1-(raw!F15-$D$43)/$E$43)</f>
        <v>19.34010560703236</v>
      </c>
      <c r="I15" s="29">
        <f>$C$14*(1-(raw!G15-$D$43)/$E$43)</f>
        <v>19.281104461762546</v>
      </c>
      <c r="J15" s="29">
        <f>$C$14*(1-(raw!H15-$D$43)/$E$43)</f>
        <v>19.259201246832738</v>
      </c>
      <c r="K15" s="29">
        <f>$C$14*(1-(raw!I15-$D$43)/$E$43)</f>
        <v>19.186851065970611</v>
      </c>
      <c r="L15" s="29">
        <f>$C$14*(1-(raw!J15-$D$43)/$E$43)</f>
        <v>19.139169275555584</v>
      </c>
      <c r="M15" s="29">
        <f>$C$14*(1-(raw!K15-$D$43)/$E$43)</f>
        <v>19.240874172130468</v>
      </c>
      <c r="N15" s="29">
        <f>$C$14*(1-(raw!L15-$D$43)/$E$43)</f>
        <v>19.237409629712882</v>
      </c>
      <c r="O15" s="29">
        <f>$C$14*(1-(raw!M15-$D$43)/$E$43)</f>
        <v>19.233832321909862</v>
      </c>
      <c r="P15" s="29">
        <f>$C$14*(1-(raw!N15-$D$43)/$E$43)</f>
        <v>19.259201246832738</v>
      </c>
      <c r="Q15" s="29">
        <f>$C$14*(1-(raw!O15-$D$43)/$E$43)</f>
        <v>19.399315740748285</v>
      </c>
      <c r="R15" s="29">
        <f>$C$14*(1-(raw!P15-$D$43)/$E$43)</f>
        <v>19.397817684677744</v>
      </c>
      <c r="S15" s="29">
        <f>$C$14*(1-(raw!Q15-$D$43)/$E$43)</f>
        <v>19.454850898148571</v>
      </c>
      <c r="T15" s="29">
        <f>$C$14*(1-(raw!R15-$D$43)/$E$43)</f>
        <v>13.122826514566185</v>
      </c>
      <c r="U15" s="29">
        <f>$C$14*(1-(raw!S15-$D$43)/$E$43)</f>
        <v>18.672443442729318</v>
      </c>
      <c r="V15" s="29">
        <f>$C$14*(1-(raw!T15-$D$43)/$E$43)</f>
        <v>19.019927694282124</v>
      </c>
      <c r="W15" s="29">
        <f>$C$14*(1-(raw!U15-$D$43)/$E$43)</f>
        <v>19.259201246832738</v>
      </c>
      <c r="X15" s="29">
        <f>$C$14*(1-(raw!V15-$D$43)/$E$43)</f>
        <v>20</v>
      </c>
      <c r="Y15" s="29">
        <f>$C$14*(1-(raw!W15-$D$43)/$E$43)</f>
        <v>18.184753481466146</v>
      </c>
      <c r="Z15" s="30">
        <f t="shared" si="2"/>
        <v>13.122826514566185</v>
      </c>
      <c r="AA15" s="30">
        <f t="shared" si="1"/>
        <v>20</v>
      </c>
      <c r="AB15" s="20">
        <f t="shared" si="3"/>
        <v>18.9702388091827</v>
      </c>
      <c r="AC15" s="20">
        <f t="shared" si="4"/>
        <v>1.3164677141029222</v>
      </c>
      <c r="AD15" s="20">
        <f t="shared" si="5"/>
        <v>1.3474476636193513</v>
      </c>
      <c r="AE15" s="20">
        <f t="shared" si="6"/>
        <v>1.3474476636193513</v>
      </c>
    </row>
    <row r="16" spans="1:31" ht="16.5" thickTop="1" thickBot="1" x14ac:dyDescent="0.3">
      <c r="A16" s="15" t="str">
        <f>weights!A9</f>
        <v>LAX - Narita</v>
      </c>
      <c r="B16" s="15" t="s">
        <v>81</v>
      </c>
      <c r="C16" s="16">
        <v>5</v>
      </c>
      <c r="D16" s="29">
        <f>$C$16*(1-raw!B$26/$C$89)</f>
        <v>5</v>
      </c>
      <c r="E16" s="29">
        <f>$C$16*(1-raw!C$26/$C$89)</f>
        <v>4.6079326747460421</v>
      </c>
      <c r="F16" s="29">
        <f>$C$16*(1-raw!D$26/$C$89)</f>
        <v>4.4978110210979407</v>
      </c>
      <c r="G16" s="29">
        <f>$C$16*(1-raw!E$26/$C$89)</f>
        <v>4.8092593591676893</v>
      </c>
      <c r="H16" s="29">
        <f>$C$16*(1-raw!F$26/$C$89)</f>
        <v>4.7538925913886683</v>
      </c>
      <c r="I16" s="29">
        <f>$C$16*(1-raw!G$26/$C$89)</f>
        <v>4.8037875995436981</v>
      </c>
      <c r="J16" s="29">
        <f>$C$16*(1-raw!H$26/$C$89)</f>
        <v>4.7127208749702127</v>
      </c>
      <c r="K16" s="29">
        <f>$C$16*(1-raw!I$26/$C$89)</f>
        <v>4.7970936085026326</v>
      </c>
      <c r="L16" s="29">
        <f>$C$16*(1-raw!J$26/$C$89)</f>
        <v>4.792284732151133</v>
      </c>
      <c r="M16" s="29">
        <f>$C$16*(1-raw!K$26/$C$89)</f>
        <v>5</v>
      </c>
      <c r="N16" s="29">
        <f>$C$16*(1-raw!L$26/$C$89)</f>
        <v>4.8478535059951193</v>
      </c>
      <c r="O16" s="29">
        <f>$C$16*(1-raw!M$26/$C$89)</f>
        <v>5</v>
      </c>
      <c r="P16" s="29">
        <f>$C$16*(1-raw!N$26/$C$89)</f>
        <v>4.7127208749702127</v>
      </c>
      <c r="Q16" s="29">
        <f>$C$16*(1-raw!O$26/$C$89)</f>
        <v>5</v>
      </c>
      <c r="R16" s="29">
        <f>$C$16*(1-raw!P$26/$C$89)</f>
        <v>5</v>
      </c>
      <c r="S16" s="29">
        <f>$C$16*(1-raw!Q$26/$C$89)</f>
        <v>4.8753143267596233</v>
      </c>
      <c r="T16" s="29">
        <f>$C$16*(1-raw!R$26/$C$89)</f>
        <v>0</v>
      </c>
      <c r="U16" s="29">
        <f>$C$16*(1-raw!S$26/$C$89)</f>
        <v>3.3966806225816546</v>
      </c>
      <c r="V16" s="29">
        <f>$C$16*(1-raw!T$26/$C$89)</f>
        <v>3.6250923610844104</v>
      </c>
      <c r="W16" s="29">
        <f>$C$16*(1-raw!U$26/$C$89)</f>
        <v>4.7126785287685085</v>
      </c>
      <c r="X16" s="29">
        <f>$C$16*(1-raw!V$26/$C$89)</f>
        <v>4.7683963830117335</v>
      </c>
      <c r="Y16" s="29">
        <f>$C$16*(1-raw!W$26/$C$89)</f>
        <v>5</v>
      </c>
      <c r="Z16" s="30"/>
      <c r="AA16" s="30"/>
      <c r="AB16" s="20"/>
      <c r="AC16" s="20"/>
      <c r="AD16" s="20"/>
      <c r="AE16" s="20"/>
    </row>
    <row r="17" spans="1:31" ht="16.5" thickTop="1" thickBot="1" x14ac:dyDescent="0.3">
      <c r="A17" s="15" t="str">
        <f>weights!A9</f>
        <v>LAX - Narita</v>
      </c>
      <c r="B17" s="15" t="str">
        <f>weights!B9</f>
        <v>Maximum coverage gap time</v>
      </c>
      <c r="C17" s="16">
        <v>10</v>
      </c>
      <c r="D17" s="29">
        <f>$C$17*(1-(raw!B16-$C$67)/$C$69)</f>
        <v>2.9930072940835273</v>
      </c>
      <c r="E17" s="29">
        <f>$C$17*(1-(raw!C16-$C$67)/$C$69)</f>
        <v>4.9754117423343045</v>
      </c>
      <c r="F17" s="29">
        <f>$C$17*(1-(raw!D16-$C$67)/$C$69)</f>
        <v>6.9912471518893469</v>
      </c>
      <c r="G17" s="29">
        <f>$C$17*(1-(raw!E16-$C$67)/$C$69)</f>
        <v>9.0493394282643465</v>
      </c>
      <c r="H17" s="29">
        <f>$C$17*(1-(raw!F16-$C$67)/$C$69)</f>
        <v>9.2119441149545693</v>
      </c>
      <c r="I17" s="29">
        <f>$C$17*(1-(raw!G16-$C$67)/$C$69)</f>
        <v>9.2697309986046132</v>
      </c>
      <c r="J17" s="29">
        <f>$C$17*(1-(raw!H16-$C$67)/$C$69)</f>
        <v>9.3092068513617328</v>
      </c>
      <c r="K17" s="29">
        <f>$C$17*(1-(raw!I16-$C$67)/$C$69)</f>
        <v>9.4047270816680868</v>
      </c>
      <c r="L17" s="29">
        <f>$C$17*(1-(raw!J16-$C$67)/$C$69)</f>
        <v>9.4895431322484001</v>
      </c>
      <c r="M17" s="29">
        <f>$C$17*(1-(raw!K16-$C$67)/$C$69)</f>
        <v>9.1126519511459385</v>
      </c>
      <c r="N17" s="29">
        <f>$C$17*(1-(raw!L16-$C$67)/$C$69)</f>
        <v>9.1667592733725982</v>
      </c>
      <c r="O17" s="29">
        <f>$C$17*(1-(raw!M16-$C$67)/$C$69)</f>
        <v>8.8118964724443174</v>
      </c>
      <c r="P17" s="29">
        <f>$C$17*(1-(raw!N16-$C$67)/$C$69)</f>
        <v>9.3092068513617328</v>
      </c>
      <c r="Q17" s="29">
        <f>$C$17*(1-(raw!O16-$C$67)/$C$69)</f>
        <v>0</v>
      </c>
      <c r="R17" s="29">
        <f>$C$17*(1-(raw!P16-$C$67)/$C$69)</f>
        <v>7.3963893557177141</v>
      </c>
      <c r="S17" s="29">
        <f>$C$17*(1-(raw!Q16-$C$67)/$C$69)</f>
        <v>9.0556488470400502</v>
      </c>
      <c r="T17" s="29">
        <f>$C$17*(1-(raw!R16-$C$67)/$C$69)</f>
        <v>2.9306227082387517</v>
      </c>
      <c r="U17" s="29">
        <f>$C$17*(1-(raw!S16-$C$67)/$C$69)</f>
        <v>7.2229853175353975</v>
      </c>
      <c r="V17" s="29">
        <f>$C$17*(1-(raw!T16-$C$67)/$C$69)</f>
        <v>8.6398850419386335</v>
      </c>
      <c r="W17" s="29">
        <f>$C$17*(1-(raw!U16-$C$67)/$C$69)</f>
        <v>9.3092068513617328</v>
      </c>
      <c r="X17" s="29">
        <f>$C$17*(1-(raw!V16-$C$67)/$C$69)</f>
        <v>9.595999873201448</v>
      </c>
      <c r="Y17" s="29">
        <f>$C$17*(1-(raw!W16-$C$67)/$C$69)</f>
        <v>10</v>
      </c>
      <c r="Z17" s="30">
        <f t="shared" si="2"/>
        <v>0</v>
      </c>
      <c r="AA17" s="30">
        <f t="shared" si="1"/>
        <v>10</v>
      </c>
      <c r="AB17" s="20">
        <f t="shared" si="3"/>
        <v>7.7838822881257821</v>
      </c>
      <c r="AC17" s="20">
        <f t="shared" si="4"/>
        <v>2.6087317429365484</v>
      </c>
      <c r="AD17" s="20">
        <f t="shared" si="5"/>
        <v>2.6701220655645161</v>
      </c>
      <c r="AE17" s="20">
        <f t="shared" si="6"/>
        <v>2.6701220655645161</v>
      </c>
    </row>
    <row r="18" spans="1:31" ht="16.5" thickTop="1" thickBot="1" x14ac:dyDescent="0.3">
      <c r="A18" s="15" t="str">
        <f>weights!A10</f>
        <v>LAX - Narita</v>
      </c>
      <c r="B18" s="15" t="str">
        <f>weights!B10</f>
        <v>Minimum Received RX Power</v>
      </c>
      <c r="C18" s="16">
        <v>15</v>
      </c>
      <c r="D18" s="29">
        <f>$C18*((raw!B17-$C$38)/$C$40)</f>
        <v>14.061290322580561</v>
      </c>
      <c r="E18" s="29">
        <f>$C18*((raw!C17-$C$38)/$C$40)</f>
        <v>11.903225806451536</v>
      </c>
      <c r="F18" s="29">
        <f>$C18*((raw!D17-$C$38)/$C$40)</f>
        <v>9.9435483870966888</v>
      </c>
      <c r="G18" s="29">
        <f>$C18*((raw!E17-$C$38)/$C$40)</f>
        <v>8.1483870967741971</v>
      </c>
      <c r="H18" s="29">
        <f>$C18*((raw!F17-$C$38)/$C$40)</f>
        <v>6.4935483870967108</v>
      </c>
      <c r="I18" s="29">
        <f>$C18*((raw!G17-$C$38)/$C$40)</f>
        <v>4.9548387096774329</v>
      </c>
      <c r="J18" s="29">
        <f>$C18*((raw!H17-$C$38)/$C$40)</f>
        <v>3.5177419354837589</v>
      </c>
      <c r="K18" s="29">
        <f>$C18*((raw!I17-$C$38)/$C$40)</f>
        <v>2.1629032258064687</v>
      </c>
      <c r="L18" s="29">
        <f>$C18*((raw!J17-$C$38)/$C$40)</f>
        <v>0.8903225806451508</v>
      </c>
      <c r="M18" s="29">
        <f>$C18*((raw!K17-$C$38)/$C$40)</f>
        <v>3.827419354838701</v>
      </c>
      <c r="N18" s="29">
        <f>$C18*((raw!L17-$C$38)/$C$40)</f>
        <v>3.7161290322580744</v>
      </c>
      <c r="O18" s="29">
        <f>$C18*((raw!M17-$C$38)/$C$40)</f>
        <v>3.6048387096773102</v>
      </c>
      <c r="P18" s="29">
        <f>$C18*((raw!N17-$C$38)/$C$40)</f>
        <v>3.5177419354837589</v>
      </c>
      <c r="Q18" s="29">
        <f>$C18*((raw!O17-$C$38)/$C$40)</f>
        <v>3.4499999999999762</v>
      </c>
      <c r="R18" s="29">
        <f>$C18*((raw!P17-$C$38)/$C$40)</f>
        <v>3.4209677419354594</v>
      </c>
      <c r="S18" s="29">
        <f>$C18*((raw!Q17-$C$38)/$C$40)</f>
        <v>3.5564516129031607</v>
      </c>
      <c r="T18" s="29">
        <f>$C18*((raw!R17-$C$38)/$C$40)</f>
        <v>3.5177419354837589</v>
      </c>
      <c r="U18" s="29">
        <f>$C18*((raw!S17-$C$38)/$C$40)</f>
        <v>3.5177419354837589</v>
      </c>
      <c r="V18" s="29">
        <f>$C18*((raw!T17-$C$38)/$C$40)</f>
        <v>3.5177419354837589</v>
      </c>
      <c r="W18" s="29">
        <f>$C18*((raw!U17-$C$38)/$C$40)</f>
        <v>3.5177419354837589</v>
      </c>
      <c r="X18" s="29">
        <f>$C18*((raw!V17-$C$38)/$C$40)</f>
        <v>3.5177419354837589</v>
      </c>
      <c r="Y18" s="29">
        <f>$C18*((raw!W17-$C$38)/$C$40)</f>
        <v>3.5177419354837589</v>
      </c>
      <c r="Z18" s="30">
        <f t="shared" si="2"/>
        <v>0.8903225806451508</v>
      </c>
      <c r="AA18" s="30">
        <f t="shared" si="1"/>
        <v>14.061290322580561</v>
      </c>
      <c r="AB18" s="20">
        <f t="shared" si="3"/>
        <v>4.9216275659823401</v>
      </c>
      <c r="AC18" s="20">
        <f t="shared" si="4"/>
        <v>3.1671238466778591</v>
      </c>
      <c r="AD18" s="20">
        <f t="shared" si="5"/>
        <v>3.2416546048812371</v>
      </c>
      <c r="AE18" s="20">
        <f t="shared" si="6"/>
        <v>3.2416546048812371</v>
      </c>
    </row>
    <row r="19" spans="1:31" ht="16.5" thickTop="1" thickBot="1" x14ac:dyDescent="0.3">
      <c r="A19" s="15" t="str">
        <f>weights!A11</f>
        <v>LAX - Sydney</v>
      </c>
      <c r="B19" s="15" t="str">
        <f>weights!B11</f>
        <v>Fraction of coverage gap to total time analysed</v>
      </c>
      <c r="C19" s="16">
        <v>20</v>
      </c>
      <c r="D19" s="29">
        <f>$C$19*(1-(raw!B18-$C$71)/$C$73)</f>
        <v>6.034035317834034</v>
      </c>
      <c r="E19" s="29">
        <f>$C$19*(1-(raw!C18-$C$71)/$C$73)</f>
        <v>7.0328927951743303</v>
      </c>
      <c r="F19" s="29">
        <f>$C$19*(1-(raw!D18-$C$71)/$C$73)</f>
        <v>8.1623259615468786</v>
      </c>
      <c r="G19" s="29">
        <f>$C$19*(1-(raw!E18-$C$71)/$C$73)</f>
        <v>9.1293639192356952</v>
      </c>
      <c r="H19" s="29">
        <f>$C$19*(1-(raw!F18-$C$71)/$C$73)</f>
        <v>9.9917853420687308</v>
      </c>
      <c r="I19" s="29">
        <f>$C$19*(1-(raw!G18-$C$71)/$C$73)</f>
        <v>11.087964285085711</v>
      </c>
      <c r="J19" s="29">
        <f>$C$19*(1-(raw!H18-$C$71)/$C$73)</f>
        <v>12.117460620960543</v>
      </c>
      <c r="K19" s="29">
        <f>$C$19*(1-(raw!I18-$C$71)/$C$73)</f>
        <v>13.010420607879791</v>
      </c>
      <c r="L19" s="29">
        <f>$C$19*(1-(raw!J18-$C$71)/$C$73)</f>
        <v>13.990940414537139</v>
      </c>
      <c r="M19" s="29">
        <f>$C$19*(1-(raw!K18-$C$71)/$C$73)</f>
        <v>20</v>
      </c>
      <c r="N19" s="29">
        <f>$C$19*(1-(raw!L18-$C$71)/$C$73)</f>
        <v>17.161775183007933</v>
      </c>
      <c r="O19" s="29">
        <f>$C$19*(1-(raw!M18-$C$71)/$C$73)</f>
        <v>14.277679312796039</v>
      </c>
      <c r="P19" s="29">
        <f>$C$19*(1-(raw!N18-$C$71)/$C$73)</f>
        <v>12.117460620960543</v>
      </c>
      <c r="Q19" s="29">
        <f>$C$19*(1-(raw!O18-$C$71)/$C$73)</f>
        <v>11.932064201094288</v>
      </c>
      <c r="R19" s="29">
        <f>$C$19*(1-(raw!P18-$C$71)/$C$73)</f>
        <v>11.988240844900417</v>
      </c>
      <c r="S19" s="29">
        <f>$C$19*(1-(raw!Q18-$C$71)/$C$73)</f>
        <v>12.176055216778849</v>
      </c>
      <c r="T19" s="29">
        <f>$C$19*(1-(raw!R18-$C$71)/$C$73)</f>
        <v>0</v>
      </c>
      <c r="U19" s="29">
        <f>$C$19*(1-(raw!S18-$C$71)/$C$73)</f>
        <v>5.6500946888309773</v>
      </c>
      <c r="V19" s="29">
        <f>$C$19*(1-(raw!T18-$C$71)/$C$73)</f>
        <v>8.0089225946842859</v>
      </c>
      <c r="W19" s="29">
        <f>$C$19*(1-(raw!U18-$C$71)/$C$73)</f>
        <v>12.117460620960543</v>
      </c>
      <c r="X19" s="29">
        <f>$C$19*(1-(raw!V18-$C$71)/$C$73)</f>
        <v>17.073157907327506</v>
      </c>
      <c r="Y19" s="29">
        <f>$C$19*(1-(raw!W18-$C$71)/$C$73)</f>
        <v>19.636693544326743</v>
      </c>
      <c r="Z19" s="30">
        <f t="shared" si="2"/>
        <v>0</v>
      </c>
      <c r="AA19" s="30">
        <f t="shared" si="1"/>
        <v>20</v>
      </c>
      <c r="AB19" s="20">
        <f t="shared" si="3"/>
        <v>11.486217909090497</v>
      </c>
      <c r="AC19" s="20">
        <f t="shared" si="4"/>
        <v>4.6097240497349841</v>
      </c>
      <c r="AD19" s="20">
        <f t="shared" si="5"/>
        <v>4.7182029868297475</v>
      </c>
      <c r="AE19" s="20">
        <f t="shared" si="6"/>
        <v>4.7182029868297475</v>
      </c>
    </row>
    <row r="20" spans="1:31" ht="16.5" thickTop="1" thickBot="1" x14ac:dyDescent="0.3">
      <c r="A20" s="15" t="str">
        <f>weights!A12</f>
        <v>LAX - Sydney</v>
      </c>
      <c r="B20" s="15" t="s">
        <v>80</v>
      </c>
      <c r="C20" s="16">
        <v>10</v>
      </c>
      <c r="D20" s="29">
        <f>$C$20*(1-(raw!B21-$D$44)/$E$44)</f>
        <v>9.620640788714633</v>
      </c>
      <c r="E20" s="29">
        <f>$C$20*(1-(raw!C21-$D$44)/$E$44)</f>
        <v>9.6408951715826348</v>
      </c>
      <c r="F20" s="29">
        <f>$C$20*(1-(raw!D21-$D$44)/$E$44)</f>
        <v>9.7155354675423027</v>
      </c>
      <c r="G20" s="29">
        <f>$C$20*(1-(raw!E21-$D$44)/$E$44)</f>
        <v>9.7337585218618994</v>
      </c>
      <c r="H20" s="29">
        <f>$C$20*(1-(raw!F21-$D$44)/$E$44)</f>
        <v>9.7610747921873457</v>
      </c>
      <c r="I20" s="29">
        <f>$C$20*(1-(raw!G21-$D$44)/$E$44)</f>
        <v>9.7910845785135905</v>
      </c>
      <c r="J20" s="29">
        <f>$C$20*(1-(raw!H21-$D$44)/$E$44)</f>
        <v>9.8285113426357089</v>
      </c>
      <c r="K20" s="29">
        <f>$C$20*(1-(raw!I21-$D$44)/$E$44)</f>
        <v>9.8268857422499085</v>
      </c>
      <c r="L20" s="29">
        <f>$C$20*(1-(raw!J21-$D$44)/$E$44)</f>
        <v>9.8258578382779032</v>
      </c>
      <c r="M20" s="29">
        <f>$C$20*(1-(raw!K21-$D$44)/$E$44)</f>
        <v>9.7437955126780835</v>
      </c>
      <c r="N20" s="29">
        <f>$C$20*(1-(raw!L21-$D$44)/$E$44)</f>
        <v>9.9159066932307525</v>
      </c>
      <c r="O20" s="29">
        <f>$C$20*(1-(raw!M21-$D$44)/$E$44)</f>
        <v>9.8734568450813498</v>
      </c>
      <c r="P20" s="29">
        <f>$C$20*(1-(raw!N21-$D$44)/$E$44)</f>
        <v>9.8285113426357089</v>
      </c>
      <c r="Q20" s="29">
        <f>$C$20*(1-(raw!O21-$D$44)/$E$44)</f>
        <v>9.8354441892606239</v>
      </c>
      <c r="R20" s="29">
        <f>$C$20*(1-(raw!P21-$D$44)/$E$44)</f>
        <v>9.8820159488740487</v>
      </c>
      <c r="S20" s="29">
        <f>$C$20*(1-(raw!Q21-$D$44)/$E$44)</f>
        <v>9.9423903345232052</v>
      </c>
      <c r="T20" s="29">
        <f>$C$20*(1-(raw!R21-$D$44)/$E$44)</f>
        <v>6.5233664415330006</v>
      </c>
      <c r="U20" s="29">
        <f>$C$20*(1-(raw!S21-$D$44)/$E$44)</f>
        <v>9.1409864107493828</v>
      </c>
      <c r="V20" s="29">
        <f>$C$20*(1-(raw!T21-$D$44)/$E$44)</f>
        <v>9.3190046016783263</v>
      </c>
      <c r="W20" s="29">
        <f>$C$20*(1-(raw!U21-$D$44)/$E$44)</f>
        <v>9.8285113426357089</v>
      </c>
      <c r="X20" s="29">
        <f>$C$20*(1-(raw!V21-$D$44)/$E$44)</f>
        <v>9.7585347043850295</v>
      </c>
      <c r="Y20" s="29">
        <f>$C$20*(1-(raw!W21-$D$44)/$E$44)</f>
        <v>10</v>
      </c>
      <c r="Z20" s="30">
        <f t="shared" si="2"/>
        <v>6.5233664415330006</v>
      </c>
      <c r="AA20" s="30">
        <f t="shared" si="1"/>
        <v>10</v>
      </c>
      <c r="AB20" s="20">
        <f t="shared" si="3"/>
        <v>9.6061894823105067</v>
      </c>
      <c r="AC20" s="20">
        <f t="shared" si="4"/>
        <v>0.69876531277393505</v>
      </c>
      <c r="AD20" s="20">
        <f t="shared" si="5"/>
        <v>0.71520909934132504</v>
      </c>
      <c r="AE20" s="20">
        <f t="shared" si="6"/>
        <v>0.71520909934132504</v>
      </c>
    </row>
    <row r="21" spans="1:31" ht="16.5" thickTop="1" thickBot="1" x14ac:dyDescent="0.3">
      <c r="A21" s="15" t="str">
        <f>weights!A13</f>
        <v>LAX - Sydney</v>
      </c>
      <c r="B21" s="15" t="s">
        <v>81</v>
      </c>
      <c r="C21" s="16">
        <v>5</v>
      </c>
      <c r="D21" s="29">
        <f>$C$21*(1-raw!B$27/$C$93)</f>
        <v>5</v>
      </c>
      <c r="E21" s="29">
        <f>$C$21*(1-raw!C$27/$C$93)</f>
        <v>5</v>
      </c>
      <c r="F21" s="29">
        <f>$C$21*(1-raw!D$27/$C$93)</f>
        <v>5</v>
      </c>
      <c r="G21" s="29">
        <f>$C$21*(1-raw!E$27/$C$93)</f>
        <v>5</v>
      </c>
      <c r="H21" s="29">
        <f>$C$21*(1-raw!F$27/$C$93)</f>
        <v>5</v>
      </c>
      <c r="I21" s="29">
        <f>$C$21*(1-raw!G$27/$C$93)</f>
        <v>5</v>
      </c>
      <c r="J21" s="29">
        <f>$C$21*(1-raw!H$27/$C$93)</f>
        <v>5</v>
      </c>
      <c r="K21" s="29">
        <f>$C$21*(1-raw!I$27/$C$93)</f>
        <v>5</v>
      </c>
      <c r="L21" s="29">
        <f>$C$21*(1-raw!J$27/$C$93)</f>
        <v>5</v>
      </c>
      <c r="M21" s="29">
        <f>$C$21*(1-raw!K$27/$C$93)</f>
        <v>5</v>
      </c>
      <c r="N21" s="29">
        <f>$C$21*(1-raw!L$27/$C$93)</f>
        <v>5</v>
      </c>
      <c r="O21" s="29">
        <f>$C$21*(1-raw!M$27/$C$93)</f>
        <v>5</v>
      </c>
      <c r="P21" s="29">
        <f>$C$21*(1-raw!N$27/$C$93)</f>
        <v>5</v>
      </c>
      <c r="Q21" s="29">
        <f>$C$21*(1-raw!O$27/$C$93)</f>
        <v>5</v>
      </c>
      <c r="R21" s="29">
        <f>$C$21*(1-raw!P$27/$C$93)</f>
        <v>5</v>
      </c>
      <c r="S21" s="29">
        <f>$C$21*(1-raw!Q$27/$C$93)</f>
        <v>5</v>
      </c>
      <c r="T21" s="29">
        <f>$C$21*(1-raw!R$27/$C$93)</f>
        <v>0</v>
      </c>
      <c r="U21" s="29">
        <f>$C$21*(1-raw!S$27/$C$93)</f>
        <v>2.4569804800004169</v>
      </c>
      <c r="V21" s="29">
        <f>$C$21*(1-raw!T$27/$C$93)</f>
        <v>5</v>
      </c>
      <c r="W21" s="29">
        <f>$C$21*(1-raw!U$27/$C$93)</f>
        <v>5</v>
      </c>
      <c r="X21" s="29">
        <f>$C$21*(1-raw!V$27/$C$93)</f>
        <v>5</v>
      </c>
      <c r="Y21" s="29">
        <f>$C$21*(1-raw!W$27/$C$93)</f>
        <v>5</v>
      </c>
      <c r="Z21" s="30"/>
      <c r="AA21" s="30"/>
      <c r="AB21" s="20"/>
      <c r="AC21" s="20"/>
      <c r="AD21" s="20"/>
      <c r="AE21" s="20"/>
    </row>
    <row r="22" spans="1:31" ht="16.5" thickTop="1" thickBot="1" x14ac:dyDescent="0.3">
      <c r="A22" s="15" t="str">
        <f>weights!A13</f>
        <v>LAX - Sydney</v>
      </c>
      <c r="B22" s="15" t="str">
        <f>weights!B13</f>
        <v>Maximum coverage gap time</v>
      </c>
      <c r="C22" s="16">
        <v>10</v>
      </c>
      <c r="D22" s="29">
        <f>$C$17*(1-(raw!B22-$C$79)/$C$81)</f>
        <v>1.4953209810781454</v>
      </c>
      <c r="E22" s="29">
        <f>$C$17*(1-(raw!C22-$C$79)/$C$81)</f>
        <v>1.4451342502490849</v>
      </c>
      <c r="F22" s="29">
        <f>$C$17*(1-(raw!D22-$C$79)/$C$81)</f>
        <v>2.2935292091069028</v>
      </c>
      <c r="G22" s="29">
        <f>$C$17*(1-(raw!E22-$C$79)/$C$81)</f>
        <v>3.1648932151431843</v>
      </c>
      <c r="H22" s="29">
        <f>$C$17*(1-(raw!F22-$C$79)/$C$81)</f>
        <v>4.0968004554905013</v>
      </c>
      <c r="I22" s="29">
        <f>$C$17*(1-(raw!G22-$C$79)/$C$81)</f>
        <v>4.9787765264371062</v>
      </c>
      <c r="J22" s="29">
        <f>$C$17*(1-(raw!H22-$C$79)/$C$81)</f>
        <v>5.8543563209479359</v>
      </c>
      <c r="K22" s="29">
        <f>$C$17*(1-(raw!I22-$C$79)/$C$81)</f>
        <v>5.8998404480052411</v>
      </c>
      <c r="L22" s="29">
        <f>$C$17*(1-(raw!J22-$C$79)/$C$81)</f>
        <v>6.812303294725746</v>
      </c>
      <c r="M22" s="29">
        <f>$C$17*(1-(raw!K22-$C$79)/$C$81)</f>
        <v>9.8924182437908073</v>
      </c>
      <c r="N22" s="29">
        <f>$C$17*(1-(raw!L22-$C$79)/$C$81)</f>
        <v>10</v>
      </c>
      <c r="O22" s="29">
        <f>$C$17*(1-(raw!M22-$C$79)/$C$81)</f>
        <v>7.0490069410219061</v>
      </c>
      <c r="P22" s="29">
        <f>$C$17*(1-(raw!N22-$C$79)/$C$81)</f>
        <v>5.8543563209479359</v>
      </c>
      <c r="Q22" s="29">
        <f>$C$17*(1-(raw!O22-$C$79)/$C$81)</f>
        <v>5.5854735395555952</v>
      </c>
      <c r="R22" s="29">
        <f>$C$17*(1-(raw!P22-$C$79)/$C$81)</f>
        <v>8.4494822211150016</v>
      </c>
      <c r="S22" s="29">
        <f>$C$17*(1-(raw!Q22-$C$79)/$C$81)</f>
        <v>9.0155658950917346</v>
      </c>
      <c r="T22" s="29">
        <f>$C$17*(1-(raw!R22-$C$79)/$C$81)</f>
        <v>0</v>
      </c>
      <c r="U22" s="29">
        <f>$C$17*(1-(raw!S22-$C$79)/$C$81)</f>
        <v>5.0199798256952359</v>
      </c>
      <c r="V22" s="29">
        <f>$C$17*(1-(raw!T22-$C$79)/$C$81)</f>
        <v>5.0762566851609092</v>
      </c>
      <c r="W22" s="29">
        <f>$C$17*(1-(raw!U22-$C$79)/$C$81)</f>
        <v>5.8543563209479359</v>
      </c>
      <c r="X22" s="29">
        <f>$C$17*(1-(raw!V22-$C$79)/$C$81)</f>
        <v>5.523002092879473</v>
      </c>
      <c r="Y22" s="29">
        <f>$C$17*(1-(raw!W22-$C$79)/$C$81)</f>
        <v>5.8543543496963686</v>
      </c>
      <c r="Z22" s="30">
        <f t="shared" si="2"/>
        <v>0</v>
      </c>
      <c r="AA22" s="30">
        <f t="shared" si="1"/>
        <v>10</v>
      </c>
      <c r="AB22" s="20">
        <f t="shared" si="3"/>
        <v>5.4188730516857611</v>
      </c>
      <c r="AC22" s="20">
        <f t="shared" si="4"/>
        <v>2.5793138938160656</v>
      </c>
      <c r="AD22" s="20">
        <f t="shared" si="5"/>
        <v>2.6400119370429711</v>
      </c>
      <c r="AE22" s="20">
        <f t="shared" si="6"/>
        <v>2.6400119370429711</v>
      </c>
    </row>
    <row r="23" spans="1:31" ht="16.5" thickTop="1" thickBot="1" x14ac:dyDescent="0.3">
      <c r="A23" s="15" t="str">
        <f>weights!A14</f>
        <v>LAX - Sydney</v>
      </c>
      <c r="B23" s="15" t="str">
        <f>weights!B14</f>
        <v>Minimum Received RX Power</v>
      </c>
      <c r="C23" s="16">
        <v>15</v>
      </c>
      <c r="D23" s="29">
        <f>$C23*((raw!B23-$C$38)/$C$40)</f>
        <v>14.182258064516073</v>
      </c>
      <c r="E23" s="29">
        <f>$C23*((raw!C23-$C$38)/$C$40)</f>
        <v>11.903225806451536</v>
      </c>
      <c r="F23" s="29">
        <f>$C23*((raw!D23-$C$38)/$C$40)</f>
        <v>10.03064516129024</v>
      </c>
      <c r="G23" s="29">
        <f>$C23*((raw!E23-$C$38)/$C$40)</f>
        <v>8.2161290322579781</v>
      </c>
      <c r="H23" s="29">
        <f>$C23*((raw!F23-$C$38)/$C$40)</f>
        <v>6.5564516129031878</v>
      </c>
      <c r="I23" s="29">
        <f>$C23*((raw!G23-$C$38)/$C$40)</f>
        <v>5.0129032258064674</v>
      </c>
      <c r="J23" s="29">
        <f>$C23*((raw!H23-$C$38)/$C$40)</f>
        <v>3.5709677419354882</v>
      </c>
      <c r="K23" s="29">
        <f>$C23*((raw!I23-$C$38)/$C$40)</f>
        <v>2.2209677419353655</v>
      </c>
      <c r="L23" s="29">
        <f>$C23*((raw!J23-$C$38)/$C$40)</f>
        <v>0.94354838709674294</v>
      </c>
      <c r="M23" s="29">
        <f>$C23*((raw!K23-$C$38)/$C$40)</f>
        <v>3.827419354838701</v>
      </c>
      <c r="N23" s="29">
        <f>$C23*((raw!L23-$C$38)/$C$40)</f>
        <v>3.7306451612902642</v>
      </c>
      <c r="O23" s="29">
        <f>$C23*((raw!M23-$C$38)/$C$40)</f>
        <v>3.6435483870967129</v>
      </c>
      <c r="P23" s="29">
        <f>$C23*((raw!N23-$C$38)/$C$40)</f>
        <v>3.5709677419354882</v>
      </c>
      <c r="Q23" s="29">
        <f>$C23*((raw!O23-$C$38)/$C$40)</f>
        <v>3.5564516129031607</v>
      </c>
      <c r="R23" s="29">
        <f>$C23*((raw!P23-$C$38)/$C$40)</f>
        <v>3.5612903225806032</v>
      </c>
      <c r="S23" s="29">
        <f>$C23*((raw!Q23-$C$38)/$C$40)</f>
        <v>3.5564516129031607</v>
      </c>
      <c r="T23" s="29">
        <f>$C23*((raw!R23-$C$38)/$C$40)</f>
        <v>3.575806451612793</v>
      </c>
      <c r="U23" s="29">
        <f>$C23*((raw!S23-$C$38)/$C$40)</f>
        <v>3.5709677419354882</v>
      </c>
      <c r="V23" s="29">
        <f>$C23*((raw!T23-$C$38)/$C$40)</f>
        <v>3.575806451612793</v>
      </c>
      <c r="W23" s="29">
        <f>$C23*((raw!U23-$C$38)/$C$40)</f>
        <v>3.5709677419354882</v>
      </c>
      <c r="X23" s="29">
        <f>$C23*((raw!V23-$C$38)/$C$40)</f>
        <v>3.5709677419354882</v>
      </c>
      <c r="Y23" s="29">
        <f>$C23*((raw!W23-$C$38)/$C$40)</f>
        <v>3.5709677419354882</v>
      </c>
      <c r="Z23" s="30">
        <f t="shared" si="2"/>
        <v>0.94354838709674294</v>
      </c>
      <c r="AA23" s="30">
        <f t="shared" si="1"/>
        <v>14.182258064516073</v>
      </c>
      <c r="AB23" s="20">
        <f t="shared" si="3"/>
        <v>4.9781524926685785</v>
      </c>
      <c r="AC23" s="20">
        <f t="shared" si="4"/>
        <v>3.1736304473675458</v>
      </c>
      <c r="AD23" s="20">
        <f t="shared" si="5"/>
        <v>3.2483143230068703</v>
      </c>
      <c r="AE23" s="20">
        <f t="shared" si="6"/>
        <v>3.2483143230068703</v>
      </c>
    </row>
    <row r="24" spans="1:31" ht="15.75" thickTop="1" x14ac:dyDescent="0.25">
      <c r="C24" s="18" t="s">
        <v>43</v>
      </c>
      <c r="D24" s="20">
        <f>SUM(D8:D23)/SUM($C8:$C23)*100</f>
        <v>73.217396860552114</v>
      </c>
      <c r="E24" s="20">
        <f t="shared" ref="E24:Y24" si="7">SUM(E8:E23)/SUM($C8:$C23)*100</f>
        <v>72.214431292670326</v>
      </c>
      <c r="F24" s="20">
        <f t="shared" si="7"/>
        <v>72.500974956461775</v>
      </c>
      <c r="G24" s="20">
        <f t="shared" si="7"/>
        <v>72.73049772286106</v>
      </c>
      <c r="H24" s="20">
        <f t="shared" si="7"/>
        <v>71.949713804894543</v>
      </c>
      <c r="I24" s="20">
        <f t="shared" si="7"/>
        <v>71.389933887406983</v>
      </c>
      <c r="J24" s="20">
        <f t="shared" si="7"/>
        <v>70.691963328339327</v>
      </c>
      <c r="K24" s="20">
        <f t="shared" si="7"/>
        <v>69.672760858257348</v>
      </c>
      <c r="L24" s="20">
        <f t="shared" si="7"/>
        <v>69.22520970488803</v>
      </c>
      <c r="M24" s="20">
        <f t="shared" si="7"/>
        <v>60.153843720929601</v>
      </c>
      <c r="N24" s="20">
        <f t="shared" si="7"/>
        <v>67.465475352798776</v>
      </c>
      <c r="O24" s="20">
        <f t="shared" si="7"/>
        <v>70.554791413986479</v>
      </c>
      <c r="P24" s="20">
        <f t="shared" si="7"/>
        <v>70.691963328339327</v>
      </c>
      <c r="Q24" s="20">
        <f t="shared" si="7"/>
        <v>64.711402106785826</v>
      </c>
      <c r="R24" s="20">
        <f t="shared" si="7"/>
        <v>69.90201614497316</v>
      </c>
      <c r="S24" s="20">
        <f t="shared" si="7"/>
        <v>70.976753473514194</v>
      </c>
      <c r="T24" s="20">
        <f t="shared" si="7"/>
        <v>31.163811918089618</v>
      </c>
      <c r="U24" s="20">
        <f t="shared" si="7"/>
        <v>55.625018327998596</v>
      </c>
      <c r="V24" s="20">
        <f t="shared" si="7"/>
        <v>65.645744127708213</v>
      </c>
      <c r="W24" s="20">
        <f t="shared" si="7"/>
        <v>70.691919689138572</v>
      </c>
      <c r="X24" s="20">
        <f t="shared" si="7"/>
        <v>74.389302176596729</v>
      </c>
      <c r="Y24" s="20">
        <f t="shared" si="7"/>
        <v>78.450240587040483</v>
      </c>
      <c r="Z24" s="30">
        <f t="shared" si="2"/>
        <v>31.163811918089618</v>
      </c>
      <c r="AA24" s="30">
        <f>MAX(D24:Y24)</f>
        <v>78.450240587040483</v>
      </c>
      <c r="AB24" s="20">
        <f t="shared" si="3"/>
        <v>67.909780217465041</v>
      </c>
      <c r="AC24" s="20">
        <f t="shared" si="4"/>
        <v>9.2879626382906899</v>
      </c>
      <c r="AD24" s="20">
        <f t="shared" si="5"/>
        <v>9.5065328398704789</v>
      </c>
      <c r="AE24" s="20">
        <f t="shared" si="6"/>
        <v>9.5065328398704789</v>
      </c>
    </row>
    <row r="27" spans="1:31" x14ac:dyDescent="0.25">
      <c r="B27" s="11" t="s">
        <v>40</v>
      </c>
    </row>
    <row r="28" spans="1:31" x14ac:dyDescent="0.25">
      <c r="B28" s="18" t="s">
        <v>41</v>
      </c>
      <c r="C28" s="18">
        <v>18</v>
      </c>
      <c r="G28" s="18" t="s">
        <v>39</v>
      </c>
      <c r="H28" s="18" t="s">
        <v>38</v>
      </c>
      <c r="I28" s="18" t="s">
        <v>35</v>
      </c>
      <c r="J28" s="18" t="s">
        <v>37</v>
      </c>
      <c r="K28" s="18" t="s">
        <v>36</v>
      </c>
    </row>
    <row r="29" spans="1:31" x14ac:dyDescent="0.25">
      <c r="B29" s="18" t="s">
        <v>42</v>
      </c>
      <c r="C29" s="18">
        <v>1</v>
      </c>
    </row>
    <row r="30" spans="1:31" x14ac:dyDescent="0.25">
      <c r="B30" s="18" t="s">
        <v>44</v>
      </c>
      <c r="C30" s="18">
        <v>38689</v>
      </c>
    </row>
    <row r="31" spans="1:31" x14ac:dyDescent="0.25">
      <c r="B31" s="18" t="s">
        <v>45</v>
      </c>
      <c r="C31" s="18">
        <v>30</v>
      </c>
    </row>
    <row r="32" spans="1:31" x14ac:dyDescent="0.25">
      <c r="B32" s="18" t="s">
        <v>46</v>
      </c>
      <c r="C32" s="18">
        <v>84</v>
      </c>
    </row>
    <row r="33" spans="1:5" x14ac:dyDescent="0.25">
      <c r="B33" s="18" t="s">
        <v>47</v>
      </c>
      <c r="C33" s="18">
        <v>0.1</v>
      </c>
    </row>
    <row r="34" spans="1:5" x14ac:dyDescent="0.25">
      <c r="B34" s="18" t="s">
        <v>50</v>
      </c>
      <c r="C34" s="18">
        <v>34871</v>
      </c>
    </row>
    <row r="35" spans="1:5" x14ac:dyDescent="0.25">
      <c r="B35" s="18" t="s">
        <v>51</v>
      </c>
      <c r="C35" s="18">
        <v>47899</v>
      </c>
    </row>
    <row r="36" spans="1:5" x14ac:dyDescent="0.25">
      <c r="B36" s="18" t="s">
        <v>58</v>
      </c>
      <c r="C36" s="18">
        <v>-40</v>
      </c>
    </row>
    <row r="38" spans="1:5" x14ac:dyDescent="0.25">
      <c r="B38" s="18" t="s">
        <v>59</v>
      </c>
      <c r="C38" s="18">
        <v>-140.69999999999999</v>
      </c>
    </row>
    <row r="39" spans="1:5" x14ac:dyDescent="0.25">
      <c r="B39" s="18" t="s">
        <v>60</v>
      </c>
      <c r="C39" s="18">
        <v>-137.6</v>
      </c>
    </row>
    <row r="40" spans="1:5" x14ac:dyDescent="0.25">
      <c r="B40" s="18" t="s">
        <v>61</v>
      </c>
      <c r="C40" s="18">
        <f>C39-C38</f>
        <v>3.0999999999999943</v>
      </c>
      <c r="D40" s="14">
        <f>$C40*((-1/$C$33+raw!B40-$C$36+$C$31+$C$32)*$C$33)</f>
        <v>44.639999999999922</v>
      </c>
    </row>
    <row r="41" spans="1:5" x14ac:dyDescent="0.25">
      <c r="C41" s="18" t="s">
        <v>84</v>
      </c>
      <c r="D41" s="18" t="s">
        <v>85</v>
      </c>
      <c r="E41" s="18" t="s">
        <v>61</v>
      </c>
    </row>
    <row r="42" spans="1:5" x14ac:dyDescent="0.25">
      <c r="B42" s="18" t="s">
        <v>86</v>
      </c>
      <c r="C42" s="18">
        <f>C30/4</f>
        <v>9672.25</v>
      </c>
      <c r="D42" s="18">
        <f>raw!X9</f>
        <v>1240.2243923296969</v>
      </c>
      <c r="E42" s="18">
        <f>C42-D42</f>
        <v>8432.0256076703026</v>
      </c>
    </row>
    <row r="43" spans="1:5" x14ac:dyDescent="0.25">
      <c r="B43" s="18" t="s">
        <v>87</v>
      </c>
      <c r="C43" s="18">
        <f>C34/4</f>
        <v>8717.75</v>
      </c>
      <c r="D43" s="18">
        <f>raw!X15</f>
        <v>1280.8691274516821</v>
      </c>
      <c r="E43" s="18">
        <f t="shared" ref="E43:E44" si="8">C43-D43</f>
        <v>7436.8808725483177</v>
      </c>
    </row>
    <row r="44" spans="1:5" x14ac:dyDescent="0.25">
      <c r="B44" s="18" t="s">
        <v>88</v>
      </c>
      <c r="C44" s="18">
        <f>C35/4</f>
        <v>11974.75</v>
      </c>
      <c r="D44" s="18">
        <f>raw!X21</f>
        <v>1398.1135932588929</v>
      </c>
      <c r="E44" s="18">
        <f t="shared" si="8"/>
        <v>10576.636406741107</v>
      </c>
    </row>
    <row r="46" spans="1:5" x14ac:dyDescent="0.25">
      <c r="B46" s="11" t="s">
        <v>62</v>
      </c>
    </row>
    <row r="47" spans="1:5" x14ac:dyDescent="0.25">
      <c r="A47" s="18" t="s">
        <v>72</v>
      </c>
      <c r="B47" s="18" t="s">
        <v>64</v>
      </c>
      <c r="C47" s="19">
        <v>6.90611280516992E-2</v>
      </c>
    </row>
    <row r="48" spans="1:5" x14ac:dyDescent="0.25">
      <c r="A48" s="18" t="s">
        <v>72</v>
      </c>
      <c r="B48" s="18" t="s">
        <v>65</v>
      </c>
      <c r="C48" s="19">
        <v>0.81605338309728603</v>
      </c>
    </row>
    <row r="49" spans="1:3" x14ac:dyDescent="0.25">
      <c r="A49" s="18" t="s">
        <v>72</v>
      </c>
      <c r="B49" s="18" t="s">
        <v>66</v>
      </c>
      <c r="C49" s="18">
        <f>C48-C47</f>
        <v>0.74699225504558686</v>
      </c>
    </row>
    <row r="51" spans="1:3" x14ac:dyDescent="0.25">
      <c r="A51" s="18" t="s">
        <v>72</v>
      </c>
      <c r="B51" s="18" t="s">
        <v>67</v>
      </c>
      <c r="C51" s="19">
        <v>97.581654361249207</v>
      </c>
    </row>
    <row r="52" spans="1:3" x14ac:dyDescent="0.25">
      <c r="A52" s="18" t="s">
        <v>72</v>
      </c>
      <c r="B52" s="18" t="s">
        <v>68</v>
      </c>
      <c r="C52" s="19">
        <v>3217.2319010215901</v>
      </c>
    </row>
    <row r="53" spans="1:3" x14ac:dyDescent="0.25">
      <c r="A53" s="18" t="s">
        <v>72</v>
      </c>
      <c r="B53" s="18" t="s">
        <v>66</v>
      </c>
      <c r="C53" s="18">
        <f>C52-C51</f>
        <v>3119.6502466603411</v>
      </c>
    </row>
    <row r="55" spans="1:3" x14ac:dyDescent="0.25">
      <c r="A55" s="18" t="s">
        <v>72</v>
      </c>
      <c r="B55" s="18" t="s">
        <v>69</v>
      </c>
      <c r="C55" s="19">
        <v>763.79400012083397</v>
      </c>
    </row>
    <row r="56" spans="1:3" x14ac:dyDescent="0.25">
      <c r="A56" s="18" t="s">
        <v>72</v>
      </c>
      <c r="B56" s="18" t="s">
        <v>70</v>
      </c>
      <c r="C56" s="19">
        <v>29886.509000184</v>
      </c>
    </row>
    <row r="57" spans="1:3" x14ac:dyDescent="0.25">
      <c r="A57" s="18" t="s">
        <v>72</v>
      </c>
      <c r="B57" s="18" t="s">
        <v>66</v>
      </c>
      <c r="C57" s="18">
        <v>29122.715000063166</v>
      </c>
    </row>
    <row r="59" spans="1:3" x14ac:dyDescent="0.25">
      <c r="A59" s="18" t="s">
        <v>63</v>
      </c>
      <c r="B59" s="18" t="s">
        <v>64</v>
      </c>
      <c r="C59" s="19">
        <v>0.11513765934565</v>
      </c>
    </row>
    <row r="60" spans="1:3" x14ac:dyDescent="0.25">
      <c r="A60" s="18" t="s">
        <v>63</v>
      </c>
      <c r="B60" s="18" t="s">
        <v>65</v>
      </c>
      <c r="C60" s="19">
        <v>0.76457350552130199</v>
      </c>
    </row>
    <row r="61" spans="1:3" x14ac:dyDescent="0.25">
      <c r="A61" s="18" t="s">
        <v>63</v>
      </c>
      <c r="B61" s="18" t="s">
        <v>66</v>
      </c>
      <c r="C61" s="18">
        <v>0.64943584617565198</v>
      </c>
    </row>
    <row r="63" spans="1:3" x14ac:dyDescent="0.25">
      <c r="A63" s="18" t="s">
        <v>63</v>
      </c>
      <c r="B63" s="18" t="s">
        <v>67</v>
      </c>
      <c r="C63" s="19">
        <v>226.40609773816001</v>
      </c>
    </row>
    <row r="64" spans="1:3" x14ac:dyDescent="0.25">
      <c r="A64" s="18" t="s">
        <v>63</v>
      </c>
      <c r="B64" s="18" t="s">
        <v>68</v>
      </c>
      <c r="C64" s="19">
        <v>2937.7980808960301</v>
      </c>
    </row>
    <row r="65" spans="1:3" x14ac:dyDescent="0.25">
      <c r="A65" s="18" t="s">
        <v>63</v>
      </c>
      <c r="B65" s="18" t="s">
        <v>66</v>
      </c>
      <c r="C65" s="18">
        <v>2711.3919831578701</v>
      </c>
    </row>
    <row r="67" spans="1:3" x14ac:dyDescent="0.25">
      <c r="A67" s="18" t="s">
        <v>63</v>
      </c>
      <c r="B67" s="18" t="s">
        <v>69</v>
      </c>
      <c r="C67" s="19">
        <v>612.15899982489702</v>
      </c>
    </row>
    <row r="68" spans="1:3" x14ac:dyDescent="0.25">
      <c r="A68" s="18" t="s">
        <v>63</v>
      </c>
      <c r="B68" s="18" t="s">
        <v>70</v>
      </c>
      <c r="C68" s="19">
        <v>7757.0329996291603</v>
      </c>
    </row>
    <row r="69" spans="1:3" x14ac:dyDescent="0.25">
      <c r="A69" s="18" t="s">
        <v>63</v>
      </c>
      <c r="B69" s="18" t="s">
        <v>66</v>
      </c>
      <c r="C69" s="18">
        <v>7144.8739998042629</v>
      </c>
    </row>
    <row r="71" spans="1:3" x14ac:dyDescent="0.25">
      <c r="A71" s="18" t="s">
        <v>71</v>
      </c>
      <c r="B71" s="18" t="s">
        <v>64</v>
      </c>
      <c r="C71" s="19">
        <v>0.23824347405659799</v>
      </c>
    </row>
    <row r="72" spans="1:3" x14ac:dyDescent="0.25">
      <c r="A72" s="18" t="s">
        <v>71</v>
      </c>
      <c r="B72" s="18" t="s">
        <v>65</v>
      </c>
      <c r="C72" s="19">
        <v>0.84595216123479899</v>
      </c>
    </row>
    <row r="73" spans="1:3" x14ac:dyDescent="0.25">
      <c r="A73" s="18" t="s">
        <v>71</v>
      </c>
      <c r="B73" s="18" t="s">
        <v>66</v>
      </c>
      <c r="C73" s="18">
        <v>0.60770868717820103</v>
      </c>
    </row>
    <row r="75" spans="1:3" x14ac:dyDescent="0.25">
      <c r="A75" s="18" t="s">
        <v>71</v>
      </c>
      <c r="B75" s="18" t="s">
        <v>67</v>
      </c>
      <c r="C75" s="19">
        <v>348.820191034733</v>
      </c>
    </row>
    <row r="76" spans="1:3" x14ac:dyDescent="0.25">
      <c r="A76" s="18" t="s">
        <v>71</v>
      </c>
      <c r="B76" s="18" t="s">
        <v>68</v>
      </c>
      <c r="C76" s="19">
        <v>4304.0710416639904</v>
      </c>
    </row>
    <row r="77" spans="1:3" x14ac:dyDescent="0.25">
      <c r="A77" s="18" t="s">
        <v>71</v>
      </c>
      <c r="B77" s="18" t="s">
        <v>66</v>
      </c>
      <c r="C77" s="18">
        <v>3955.2508506292575</v>
      </c>
    </row>
    <row r="79" spans="1:3" x14ac:dyDescent="0.25">
      <c r="A79" s="18" t="s">
        <v>71</v>
      </c>
      <c r="B79" s="18" t="s">
        <v>69</v>
      </c>
      <c r="C79" s="19">
        <v>1201.8590004416201</v>
      </c>
    </row>
    <row r="80" spans="1:3" x14ac:dyDescent="0.25">
      <c r="A80" s="18" t="s">
        <v>71</v>
      </c>
      <c r="B80" s="18" t="s">
        <v>70</v>
      </c>
      <c r="C80" s="19">
        <v>16423.212999827199</v>
      </c>
    </row>
    <row r="81" spans="1:3" x14ac:dyDescent="0.25">
      <c r="A81" s="18" t="s">
        <v>71</v>
      </c>
      <c r="B81" s="18" t="s">
        <v>66</v>
      </c>
      <c r="C81" s="18">
        <v>15221.353999385579</v>
      </c>
    </row>
    <row r="83" spans="1:3" x14ac:dyDescent="0.25">
      <c r="A83" s="18" t="s">
        <v>72</v>
      </c>
      <c r="B83" s="28" t="s">
        <v>82</v>
      </c>
      <c r="C83" s="18">
        <f>raw!Y25</f>
        <v>1925.8075709434199</v>
      </c>
    </row>
    <row r="84" spans="1:3" x14ac:dyDescent="0.25">
      <c r="A84" s="18" t="s">
        <v>72</v>
      </c>
      <c r="B84" s="28" t="s">
        <v>83</v>
      </c>
      <c r="C84" s="18">
        <f>raw!X25</f>
        <v>0</v>
      </c>
    </row>
    <row r="85" spans="1:3" x14ac:dyDescent="0.25">
      <c r="A85" s="18" t="s">
        <v>72</v>
      </c>
      <c r="B85" s="28" t="s">
        <v>66</v>
      </c>
      <c r="C85" s="18">
        <f>C83-C84</f>
        <v>1925.8075709434199</v>
      </c>
    </row>
    <row r="87" spans="1:3" x14ac:dyDescent="0.25">
      <c r="A87" s="18" t="s">
        <v>63</v>
      </c>
      <c r="B87" s="28" t="s">
        <v>82</v>
      </c>
      <c r="C87" s="18">
        <f>raw!Y26</f>
        <v>1973.44932913965</v>
      </c>
    </row>
    <row r="88" spans="1:3" x14ac:dyDescent="0.25">
      <c r="A88" s="18" t="s">
        <v>63</v>
      </c>
      <c r="B88" s="28" t="s">
        <v>83</v>
      </c>
      <c r="C88" s="18">
        <v>0</v>
      </c>
    </row>
    <row r="89" spans="1:3" x14ac:dyDescent="0.25">
      <c r="A89" s="18" t="s">
        <v>63</v>
      </c>
      <c r="B89" s="28" t="s">
        <v>66</v>
      </c>
      <c r="C89" s="18">
        <f>C87-C88</f>
        <v>1973.44932913965</v>
      </c>
    </row>
    <row r="91" spans="1:3" x14ac:dyDescent="0.25">
      <c r="A91" s="18" t="s">
        <v>71</v>
      </c>
      <c r="B91" s="28" t="s">
        <v>82</v>
      </c>
      <c r="C91" s="18">
        <f>raw!Y27</f>
        <v>2692.79031318221</v>
      </c>
    </row>
    <row r="92" spans="1:3" x14ac:dyDescent="0.25">
      <c r="A92" s="18" t="s">
        <v>71</v>
      </c>
      <c r="B92" s="28" t="s">
        <v>83</v>
      </c>
      <c r="C92" s="18">
        <v>0</v>
      </c>
    </row>
    <row r="93" spans="1:3" x14ac:dyDescent="0.25">
      <c r="A93" s="18" t="s">
        <v>71</v>
      </c>
      <c r="B93" s="28" t="s">
        <v>66</v>
      </c>
      <c r="C93" s="18">
        <f>C91-C92</f>
        <v>2692.79031318221</v>
      </c>
    </row>
  </sheetData>
  <conditionalFormatting sqref="D24:Y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opLeftCell="A55" workbookViewId="0">
      <selection activeCell="B86" sqref="B86"/>
    </sheetView>
  </sheetViews>
  <sheetFormatPr defaultRowHeight="15" x14ac:dyDescent="0.25"/>
  <cols>
    <col min="1" max="1" width="39" customWidth="1"/>
    <col min="2" max="2" width="28.85546875" customWidth="1"/>
    <col min="3" max="3" width="35.140625" customWidth="1"/>
    <col min="4" max="4" width="17.42578125" customWidth="1"/>
  </cols>
  <sheetData>
    <row r="1" spans="1:31" ht="16.5" thickTop="1" thickBot="1" x14ac:dyDescent="0.3">
      <c r="C1" s="15" t="str">
        <f>raw!A1</f>
        <v>Altitude (km above mean radius of Earth)</v>
      </c>
      <c r="D1" s="15">
        <f>raw!B1</f>
        <v>400</v>
      </c>
      <c r="E1" s="15">
        <f>raw!C1</f>
        <v>450</v>
      </c>
      <c r="F1" s="15">
        <f>raw!D1</f>
        <v>500</v>
      </c>
      <c r="G1" s="15">
        <f>raw!E1</f>
        <v>550</v>
      </c>
      <c r="H1" s="15">
        <f>raw!F1</f>
        <v>600</v>
      </c>
      <c r="I1" s="15">
        <f>raw!G1</f>
        <v>650</v>
      </c>
      <c r="J1" s="15">
        <f>raw!H1</f>
        <v>700</v>
      </c>
      <c r="K1" s="15">
        <f>raw!I1</f>
        <v>750</v>
      </c>
      <c r="L1" s="15">
        <f>raw!J1</f>
        <v>800</v>
      </c>
      <c r="M1" s="15">
        <f>raw!K1</f>
        <v>700</v>
      </c>
      <c r="N1" s="15">
        <f>raw!L1</f>
        <v>700</v>
      </c>
      <c r="O1" s="15">
        <f>raw!M1</f>
        <v>700</v>
      </c>
      <c r="P1" s="15">
        <f>raw!N1</f>
        <v>700</v>
      </c>
      <c r="Q1" s="15">
        <f>raw!O1</f>
        <v>700</v>
      </c>
      <c r="R1" s="15">
        <f>raw!P1</f>
        <v>700</v>
      </c>
      <c r="S1" s="15">
        <f>raw!Q1</f>
        <v>700</v>
      </c>
      <c r="T1" s="15">
        <f>raw!R1</f>
        <v>700</v>
      </c>
      <c r="U1" s="15">
        <f>raw!S1</f>
        <v>700</v>
      </c>
      <c r="V1" s="15">
        <f>raw!T1</f>
        <v>700</v>
      </c>
      <c r="W1" s="15">
        <f>raw!U1</f>
        <v>700</v>
      </c>
      <c r="X1" s="15">
        <f>raw!V1</f>
        <v>700</v>
      </c>
      <c r="Y1" s="15">
        <f>raw!W1</f>
        <v>700</v>
      </c>
    </row>
    <row r="2" spans="1:31" ht="16.5" thickTop="1" thickBot="1" x14ac:dyDescent="0.3">
      <c r="C2" s="15" t="str">
        <f>raw!A2</f>
        <v>Inclination (deg)</v>
      </c>
      <c r="D2" s="15">
        <f>raw!B2</f>
        <v>60</v>
      </c>
      <c r="E2" s="15">
        <f>raw!C2</f>
        <v>60</v>
      </c>
      <c r="F2" s="15">
        <f>raw!D2</f>
        <v>60</v>
      </c>
      <c r="G2" s="15">
        <f>raw!E2</f>
        <v>60</v>
      </c>
      <c r="H2" s="15">
        <f>raw!F2</f>
        <v>60</v>
      </c>
      <c r="I2" s="15">
        <f>raw!G2</f>
        <v>60</v>
      </c>
      <c r="J2" s="15">
        <f>raw!H2</f>
        <v>60</v>
      </c>
      <c r="K2" s="15">
        <f>raw!I2</f>
        <v>60</v>
      </c>
      <c r="L2" s="15">
        <f>raw!J2</f>
        <v>60</v>
      </c>
      <c r="M2" s="15">
        <f>raw!K2</f>
        <v>30</v>
      </c>
      <c r="N2" s="15">
        <f>raw!L2</f>
        <v>40</v>
      </c>
      <c r="O2" s="15">
        <f>raw!M2</f>
        <v>50</v>
      </c>
      <c r="P2" s="15">
        <f>raw!N2</f>
        <v>60</v>
      </c>
      <c r="Q2" s="15">
        <f>raw!O2</f>
        <v>70</v>
      </c>
      <c r="R2" s="15">
        <f>raw!P2</f>
        <v>80</v>
      </c>
      <c r="S2" s="15">
        <f>raw!Q2</f>
        <v>90</v>
      </c>
      <c r="T2" s="15">
        <f>raw!R2</f>
        <v>60</v>
      </c>
      <c r="U2" s="15">
        <f>raw!S2</f>
        <v>60</v>
      </c>
      <c r="V2" s="15">
        <f>raw!T2</f>
        <v>60</v>
      </c>
      <c r="W2" s="15">
        <f>raw!U2</f>
        <v>60</v>
      </c>
      <c r="X2" s="15">
        <f>raw!V2</f>
        <v>60</v>
      </c>
      <c r="Y2" s="15">
        <f>raw!W2</f>
        <v>60</v>
      </c>
    </row>
    <row r="3" spans="1:31" ht="16.5" thickTop="1" thickBot="1" x14ac:dyDescent="0.3">
      <c r="C3" s="15" t="str">
        <f>raw!A3</f>
        <v>Number of Planes</v>
      </c>
      <c r="D3" s="15">
        <f>raw!B3</f>
        <v>3</v>
      </c>
      <c r="E3" s="15">
        <f>raw!C3</f>
        <v>3</v>
      </c>
      <c r="F3" s="15">
        <f>raw!D3</f>
        <v>3</v>
      </c>
      <c r="G3" s="15">
        <f>raw!E3</f>
        <v>3</v>
      </c>
      <c r="H3" s="15">
        <f>raw!F3</f>
        <v>3</v>
      </c>
      <c r="I3" s="15">
        <f>raw!G3</f>
        <v>3</v>
      </c>
      <c r="J3" s="15">
        <f>raw!H3</f>
        <v>3</v>
      </c>
      <c r="K3" s="15">
        <f>raw!I3</f>
        <v>3</v>
      </c>
      <c r="L3" s="15">
        <f>raw!J3</f>
        <v>3</v>
      </c>
      <c r="M3" s="15">
        <f>raw!K3</f>
        <v>3</v>
      </c>
      <c r="N3" s="15">
        <f>raw!L3</f>
        <v>3</v>
      </c>
      <c r="O3" s="15">
        <f>raw!M3</f>
        <v>3</v>
      </c>
      <c r="P3" s="15">
        <f>raw!N3</f>
        <v>3</v>
      </c>
      <c r="Q3" s="15">
        <f>raw!O3</f>
        <v>3</v>
      </c>
      <c r="R3" s="15">
        <f>raw!P3</f>
        <v>3</v>
      </c>
      <c r="S3" s="15">
        <f>raw!Q3</f>
        <v>3</v>
      </c>
      <c r="T3" s="15">
        <f>raw!R3</f>
        <v>3</v>
      </c>
      <c r="U3" s="15">
        <f>raw!S3</f>
        <v>3</v>
      </c>
      <c r="V3" s="15">
        <f>raw!T3</f>
        <v>3</v>
      </c>
      <c r="W3" s="15">
        <f>raw!U3</f>
        <v>3</v>
      </c>
      <c r="X3" s="15">
        <f>raw!V3</f>
        <v>3</v>
      </c>
      <c r="Y3" s="15">
        <f>raw!W3</f>
        <v>3</v>
      </c>
    </row>
    <row r="4" spans="1:31" ht="16.5" thickTop="1" thickBot="1" x14ac:dyDescent="0.3">
      <c r="C4" s="15" t="str">
        <f>raw!A4</f>
        <v>Number of Satellites per plane</v>
      </c>
      <c r="D4" s="15">
        <f>raw!B4</f>
        <v>4</v>
      </c>
      <c r="E4" s="15">
        <f>raw!C4</f>
        <v>4</v>
      </c>
      <c r="F4" s="15">
        <f>raw!D4</f>
        <v>4</v>
      </c>
      <c r="G4" s="15">
        <f>raw!E4</f>
        <v>4</v>
      </c>
      <c r="H4" s="15">
        <f>raw!F4</f>
        <v>4</v>
      </c>
      <c r="I4" s="15">
        <f>raw!G4</f>
        <v>4</v>
      </c>
      <c r="J4" s="15">
        <f>raw!H4</f>
        <v>4</v>
      </c>
      <c r="K4" s="15">
        <f>raw!I4</f>
        <v>4</v>
      </c>
      <c r="L4" s="15">
        <f>raw!J4</f>
        <v>4</v>
      </c>
      <c r="M4" s="15">
        <f>raw!K4</f>
        <v>4</v>
      </c>
      <c r="N4" s="15">
        <f>raw!L4</f>
        <v>4</v>
      </c>
      <c r="O4" s="15">
        <f>raw!M4</f>
        <v>4</v>
      </c>
      <c r="P4" s="15">
        <f>raw!N4</f>
        <v>4</v>
      </c>
      <c r="Q4" s="15">
        <f>raw!O4</f>
        <v>4</v>
      </c>
      <c r="R4" s="15">
        <f>raw!P4</f>
        <v>4</v>
      </c>
      <c r="S4" s="15">
        <f>raw!Q4</f>
        <v>4</v>
      </c>
      <c r="T4" s="15">
        <f>raw!R4</f>
        <v>1</v>
      </c>
      <c r="U4" s="15">
        <f>raw!S4</f>
        <v>2</v>
      </c>
      <c r="V4" s="15">
        <f>raw!T4</f>
        <v>3</v>
      </c>
      <c r="W4" s="15">
        <f>raw!U4</f>
        <v>4</v>
      </c>
      <c r="X4" s="15">
        <f>raw!V4</f>
        <v>5</v>
      </c>
      <c r="Y4" s="15">
        <f>raw!W4</f>
        <v>6</v>
      </c>
    </row>
    <row r="5" spans="1:31" ht="16.5" thickTop="1" thickBot="1" x14ac:dyDescent="0.3">
      <c r="C5" s="15" t="str">
        <f>raw!A5</f>
        <v>Number of Satellites (Total)</v>
      </c>
      <c r="D5" s="15">
        <f>raw!B5</f>
        <v>12</v>
      </c>
      <c r="E5" s="15">
        <f>raw!C5</f>
        <v>12</v>
      </c>
      <c r="F5" s="15">
        <f>raw!D5</f>
        <v>12</v>
      </c>
      <c r="G5" s="15">
        <f>raw!E5</f>
        <v>12</v>
      </c>
      <c r="H5" s="15">
        <f>raw!F5</f>
        <v>12</v>
      </c>
      <c r="I5" s="15">
        <f>raw!G5</f>
        <v>12</v>
      </c>
      <c r="J5" s="15">
        <f>raw!H5</f>
        <v>12</v>
      </c>
      <c r="K5" s="15">
        <f>raw!I5</f>
        <v>12</v>
      </c>
      <c r="L5" s="15">
        <f>raw!J5</f>
        <v>12</v>
      </c>
      <c r="M5" s="15">
        <f>raw!K5</f>
        <v>12</v>
      </c>
      <c r="N5" s="15">
        <f>raw!L5</f>
        <v>12</v>
      </c>
      <c r="O5" s="15">
        <f>raw!M5</f>
        <v>12</v>
      </c>
      <c r="P5" s="15">
        <f>raw!N5</f>
        <v>12</v>
      </c>
      <c r="Q5" s="15">
        <f>raw!O5</f>
        <v>12</v>
      </c>
      <c r="R5" s="15">
        <f>raw!P5</f>
        <v>12</v>
      </c>
      <c r="S5" s="15">
        <f>raw!Q5</f>
        <v>12</v>
      </c>
      <c r="T5" s="15">
        <f>raw!R5</f>
        <v>3</v>
      </c>
      <c r="U5" s="15">
        <f>raw!S5</f>
        <v>6</v>
      </c>
      <c r="V5" s="15">
        <f>raw!T5</f>
        <v>9</v>
      </c>
      <c r="W5" s="15">
        <f>raw!U5</f>
        <v>12</v>
      </c>
      <c r="X5" s="15">
        <f>raw!V5</f>
        <v>15</v>
      </c>
      <c r="Y5" s="15">
        <f>raw!W5</f>
        <v>18</v>
      </c>
    </row>
    <row r="6" spans="1:31" ht="16.5" thickTop="1" thickBot="1" x14ac:dyDescent="0.3"/>
    <row r="7" spans="1:31" ht="16.5" thickTop="1" thickBot="1" x14ac:dyDescent="0.3">
      <c r="A7" s="15" t="str">
        <f>weights!A1</f>
        <v>Flight Path</v>
      </c>
      <c r="B7" s="15" t="str">
        <f>weights!B1</f>
        <v>Parameter</v>
      </c>
      <c r="C7" s="15" t="str">
        <f>weights!C1</f>
        <v>Weight</v>
      </c>
      <c r="Z7" t="s">
        <v>52</v>
      </c>
      <c r="AA7" t="s">
        <v>53</v>
      </c>
      <c r="AB7" t="s">
        <v>54</v>
      </c>
      <c r="AC7" t="s">
        <v>56</v>
      </c>
      <c r="AD7" t="s">
        <v>57</v>
      </c>
      <c r="AE7" t="s">
        <v>55</v>
      </c>
    </row>
    <row r="8" spans="1:31" ht="16.5" thickTop="1" thickBot="1" x14ac:dyDescent="0.3">
      <c r="A8" s="15" t="str">
        <f>weights!A2</f>
        <v>All</v>
      </c>
      <c r="B8" s="15" t="str">
        <f>weights!B2</f>
        <v>Number of Satellites</v>
      </c>
      <c r="C8" s="16">
        <v>10</v>
      </c>
      <c r="D8" s="14">
        <f>$C$8*(1-(D5-3)/15)</f>
        <v>4</v>
      </c>
      <c r="E8" s="14">
        <f t="shared" ref="E8:Y8" si="0">$C$8*(1-(E5-3)/15)</f>
        <v>4</v>
      </c>
      <c r="F8" s="14">
        <f t="shared" si="0"/>
        <v>4</v>
      </c>
      <c r="G8" s="14">
        <f t="shared" si="0"/>
        <v>4</v>
      </c>
      <c r="H8" s="14">
        <f t="shared" si="0"/>
        <v>4</v>
      </c>
      <c r="I8" s="14">
        <f t="shared" si="0"/>
        <v>4</v>
      </c>
      <c r="J8" s="14">
        <f t="shared" si="0"/>
        <v>4</v>
      </c>
      <c r="K8" s="14">
        <f t="shared" si="0"/>
        <v>4</v>
      </c>
      <c r="L8" s="14">
        <f t="shared" si="0"/>
        <v>4</v>
      </c>
      <c r="M8" s="14">
        <f t="shared" si="0"/>
        <v>4</v>
      </c>
      <c r="N8" s="14">
        <f t="shared" si="0"/>
        <v>4</v>
      </c>
      <c r="O8" s="14">
        <f t="shared" si="0"/>
        <v>4</v>
      </c>
      <c r="P8" s="14">
        <f t="shared" si="0"/>
        <v>4</v>
      </c>
      <c r="Q8" s="14">
        <f t="shared" si="0"/>
        <v>4</v>
      </c>
      <c r="R8" s="14">
        <f t="shared" si="0"/>
        <v>4</v>
      </c>
      <c r="S8" s="14">
        <f t="shared" si="0"/>
        <v>4</v>
      </c>
      <c r="T8" s="14">
        <f t="shared" si="0"/>
        <v>10</v>
      </c>
      <c r="U8" s="14">
        <f t="shared" si="0"/>
        <v>8</v>
      </c>
      <c r="V8" s="14">
        <f t="shared" si="0"/>
        <v>6</v>
      </c>
      <c r="W8" s="14">
        <f t="shared" si="0"/>
        <v>4</v>
      </c>
      <c r="X8" s="14">
        <f t="shared" si="0"/>
        <v>1.9999999999999996</v>
      </c>
      <c r="Y8" s="14">
        <f t="shared" si="0"/>
        <v>0</v>
      </c>
      <c r="Z8" s="17">
        <f>MIN(D8:Y8)</f>
        <v>0</v>
      </c>
      <c r="AA8" s="17">
        <f t="shared" ref="AA8:AA20" si="1">MAX(D8:Y8)</f>
        <v>10</v>
      </c>
      <c r="AB8">
        <f>AVERAGE(D8:Y8)</f>
        <v>4.2727272727272725</v>
      </c>
      <c r="AC8">
        <f>_xlfn.STDEV.P(D8:Y8)</f>
        <v>1.8385225832869714</v>
      </c>
      <c r="AD8" s="10">
        <f>_xlfn.STDEV.S(D8:Y8)</f>
        <v>1.8817878576304881</v>
      </c>
      <c r="AE8">
        <f>STDEV(D8:Y8)</f>
        <v>1.8817878576304881</v>
      </c>
    </row>
    <row r="9" spans="1:31" ht="16.5" thickTop="1" thickBot="1" x14ac:dyDescent="0.3">
      <c r="A9" s="15" t="str">
        <f>weights!A3</f>
        <v>LAX - Heathrow</v>
      </c>
      <c r="B9" s="15" t="str">
        <f>weights!B3</f>
        <v>Fraction of coverage gap to total time analysed</v>
      </c>
      <c r="C9" s="16">
        <v>10</v>
      </c>
      <c r="D9" s="14">
        <f>$C$9*(1-(raw!B6-$C$41)/$C$43)</f>
        <v>5.5293083619454482</v>
      </c>
      <c r="E9" s="14">
        <f>$C$9*(1-(raw!C6-$C$41)/$C$43)</f>
        <v>6.0135770857821296</v>
      </c>
      <c r="F9" s="14">
        <f>$C$9*(1-(raw!D6-$C$41)/$C$43)</f>
        <v>6.4638848418765491</v>
      </c>
      <c r="G9" s="14">
        <f>$C$9*(1-(raw!E6-$C$41)/$C$43)</f>
        <v>6.8613234403080448</v>
      </c>
      <c r="H9" s="14">
        <f>$C$9*(1-(raw!F6-$C$41)/$C$43)</f>
        <v>7.2304225804273417</v>
      </c>
      <c r="I9" s="14">
        <f>$C$9*(1-(raw!G6-$C$41)/$C$43)</f>
        <v>7.5976106722491243</v>
      </c>
      <c r="J9" s="14">
        <f>$C$9*(1-(raw!H6-$C$41)/$C$43)</f>
        <v>7.8900597874296263</v>
      </c>
      <c r="K9" s="14">
        <f>$C$9*(1-(raw!I6-$C$41)/$C$43)</f>
        <v>8.1622215304722285</v>
      </c>
      <c r="L9" s="14">
        <f>$C$9*(1-(raw!J6-$C$41)/$C$43)</f>
        <v>8.4021337643436933</v>
      </c>
      <c r="M9" s="14">
        <f>$C$9*(1-(raw!K6-$C$41)/$C$43)</f>
        <v>0</v>
      </c>
      <c r="N9" s="14">
        <f>$C$9*(1-(raw!L6-$C$41)/$C$43)</f>
        <v>3.3734992855839363</v>
      </c>
      <c r="O9" s="14">
        <f>$C$9*(1-(raw!M6-$C$41)/$C$43)</f>
        <v>6.4654137215864083</v>
      </c>
      <c r="P9" s="14">
        <f>$C$9*(1-(raw!N6-$C$41)/$C$43)</f>
        <v>7.8900597874296263</v>
      </c>
      <c r="Q9" s="14">
        <f>$C$9*(1-(raw!O6-$C$41)/$C$43)</f>
        <v>8.4352196933685679</v>
      </c>
      <c r="R9" s="14">
        <f>$C$9*(1-(raw!P6-$C$41)/$C$43)</f>
        <v>8.8409507326890022</v>
      </c>
      <c r="S9" s="14">
        <f>$C$9*(1-(raw!Q6-$C$41)/$C$43)</f>
        <v>8.3087532885236151</v>
      </c>
      <c r="T9" s="14">
        <f>$C$9*(1-(raw!R6-$C$41)/$C$43)</f>
        <v>0.56914013465995672</v>
      </c>
      <c r="U9" s="14">
        <f>$C$9*(1-(raw!S6-$C$41)/$C$43)</f>
        <v>3.6754453691411682</v>
      </c>
      <c r="V9" s="14">
        <f>$C$9*(1-(raw!T6-$C$41)/$C$43)</f>
        <v>6.5127717917548731</v>
      </c>
      <c r="W9" s="14">
        <f>$C$9*(1-(raw!U6-$C$41)/$C$43)</f>
        <v>7.890089351670917</v>
      </c>
      <c r="X9" s="14">
        <f>$C$9*(1-(raw!V6-$C$41)/$C$43)</f>
        <v>8.8571188808706225</v>
      </c>
      <c r="Y9" s="14">
        <f>$C$9*(1-(raw!W6-$C$41)/$C$43)</f>
        <v>10</v>
      </c>
      <c r="Z9" s="17">
        <f t="shared" ref="Z9:Z21" si="2">MIN(D9:Y9)</f>
        <v>0</v>
      </c>
      <c r="AA9" s="17">
        <f t="shared" si="1"/>
        <v>10</v>
      </c>
      <c r="AB9" s="10">
        <f t="shared" ref="AB9:AB21" si="3">AVERAGE(D9:Y9)</f>
        <v>6.5895001864596763</v>
      </c>
      <c r="AC9" s="10">
        <f t="shared" ref="AC9:AC21" si="4">_xlfn.STDEV.P(D9:Y9)</f>
        <v>2.5274225081946935</v>
      </c>
      <c r="AD9" s="10">
        <f t="shared" ref="AD9:AD21" si="5">_xlfn.STDEV.S(D9:Y9)</f>
        <v>2.5868994105689489</v>
      </c>
      <c r="AE9" s="10">
        <f t="shared" ref="AE9:AE21" si="6">STDEV(D9:Y9)</f>
        <v>2.5868994105689489</v>
      </c>
    </row>
    <row r="10" spans="1:31" ht="16.5" thickTop="1" thickBot="1" x14ac:dyDescent="0.3">
      <c r="A10" s="15" t="str">
        <f>weights!A4</f>
        <v>LAX - Heathrow</v>
      </c>
      <c r="B10" s="15" t="str">
        <f>weights!B4</f>
        <v>Average coverage gap time</v>
      </c>
      <c r="C10" s="16">
        <v>10</v>
      </c>
      <c r="D10" s="14">
        <f>$C$10*(1-(raw!B8-$C$45)/$C$47)</f>
        <v>8.7092055096644057</v>
      </c>
      <c r="E10" s="14">
        <f>$C$10*(1-(raw!C8-$C$45)/$C$47)</f>
        <v>8.8077842491439533</v>
      </c>
      <c r="F10" s="14">
        <f>$C$10*(1-(raw!D8-$C$45)/$C$47)</f>
        <v>8.8666663457813204</v>
      </c>
      <c r="G10" s="14">
        <f>$C$10*(1-(raw!E8-$C$45)/$C$47)</f>
        <v>8.9426477067056176</v>
      </c>
      <c r="H10" s="14">
        <f>$C$10*(1-(raw!F8-$C$45)/$C$47)</f>
        <v>9.0205196898942024</v>
      </c>
      <c r="I10" s="14">
        <f>$C$10*(1-(raw!G8-$C$45)/$C$47)</f>
        <v>9.0979347453867092</v>
      </c>
      <c r="J10" s="14">
        <f>$C$10*(1-(raw!H8-$C$45)/$C$47)</f>
        <v>9.0744278871594748</v>
      </c>
      <c r="K10" s="14">
        <f>$C$10*(1-(raw!I8-$C$45)/$C$47)</f>
        <v>9.0753131260985018</v>
      </c>
      <c r="L10" s="14">
        <f>$C$10*(1-(raw!J8-$C$45)/$C$47)</f>
        <v>9.0782267783687214</v>
      </c>
      <c r="M10" s="14">
        <f>$C$10*(1-(raw!K8-$C$45)/$C$47)</f>
        <v>1.8399372028418781</v>
      </c>
      <c r="N10" s="14">
        <f>$C$10*(1-(raw!L8-$C$45)/$C$47)</f>
        <v>7.3154086034670049</v>
      </c>
      <c r="O10" s="14">
        <f>$C$10*(1-(raw!M8-$C$45)/$C$47)</f>
        <v>8.8107040073687575</v>
      </c>
      <c r="P10" s="14">
        <f>$C$10*(1-(raw!N8-$C$45)/$C$47)</f>
        <v>9.0744278871594748</v>
      </c>
      <c r="Q10" s="14">
        <f>$C$10*(1-(raw!O8-$C$45)/$C$47)</f>
        <v>9.1289028595835529</v>
      </c>
      <c r="R10" s="14">
        <f>$C$10*(1-(raw!P8-$C$45)/$C$47)</f>
        <v>9.2930034375524269</v>
      </c>
      <c r="S10" s="14">
        <f>$C$10*(1-(raw!Q8-$C$45)/$C$47)</f>
        <v>9.1958284257439988</v>
      </c>
      <c r="T10" s="14">
        <f>$C$10*(1-(raw!R8-$C$45)/$C$47)</f>
        <v>0</v>
      </c>
      <c r="U10" s="14">
        <f>$C$10*(1-(raw!S8-$C$45)/$C$47)</f>
        <v>6.7100192213622281</v>
      </c>
      <c r="V10" s="14">
        <f>$C$10*(1-(raw!T8-$C$45)/$C$47)</f>
        <v>8.6991444293060383</v>
      </c>
      <c r="W10" s="14">
        <f>$C$10*(1-(raw!U8-$C$45)/$C$47)</f>
        <v>9.0744278871594748</v>
      </c>
      <c r="X10" s="14">
        <f>$C$10*(1-(raw!V8-$C$45)/$C$47)</f>
        <v>9.6013726665154611</v>
      </c>
      <c r="Y10" s="14">
        <f>$C$10*(1-(raw!W8-$C$45)/$C$47)</f>
        <v>10</v>
      </c>
      <c r="Z10" s="17">
        <f t="shared" si="2"/>
        <v>0</v>
      </c>
      <c r="AA10" s="17">
        <f t="shared" si="1"/>
        <v>10</v>
      </c>
      <c r="AB10" s="10">
        <f t="shared" si="3"/>
        <v>8.1552683030119635</v>
      </c>
      <c r="AC10" s="10">
        <f t="shared" si="4"/>
        <v>2.3975327561033697</v>
      </c>
      <c r="AD10" s="10">
        <f t="shared" si="5"/>
        <v>2.4539530108140455</v>
      </c>
      <c r="AE10" s="10">
        <f t="shared" si="6"/>
        <v>2.4539530108140455</v>
      </c>
    </row>
    <row r="11" spans="1:31" ht="16.5" thickTop="1" thickBot="1" x14ac:dyDescent="0.3">
      <c r="A11" s="15" t="str">
        <f>weights!A5</f>
        <v>LAX - Heathrow</v>
      </c>
      <c r="B11" s="15" t="str">
        <f>weights!B5</f>
        <v>Maximum coverage gap time</v>
      </c>
      <c r="C11" s="16">
        <v>10</v>
      </c>
      <c r="D11" s="14">
        <f>$C$11*(1-(raw!B10-$C$49)/$C$51)</f>
        <v>9.3284293720607181</v>
      </c>
      <c r="E11" s="14">
        <f>$C$11*(1-(raw!C10-$C$49)/$C$51)</f>
        <v>9.3526352196455846</v>
      </c>
      <c r="F11" s="14">
        <f>$C$11*(1-(raw!D10-$C$49)/$C$51)</f>
        <v>9.8450941130840732</v>
      </c>
      <c r="G11" s="14">
        <f>$C$11*(1-(raw!E10-$C$49)/$C$51)</f>
        <v>9.8677839618799918</v>
      </c>
      <c r="H11" s="14">
        <f>$C$11*(1-(raw!F10-$C$49)/$C$51)</f>
        <v>9.8864693761771871</v>
      </c>
      <c r="I11" s="14">
        <f>$C$11*(1-(raw!G10-$C$49)/$C$51)</f>
        <v>9.9028263676333772</v>
      </c>
      <c r="J11" s="14">
        <f>$C$11*(1-(raw!H10-$C$49)/$C$51)</f>
        <v>9.9261490560239523</v>
      </c>
      <c r="K11" s="14">
        <f>$C$11*(1-(raw!I10-$C$49)/$C$51)</f>
        <v>9.9301531468736588</v>
      </c>
      <c r="L11" s="14">
        <f>$C$11*(1-(raw!J10-$C$49)/$C$51)</f>
        <v>9.9419521841283327</v>
      </c>
      <c r="M11" s="14">
        <f>$C$11*(1-(raw!K10-$C$49)/$C$51)</f>
        <v>0</v>
      </c>
      <c r="N11" s="14">
        <f>$C$11*(1-(raw!L10-$C$49)/$C$51)</f>
        <v>5.4145302043966019</v>
      </c>
      <c r="O11" s="14">
        <f>$C$11*(1-(raw!M10-$C$49)/$C$51)</f>
        <v>9.8367171467731822</v>
      </c>
      <c r="P11" s="14">
        <f>$C$11*(1-(raw!N10-$C$49)/$C$51)</f>
        <v>9.9261490560239523</v>
      </c>
      <c r="Q11" s="14">
        <f>$C$11*(1-(raw!O10-$C$49)/$C$51)</f>
        <v>8.6304752149484028</v>
      </c>
      <c r="R11" s="14">
        <f>$C$11*(1-(raw!P10-$C$49)/$C$51)</f>
        <v>9.4671856657463866</v>
      </c>
      <c r="S11" s="14">
        <f>$C$11*(1-(raw!Q10-$C$49)/$C$51)</f>
        <v>9.8601352929602513</v>
      </c>
      <c r="T11" s="14">
        <f>$C$11*(1-(raw!R10-$C$49)/$C$51)</f>
        <v>8.3663339769447713</v>
      </c>
      <c r="U11" s="14">
        <f>$C$11*(1-(raw!S10-$C$49)/$C$51)</f>
        <v>9.4140961789258224</v>
      </c>
      <c r="V11" s="14">
        <f>$C$11*(1-(raw!T10-$C$49)/$C$51)</f>
        <v>9.7555396191345896</v>
      </c>
      <c r="W11" s="14">
        <f>$C$11*(1-(raw!U10-$C$49)/$C$51)</f>
        <v>9.9261490560239523</v>
      </c>
      <c r="X11" s="14">
        <f>$C$11*(1-(raw!V10-$C$49)/$C$51)</f>
        <v>9.887032167280065</v>
      </c>
      <c r="Y11" s="14">
        <f>$C$11*(1-(raw!W10-$C$49)/$C$51)</f>
        <v>10</v>
      </c>
      <c r="Z11" s="17">
        <f t="shared" si="2"/>
        <v>0</v>
      </c>
      <c r="AA11" s="17">
        <f t="shared" si="1"/>
        <v>10</v>
      </c>
      <c r="AB11" s="10">
        <f t="shared" si="3"/>
        <v>9.0211743807574933</v>
      </c>
      <c r="AC11" s="10">
        <f t="shared" si="4"/>
        <v>2.1970769069290323</v>
      </c>
      <c r="AD11" s="10">
        <f t="shared" si="5"/>
        <v>2.248779908021433</v>
      </c>
      <c r="AE11" s="10">
        <f t="shared" si="6"/>
        <v>2.248779908021433</v>
      </c>
    </row>
    <row r="12" spans="1:31" ht="16.5" thickTop="1" thickBot="1" x14ac:dyDescent="0.3">
      <c r="A12" s="15" t="str">
        <f>weights!A6</f>
        <v>LAX - Heathrow</v>
      </c>
      <c r="B12" s="15" t="str">
        <f>weights!B6</f>
        <v>Minimum Received RX Power</v>
      </c>
      <c r="C12" s="16">
        <v>10</v>
      </c>
      <c r="D12" s="14">
        <f>$C12*((raw!B11-$C$35)/$C$37)</f>
        <v>9.3580645161289908</v>
      </c>
      <c r="E12" s="14">
        <f>$C12*((raw!C11-$C$35)/$C$37)</f>
        <v>7.9161290322580129</v>
      </c>
      <c r="F12" s="14">
        <f>$C12*((raw!D11-$C$35)/$C$37)</f>
        <v>6.6129032258064093</v>
      </c>
      <c r="G12" s="14">
        <f>$C12*((raw!E11-$C$35)/$C$37)</f>
        <v>5.4161290322580813</v>
      </c>
      <c r="H12" s="14">
        <f>$C12*((raw!F11-$C$35)/$C$37)</f>
        <v>4.3129032258064246</v>
      </c>
      <c r="I12" s="14">
        <f>$C12*((raw!G11-$C$35)/$C$37)</f>
        <v>3.2870967741934805</v>
      </c>
      <c r="J12" s="14">
        <f>$C12*((raw!H11-$C$35)/$C$37)</f>
        <v>2.3290322580644558</v>
      </c>
      <c r="K12" s="14">
        <f>$C12*((raw!I11-$C$35)/$C$37)</f>
        <v>1.4290322580644661</v>
      </c>
      <c r="L12" s="14">
        <f>$C12*((raw!J11-$C$35)/$C$37)</f>
        <v>0.58064516129025401</v>
      </c>
      <c r="M12" s="14">
        <f>$C12*((raw!K11-$C$35)/$C$37)</f>
        <v>2.5516129032258004</v>
      </c>
      <c r="N12" s="14">
        <f>$C12*((raw!L11-$C$35)/$C$37)</f>
        <v>2.4774193548387164</v>
      </c>
      <c r="O12" s="14">
        <f>$C12*((raw!M11-$C$35)/$C$37)</f>
        <v>2.4000000000000039</v>
      </c>
      <c r="P12" s="14">
        <f>$C12*((raw!N11-$C$35)/$C$37)</f>
        <v>2.3290322580644558</v>
      </c>
      <c r="Q12" s="14">
        <f>$C12*((raw!O11-$C$35)/$C$37)</f>
        <v>2.2774193548386776</v>
      </c>
      <c r="R12" s="14">
        <f>$C12*((raw!P11-$C$35)/$C$37)</f>
        <v>2.2451612903225779</v>
      </c>
      <c r="S12" s="14">
        <f>$C12*((raw!Q11-$C$35)/$C$37)</f>
        <v>2.2322580645160652</v>
      </c>
      <c r="T12" s="14">
        <f>$C12*((raw!R11-$C$35)/$C$37)</f>
        <v>2.3290322580644558</v>
      </c>
      <c r="U12" s="14">
        <f>$C12*((raw!S11-$C$35)/$C$37)</f>
        <v>2.3290322580644558</v>
      </c>
      <c r="V12" s="14">
        <f>$C12*((raw!T11-$C$35)/$C$37)</f>
        <v>2.3290322580644558</v>
      </c>
      <c r="W12" s="14">
        <f>$C12*((raw!U11-$C$35)/$C$37)</f>
        <v>2.3290322580644558</v>
      </c>
      <c r="X12" s="14">
        <f>$C12*((raw!V11-$C$35)/$C$37)</f>
        <v>2.3290322580644558</v>
      </c>
      <c r="Y12" s="14">
        <f>$C12*((raw!W11-$C$35)/$C$37)</f>
        <v>2.3290322580644558</v>
      </c>
      <c r="Z12" s="17">
        <f t="shared" si="2"/>
        <v>0.58064516129025401</v>
      </c>
      <c r="AA12" s="17">
        <f t="shared" si="1"/>
        <v>9.3580645161289908</v>
      </c>
      <c r="AB12" s="10">
        <f t="shared" si="3"/>
        <v>3.2604105571847102</v>
      </c>
      <c r="AC12" s="10">
        <f t="shared" si="4"/>
        <v>2.113125322843572</v>
      </c>
      <c r="AD12" s="10">
        <f t="shared" si="5"/>
        <v>2.1628527222490268</v>
      </c>
      <c r="AE12" s="10">
        <f t="shared" si="6"/>
        <v>2.1628527222490268</v>
      </c>
    </row>
    <row r="13" spans="1:31" ht="16.5" thickTop="1" thickBot="1" x14ac:dyDescent="0.3">
      <c r="A13" s="15" t="str">
        <f>weights!A7</f>
        <v>LAX - Narita</v>
      </c>
      <c r="B13" s="15" t="str">
        <f>weights!B7</f>
        <v>Fraction of coverage gap to total time analysed</v>
      </c>
      <c r="C13" s="16">
        <v>10</v>
      </c>
      <c r="D13" s="14">
        <f>$C$13*(1-(raw!B12-$C$53)/$C$55)</f>
        <v>3.9531196783424338</v>
      </c>
      <c r="E13" s="14">
        <f>$C$13*(1-(raw!C12-$C$53)/$C$55)</f>
        <v>4.5307819460847698</v>
      </c>
      <c r="F13" s="14">
        <f>$C$13*(1-(raw!D12-$C$53)/$C$55)</f>
        <v>5.0524495036391581</v>
      </c>
      <c r="G13" s="14">
        <f>$C$13*(1-(raw!E12-$C$53)/$C$55)</f>
        <v>5.5239793120081977</v>
      </c>
      <c r="H13" s="14">
        <f>$C$13*(1-(raw!F12-$C$53)/$C$55)</f>
        <v>5.9702611527486447</v>
      </c>
      <c r="I13" s="14">
        <f>$C$13*(1-(raw!G12-$C$53)/$C$55)</f>
        <v>6.3830182403852254</v>
      </c>
      <c r="J13" s="14">
        <f>$C$13*(1-(raw!H12-$C$53)/$C$55)</f>
        <v>6.7454374822219325</v>
      </c>
      <c r="K13" s="14">
        <f>$C$13*(1-(raw!I12-$C$53)/$C$55)</f>
        <v>7.1067474382529783</v>
      </c>
      <c r="L13" s="14">
        <f>$C$13*(1-(raw!J12-$C$53)/$C$55)</f>
        <v>7.4915194607166473</v>
      </c>
      <c r="M13" s="14">
        <f>$C$13*(1-(raw!K12-$C$53)/$C$55)</f>
        <v>4.0947771078661921</v>
      </c>
      <c r="N13" s="14">
        <f>$C$13*(1-(raw!L12-$C$53)/$C$55)</f>
        <v>5.513317122219668</v>
      </c>
      <c r="O13" s="14">
        <f>$C$13*(1-(raw!M12-$C$53)/$C$55)</f>
        <v>6.1939679613119907</v>
      </c>
      <c r="P13" s="14">
        <f>$C$13*(1-(raw!N12-$C$53)/$C$55)</f>
        <v>6.7454374822219325</v>
      </c>
      <c r="Q13" s="14">
        <f>$C$13*(1-(raw!O12-$C$53)/$C$55)</f>
        <v>6.0777853938130715</v>
      </c>
      <c r="R13" s="14">
        <f>$C$13*(1-(raw!P12-$C$53)/$C$55)</f>
        <v>5.0747828282929337</v>
      </c>
      <c r="S13" s="14">
        <f>$C$13*(1-(raw!Q12-$C$53)/$C$55)</f>
        <v>5.0169601413603075</v>
      </c>
      <c r="T13" s="14">
        <f>$C$13*(1-(raw!R12-$C$53)/$C$55)</f>
        <v>0</v>
      </c>
      <c r="U13" s="14">
        <f>$C$13*(1-(raw!S12-$C$53)/$C$55)</f>
        <v>3.7183164129432278</v>
      </c>
      <c r="V13" s="14">
        <f>$C$13*(1-(raw!T12-$C$53)/$C$55)</f>
        <v>6.6727453866937125</v>
      </c>
      <c r="W13" s="14">
        <f>$C$13*(1-(raw!U12-$C$53)/$C$55)</f>
        <v>6.745387633840771</v>
      </c>
      <c r="X13" s="14">
        <f>$C$13*(1-(raw!V12-$C$53)/$C$55)</f>
        <v>7.3339987778215256</v>
      </c>
      <c r="Y13" s="14">
        <f>$C$13*(1-(raw!W12-$C$53)/$C$55)</f>
        <v>10</v>
      </c>
      <c r="Z13" s="17">
        <f t="shared" si="2"/>
        <v>0</v>
      </c>
      <c r="AA13" s="17">
        <f t="shared" si="1"/>
        <v>10</v>
      </c>
      <c r="AB13" s="10">
        <f t="shared" si="3"/>
        <v>5.724763202853878</v>
      </c>
      <c r="AC13" s="10">
        <f t="shared" si="4"/>
        <v>1.8615882535255086</v>
      </c>
      <c r="AD13" s="10">
        <f t="shared" si="5"/>
        <v>1.9053963237856273</v>
      </c>
      <c r="AE13" s="10">
        <f t="shared" si="6"/>
        <v>1.9053963237856273</v>
      </c>
    </row>
    <row r="14" spans="1:31" ht="16.5" thickTop="1" thickBot="1" x14ac:dyDescent="0.3">
      <c r="A14" s="15" t="str">
        <f>weights!A8</f>
        <v>LAX - Narita</v>
      </c>
      <c r="B14" s="15" t="str">
        <f>weights!B8</f>
        <v>Average coverage gap time</v>
      </c>
      <c r="C14" s="16">
        <v>10</v>
      </c>
      <c r="D14" s="14">
        <f>$C$14*(1-(raw!B14-$C$57)/$C$59)</f>
        <v>8.0130074147058359</v>
      </c>
      <c r="E14" s="14">
        <f>$C$14*(1-(raw!C14-$C$57)/$C$59)</f>
        <v>8.2430829749631158</v>
      </c>
      <c r="F14" s="14">
        <f>$C$14*(1-(raw!D14-$C$57)/$C$59)</f>
        <v>8.4432848669838485</v>
      </c>
      <c r="G14" s="14">
        <f>$C$14*(1-(raw!E14-$C$57)/$C$59)</f>
        <v>8.5658368910216858</v>
      </c>
      <c r="H14" s="14">
        <f>$C$14*(1-(raw!F14-$C$57)/$C$59)</f>
        <v>8.7093530753573472</v>
      </c>
      <c r="I14" s="14">
        <f>$C$14*(1-(raw!G14-$C$57)/$C$59)</f>
        <v>8.8318417230860664</v>
      </c>
      <c r="J14" s="14">
        <f>$C$14*(1-(raw!H14-$C$57)/$C$59)</f>
        <v>8.9566174056568961</v>
      </c>
      <c r="K14" s="14">
        <f>$C$14*(1-(raw!I14-$C$57)/$C$59)</f>
        <v>9.0635221600196463</v>
      </c>
      <c r="L14" s="14">
        <f>$C$14*(1-(raw!J14-$C$57)/$C$59)</f>
        <v>9.1896567376633786</v>
      </c>
      <c r="M14" s="14">
        <f>$C$14*(1-(raw!K14-$C$57)/$C$59)</f>
        <v>7.9563768284341672</v>
      </c>
      <c r="N14" s="14">
        <f>$C$14*(1-(raw!L14-$C$57)/$C$59)</f>
        <v>8.4870381446497483</v>
      </c>
      <c r="O14" s="14">
        <f>$C$14*(1-(raw!M14-$C$57)/$C$59)</f>
        <v>8.7423519071200104</v>
      </c>
      <c r="P14" s="14">
        <f>$C$14*(1-(raw!N14-$C$57)/$C$59)</f>
        <v>8.9566174056568961</v>
      </c>
      <c r="Q14" s="14">
        <f>$C$14*(1-(raw!O14-$C$57)/$C$59)</f>
        <v>8.7811908037130557</v>
      </c>
      <c r="R14" s="14">
        <f>$C$14*(1-(raw!P14-$C$57)/$C$59)</f>
        <v>8.4174220391802876</v>
      </c>
      <c r="S14" s="14">
        <f>$C$14*(1-(raw!Q14-$C$57)/$C$59)</f>
        <v>8.4311289170140533</v>
      </c>
      <c r="T14" s="14">
        <f>$C$14*(1-(raw!R14-$C$57)/$C$59)</f>
        <v>0</v>
      </c>
      <c r="U14" s="14">
        <f>$C$14*(1-(raw!S14-$C$57)/$C$59)</f>
        <v>7.407457749443096</v>
      </c>
      <c r="V14" s="14">
        <f>$C$14*(1-(raw!T14-$C$57)/$C$59)</f>
        <v>8.8212540209200281</v>
      </c>
      <c r="W14" s="14">
        <f>$C$14*(1-(raw!U14-$C$57)/$C$59)</f>
        <v>8.9566174056568961</v>
      </c>
      <c r="X14" s="14">
        <f>$C$14*(1-(raw!V14-$C$57)/$C$59)</f>
        <v>9.4725853438281344</v>
      </c>
      <c r="Y14" s="14">
        <f>$C$14*(1-(raw!W14-$C$57)/$C$59)</f>
        <v>10</v>
      </c>
      <c r="Z14" s="17">
        <f t="shared" si="2"/>
        <v>0</v>
      </c>
      <c r="AA14" s="17">
        <f t="shared" si="1"/>
        <v>10</v>
      </c>
      <c r="AB14" s="10">
        <f t="shared" si="3"/>
        <v>8.2930110825033747</v>
      </c>
      <c r="AC14" s="10">
        <f t="shared" si="4"/>
        <v>1.8844893932242179</v>
      </c>
      <c r="AD14" s="10">
        <f t="shared" si="5"/>
        <v>1.9288363875643821</v>
      </c>
      <c r="AE14" s="10">
        <f t="shared" si="6"/>
        <v>1.9288363875643821</v>
      </c>
    </row>
    <row r="15" spans="1:31" ht="16.5" thickTop="1" thickBot="1" x14ac:dyDescent="0.3">
      <c r="A15" s="15" t="str">
        <f>weights!A9</f>
        <v>LAX - Narita</v>
      </c>
      <c r="B15" s="15" t="str">
        <f>weights!B9</f>
        <v>Maximum coverage gap time</v>
      </c>
      <c r="C15" s="16">
        <v>10</v>
      </c>
      <c r="D15" s="14">
        <f>$C$15*(1-(raw!B16-$C$61)/$C$63)</f>
        <v>2.9930072940835273</v>
      </c>
      <c r="E15" s="14">
        <f>$C$15*(1-(raw!C16-$C$61)/$C$63)</f>
        <v>4.9754117423343045</v>
      </c>
      <c r="F15" s="14">
        <f>$C$15*(1-(raw!D16-$C$61)/$C$63)</f>
        <v>6.9912471518893469</v>
      </c>
      <c r="G15" s="14">
        <f>$C$15*(1-(raw!E16-$C$61)/$C$63)</f>
        <v>9.0493394282643465</v>
      </c>
      <c r="H15" s="14">
        <f>$C$15*(1-(raw!F16-$C$61)/$C$63)</f>
        <v>9.2119441149545693</v>
      </c>
      <c r="I15" s="14">
        <f>$C$15*(1-(raw!G16-$C$61)/$C$63)</f>
        <v>9.2697309986046132</v>
      </c>
      <c r="J15" s="14">
        <f>$C$15*(1-(raw!H16-$C$61)/$C$63)</f>
        <v>9.3092068513617328</v>
      </c>
      <c r="K15" s="14">
        <f>$C$15*(1-(raw!I16-$C$61)/$C$63)</f>
        <v>9.4047270816680868</v>
      </c>
      <c r="L15" s="14">
        <f>$C$15*(1-(raw!J16-$C$61)/$C$63)</f>
        <v>9.4895431322484001</v>
      </c>
      <c r="M15" s="14">
        <f>$C$15*(1-(raw!K16-$C$61)/$C$63)</f>
        <v>9.1126519511459385</v>
      </c>
      <c r="N15" s="14">
        <f>$C$15*(1-(raw!L16-$C$61)/$C$63)</f>
        <v>9.1667592733725982</v>
      </c>
      <c r="O15" s="14">
        <f>$C$15*(1-(raw!M16-$C$61)/$C$63)</f>
        <v>8.8118964724443174</v>
      </c>
      <c r="P15" s="14">
        <f>$C$15*(1-(raw!N16-$C$61)/$C$63)</f>
        <v>9.3092068513617328</v>
      </c>
      <c r="Q15" s="14">
        <f>$C$15*(1-(raw!O16-$C$61)/$C$63)</f>
        <v>0</v>
      </c>
      <c r="R15" s="14">
        <f>$C$15*(1-(raw!P16-$C$61)/$C$63)</f>
        <v>7.3963893557177141</v>
      </c>
      <c r="S15" s="14">
        <f>$C$15*(1-(raw!Q16-$C$61)/$C$63)</f>
        <v>9.0556488470400502</v>
      </c>
      <c r="T15" s="14">
        <f>$C$15*(1-(raw!R16-$C$61)/$C$63)</f>
        <v>2.9306227082387517</v>
      </c>
      <c r="U15" s="14">
        <f>$C$15*(1-(raw!S16-$C$61)/$C$63)</f>
        <v>7.2229853175353975</v>
      </c>
      <c r="V15" s="14">
        <f>$C$15*(1-(raw!T16-$C$61)/$C$63)</f>
        <v>8.6398850419386335</v>
      </c>
      <c r="W15" s="14">
        <f>$C$15*(1-(raw!U16-$C$61)/$C$63)</f>
        <v>9.3092068513617328</v>
      </c>
      <c r="X15" s="14">
        <f>$C$15*(1-(raw!V16-$C$61)/$C$63)</f>
        <v>9.595999873201448</v>
      </c>
      <c r="Y15" s="14">
        <f>$C$15*(1-(raw!W16-$C$61)/$C$63)</f>
        <v>10</v>
      </c>
      <c r="Z15" s="17">
        <f t="shared" si="2"/>
        <v>0</v>
      </c>
      <c r="AA15" s="17">
        <f t="shared" si="1"/>
        <v>10</v>
      </c>
      <c r="AB15" s="10">
        <f t="shared" si="3"/>
        <v>7.7838822881257821</v>
      </c>
      <c r="AC15" s="10">
        <f t="shared" si="4"/>
        <v>2.6087317429365484</v>
      </c>
      <c r="AD15" s="10">
        <f t="shared" si="5"/>
        <v>2.6701220655645161</v>
      </c>
      <c r="AE15" s="10">
        <f t="shared" si="6"/>
        <v>2.6701220655645161</v>
      </c>
    </row>
    <row r="16" spans="1:31" ht="16.5" thickTop="1" thickBot="1" x14ac:dyDescent="0.3">
      <c r="A16" s="15" t="str">
        <f>weights!A10</f>
        <v>LAX - Narita</v>
      </c>
      <c r="B16" s="15" t="str">
        <f>weights!B10</f>
        <v>Minimum Received RX Power</v>
      </c>
      <c r="C16" s="16">
        <v>10</v>
      </c>
      <c r="D16" s="14">
        <f>$C16*((raw!B17-$C$35)/$C$37)</f>
        <v>9.3741935483870407</v>
      </c>
      <c r="E16" s="14">
        <f>$C16*((raw!C17-$C$35)/$C$37)</f>
        <v>7.9354838709676905</v>
      </c>
      <c r="F16" s="14">
        <f>$C16*((raw!D17-$C$35)/$C$37)</f>
        <v>6.6290322580644592</v>
      </c>
      <c r="G16" s="14">
        <f>$C16*((raw!E17-$C$35)/$C$37)</f>
        <v>5.4322580645161311</v>
      </c>
      <c r="H16" s="14">
        <f>$C16*((raw!F17-$C$35)/$C$37)</f>
        <v>4.3290322580644744</v>
      </c>
      <c r="I16" s="14">
        <f>$C16*((raw!G17-$C$35)/$C$37)</f>
        <v>3.3032258064516218</v>
      </c>
      <c r="J16" s="14">
        <f>$C16*((raw!H17-$C$35)/$C$37)</f>
        <v>2.3451612903225056</v>
      </c>
      <c r="K16" s="14">
        <f>$C16*((raw!I17-$C$35)/$C$37)</f>
        <v>1.4419354838709793</v>
      </c>
      <c r="L16" s="14">
        <f>$C16*((raw!J17-$C$35)/$C$37)</f>
        <v>0.59354838709676716</v>
      </c>
      <c r="M16" s="14">
        <f>$C16*((raw!K17-$C$35)/$C$37)</f>
        <v>2.5516129032258004</v>
      </c>
      <c r="N16" s="14">
        <f>$C16*((raw!L17-$C$35)/$C$37)</f>
        <v>2.4774193548387164</v>
      </c>
      <c r="O16" s="14">
        <f>$C16*((raw!M17-$C$35)/$C$37)</f>
        <v>2.4032258064515402</v>
      </c>
      <c r="P16" s="14">
        <f>$C16*((raw!N17-$C$35)/$C$37)</f>
        <v>2.3451612903225056</v>
      </c>
      <c r="Q16" s="14">
        <f>$C16*((raw!O17-$C$35)/$C$37)</f>
        <v>2.2999999999999843</v>
      </c>
      <c r="R16" s="14">
        <f>$C16*((raw!P17-$C$35)/$C$37)</f>
        <v>2.2806451612903063</v>
      </c>
      <c r="S16" s="14">
        <f>$C16*((raw!Q17-$C$35)/$C$37)</f>
        <v>2.3709677419354405</v>
      </c>
      <c r="T16" s="14">
        <f>$C16*((raw!R17-$C$35)/$C$37)</f>
        <v>2.3451612903225056</v>
      </c>
      <c r="U16" s="14">
        <f>$C16*((raw!S17-$C$35)/$C$37)</f>
        <v>2.3451612903225056</v>
      </c>
      <c r="V16" s="14">
        <f>$C16*((raw!T17-$C$35)/$C$37)</f>
        <v>2.3451612903225056</v>
      </c>
      <c r="W16" s="14">
        <f>$C16*((raw!U17-$C$35)/$C$37)</f>
        <v>2.3451612903225056</v>
      </c>
      <c r="X16" s="14">
        <f>$C16*((raw!V17-$C$35)/$C$37)</f>
        <v>2.3451612903225056</v>
      </c>
      <c r="Y16" s="14">
        <f>$C16*((raw!W17-$C$35)/$C$37)</f>
        <v>2.3451612903225056</v>
      </c>
      <c r="Z16" s="17">
        <f t="shared" si="2"/>
        <v>0.59354838709676716</v>
      </c>
      <c r="AA16" s="17">
        <f t="shared" si="1"/>
        <v>9.3741935483870407</v>
      </c>
      <c r="AB16" s="10">
        <f t="shared" si="3"/>
        <v>3.2810850439882278</v>
      </c>
      <c r="AC16" s="10">
        <f t="shared" si="4"/>
        <v>2.1114158977852338</v>
      </c>
      <c r="AD16" s="10">
        <f t="shared" si="5"/>
        <v>2.1611030699208187</v>
      </c>
      <c r="AE16" s="10">
        <f t="shared" si="6"/>
        <v>2.1611030699208187</v>
      </c>
    </row>
    <row r="17" spans="1:31" ht="16.5" thickTop="1" thickBot="1" x14ac:dyDescent="0.3">
      <c r="A17" s="15" t="str">
        <f>weights!A11</f>
        <v>LAX - Sydney</v>
      </c>
      <c r="B17" s="15" t="str">
        <f>weights!B11</f>
        <v>Fraction of coverage gap to total time analysed</v>
      </c>
      <c r="C17" s="16">
        <v>10</v>
      </c>
      <c r="D17" s="14">
        <f>$C$17*(1-(raw!B18-$C$65)/$C$67)</f>
        <v>3.017017658917017</v>
      </c>
      <c r="E17" s="14">
        <f>$C$17*(1-(raw!C18-$C$65)/$C$67)</f>
        <v>3.5164463975871652</v>
      </c>
      <c r="F17" s="14">
        <f>$C$17*(1-(raw!D18-$C$65)/$C$67)</f>
        <v>4.0811629807734393</v>
      </c>
      <c r="G17" s="14">
        <f>$C$17*(1-(raw!E18-$C$65)/$C$67)</f>
        <v>4.5646819596178476</v>
      </c>
      <c r="H17" s="14">
        <f>$C$17*(1-(raw!F18-$C$65)/$C$67)</f>
        <v>4.9958926710343654</v>
      </c>
      <c r="I17" s="14">
        <f>$C$17*(1-(raw!G18-$C$65)/$C$67)</f>
        <v>5.5439821425428555</v>
      </c>
      <c r="J17" s="14">
        <f>$C$17*(1-(raw!H18-$C$65)/$C$67)</f>
        <v>6.0587303104802714</v>
      </c>
      <c r="K17" s="14">
        <f>$C$17*(1-(raw!I18-$C$65)/$C$67)</f>
        <v>6.5052103039398954</v>
      </c>
      <c r="L17" s="14">
        <f>$C$17*(1-(raw!J18-$C$65)/$C$67)</f>
        <v>6.9954702072685695</v>
      </c>
      <c r="M17" s="14">
        <f>$C$17*(1-(raw!K18-$C$65)/$C$67)</f>
        <v>10</v>
      </c>
      <c r="N17" s="14">
        <f>$C$17*(1-(raw!L18-$C$65)/$C$67)</f>
        <v>8.5808875915039664</v>
      </c>
      <c r="O17" s="14">
        <f>$C$17*(1-(raw!M18-$C$65)/$C$67)</f>
        <v>7.1388396563980194</v>
      </c>
      <c r="P17" s="14">
        <f>$C$17*(1-(raw!N18-$C$65)/$C$67)</f>
        <v>6.0587303104802714</v>
      </c>
      <c r="Q17" s="14">
        <f>$C$17*(1-(raw!O18-$C$65)/$C$67)</f>
        <v>5.9660321005471442</v>
      </c>
      <c r="R17" s="14">
        <f>$C$17*(1-(raw!P18-$C$65)/$C$67)</f>
        <v>5.9941204224502087</v>
      </c>
      <c r="S17" s="14">
        <f>$C$17*(1-(raw!Q18-$C$65)/$C$67)</f>
        <v>6.0880276083894245</v>
      </c>
      <c r="T17" s="14">
        <f>$C$17*(1-(raw!R18-$C$65)/$C$67)</f>
        <v>0</v>
      </c>
      <c r="U17" s="14">
        <f>$C$17*(1-(raw!S18-$C$65)/$C$67)</f>
        <v>2.8250473444154887</v>
      </c>
      <c r="V17" s="14">
        <f>$C$17*(1-(raw!T18-$C$65)/$C$67)</f>
        <v>4.004461297342143</v>
      </c>
      <c r="W17" s="14">
        <f>$C$17*(1-(raw!U18-$C$65)/$C$67)</f>
        <v>6.0587303104802714</v>
      </c>
      <c r="X17" s="14">
        <f>$C$17*(1-(raw!V18-$C$65)/$C$67)</f>
        <v>8.5365789536637529</v>
      </c>
      <c r="Y17" s="14">
        <f>$C$17*(1-(raw!W18-$C$65)/$C$67)</f>
        <v>9.8183467721633715</v>
      </c>
      <c r="Z17" s="17">
        <f t="shared" si="2"/>
        <v>0</v>
      </c>
      <c r="AA17" s="17">
        <f t="shared" si="1"/>
        <v>10</v>
      </c>
      <c r="AB17" s="10">
        <f t="shared" si="3"/>
        <v>5.7431089545452485</v>
      </c>
      <c r="AC17" s="10">
        <f t="shared" si="4"/>
        <v>2.304862024867492</v>
      </c>
      <c r="AD17" s="10">
        <f t="shared" si="5"/>
        <v>2.3591014934148737</v>
      </c>
      <c r="AE17" s="10">
        <f t="shared" si="6"/>
        <v>2.3591014934148737</v>
      </c>
    </row>
    <row r="18" spans="1:31" ht="16.5" thickTop="1" thickBot="1" x14ac:dyDescent="0.3">
      <c r="A18" s="15" t="str">
        <f>weights!A12</f>
        <v>LAX - Sydney</v>
      </c>
      <c r="B18" s="15" t="str">
        <f>weights!B12</f>
        <v>Average coverage gap time</v>
      </c>
      <c r="C18" s="16">
        <v>10</v>
      </c>
      <c r="D18" s="14">
        <f>$C$18*(1-(raw!B20-$C$69)/$C$71)</f>
        <v>7.8640232824563601</v>
      </c>
      <c r="E18" s="14">
        <f>$C$18*(1-(raw!C20-$C$69)/$C$71)</f>
        <v>8.0384108091113049</v>
      </c>
      <c r="F18" s="14">
        <f>$C$18*(1-(raw!D20-$C$69)/$C$71)</f>
        <v>8.3109408782493741</v>
      </c>
      <c r="G18" s="14">
        <f>$C$18*(1-(raw!E20-$C$69)/$C$71)</f>
        <v>8.4656017231935099</v>
      </c>
      <c r="H18" s="14">
        <f>$C$18*(1-(raw!F20-$C$69)/$C$71)</f>
        <v>8.6155352978463711</v>
      </c>
      <c r="I18" s="14">
        <f>$C$18*(1-(raw!G20-$C$69)/$C$71)</f>
        <v>8.7970913240563036</v>
      </c>
      <c r="J18" s="14">
        <f>$C$18*(1-(raw!H20-$C$69)/$C$71)</f>
        <v>8.97125719603509</v>
      </c>
      <c r="K18" s="14">
        <f>$C$18*(1-(raw!I20-$C$69)/$C$71)</f>
        <v>9.0785274629539732</v>
      </c>
      <c r="L18" s="14">
        <f>$C$18*(1-(raw!J20-$C$69)/$C$71)</f>
        <v>9.1955917394649731</v>
      </c>
      <c r="M18" s="14">
        <f>$C$18*(1-(raw!K20-$C$69)/$C$71)</f>
        <v>9.8764682782780273</v>
      </c>
      <c r="N18" s="14">
        <f>$C$18*(1-(raw!L20-$C$69)/$C$71)</f>
        <v>9.6627167574488873</v>
      </c>
      <c r="O18" s="14">
        <f>$C$18*(1-(raw!M20-$C$69)/$C$71)</f>
        <v>9.2857305466203002</v>
      </c>
      <c r="P18" s="14">
        <f>$C$18*(1-(raw!N20-$C$69)/$C$71)</f>
        <v>8.97125719603509</v>
      </c>
      <c r="Q18" s="14">
        <f>$C$18*(1-(raw!O20-$C$69)/$C$71)</f>
        <v>8.95721064536834</v>
      </c>
      <c r="R18" s="14">
        <f>$C$18*(1-(raw!P20-$C$69)/$C$71)</f>
        <v>9.0246893976272045</v>
      </c>
      <c r="S18" s="14">
        <f>$C$18*(1-(raw!Q20-$C$69)/$C$71)</f>
        <v>9.1241788228194167</v>
      </c>
      <c r="T18" s="14">
        <f>$C$18*(1-(raw!R20-$C$69)/$C$71)</f>
        <v>0</v>
      </c>
      <c r="U18" s="14">
        <f>$C$18*(1-(raw!S20-$C$69)/$C$71)</f>
        <v>6.9443045493650928</v>
      </c>
      <c r="V18" s="14">
        <f>$C$18*(1-(raw!T20-$C$69)/$C$71)</f>
        <v>7.6490419896863404</v>
      </c>
      <c r="W18" s="14">
        <f>$C$18*(1-(raw!U20-$C$69)/$C$71)</f>
        <v>8.97125719603509</v>
      </c>
      <c r="X18" s="14">
        <f>$C$18*(1-(raw!V20-$C$69)/$C$71)</f>
        <v>9.5123824207467216</v>
      </c>
      <c r="Y18" s="14">
        <f>$C$18*(1-(raw!W20-$C$69)/$C$71)</f>
        <v>10</v>
      </c>
      <c r="Z18" s="17">
        <f t="shared" si="2"/>
        <v>0</v>
      </c>
      <c r="AA18" s="17">
        <f t="shared" si="1"/>
        <v>10</v>
      </c>
      <c r="AB18" s="10">
        <f t="shared" si="3"/>
        <v>8.4234644324271688</v>
      </c>
      <c r="AC18" s="10">
        <f t="shared" si="4"/>
        <v>1.9716065824050018</v>
      </c>
      <c r="AD18" s="10">
        <f t="shared" si="5"/>
        <v>2.0180036734500981</v>
      </c>
      <c r="AE18" s="10">
        <f t="shared" si="6"/>
        <v>2.0180036734500981</v>
      </c>
    </row>
    <row r="19" spans="1:31" ht="16.5" thickTop="1" thickBot="1" x14ac:dyDescent="0.3">
      <c r="A19" s="15" t="str">
        <f>weights!A13</f>
        <v>LAX - Sydney</v>
      </c>
      <c r="B19" s="15" t="str">
        <f>weights!B13</f>
        <v>Maximum coverage gap time</v>
      </c>
      <c r="C19" s="16">
        <v>10</v>
      </c>
      <c r="D19" s="14">
        <f>$C$15*(1-(raw!B22-$C$73)/$C$75)</f>
        <v>1.4953209810781454</v>
      </c>
      <c r="E19" s="14">
        <f>$C$15*(1-(raw!C22-$C$73)/$C$75)</f>
        <v>1.4451342502490849</v>
      </c>
      <c r="F19" s="14">
        <f>$C$15*(1-(raw!D22-$C$73)/$C$75)</f>
        <v>2.2935292091069028</v>
      </c>
      <c r="G19" s="14">
        <f>$C$15*(1-(raw!E22-$C$73)/$C$75)</f>
        <v>3.1648932151431843</v>
      </c>
      <c r="H19" s="14">
        <f>$C$15*(1-(raw!F22-$C$73)/$C$75)</f>
        <v>4.0968004554905013</v>
      </c>
      <c r="I19" s="14">
        <f>$C$15*(1-(raw!G22-$C$73)/$C$75)</f>
        <v>4.9787765264371062</v>
      </c>
      <c r="J19" s="14">
        <f>$C$15*(1-(raw!H22-$C$73)/$C$75)</f>
        <v>5.8543563209479359</v>
      </c>
      <c r="K19" s="14">
        <f>$C$15*(1-(raw!I22-$C$73)/$C$75)</f>
        <v>5.8998404480052411</v>
      </c>
      <c r="L19" s="14">
        <f>$C$15*(1-(raw!J22-$C$73)/$C$75)</f>
        <v>6.812303294725746</v>
      </c>
      <c r="M19" s="14">
        <f>$C$15*(1-(raw!K22-$C$73)/$C$75)</f>
        <v>9.8924182437908073</v>
      </c>
      <c r="N19" s="14">
        <f>$C$15*(1-(raw!L22-$C$73)/$C$75)</f>
        <v>10</v>
      </c>
      <c r="O19" s="14">
        <f>$C$15*(1-(raw!M22-$C$73)/$C$75)</f>
        <v>7.0490069410219061</v>
      </c>
      <c r="P19" s="14">
        <f>$C$15*(1-(raw!N22-$C$73)/$C$75)</f>
        <v>5.8543563209479359</v>
      </c>
      <c r="Q19" s="14">
        <f>$C$15*(1-(raw!O22-$C$73)/$C$75)</f>
        <v>5.5854735395555952</v>
      </c>
      <c r="R19" s="14">
        <f>$C$15*(1-(raw!P22-$C$73)/$C$75)</f>
        <v>8.4494822211150016</v>
      </c>
      <c r="S19" s="14">
        <f>$C$15*(1-(raw!Q22-$C$73)/$C$75)</f>
        <v>9.0155658950917346</v>
      </c>
      <c r="T19" s="14">
        <f>$C$15*(1-(raw!R22-$C$73)/$C$75)</f>
        <v>0</v>
      </c>
      <c r="U19" s="14">
        <f>$C$15*(1-(raw!S22-$C$73)/$C$75)</f>
        <v>5.0199798256952359</v>
      </c>
      <c r="V19" s="14">
        <f>$C$15*(1-(raw!T22-$C$73)/$C$75)</f>
        <v>5.0762566851609092</v>
      </c>
      <c r="W19" s="14">
        <f>$C$15*(1-(raw!U22-$C$73)/$C$75)</f>
        <v>5.8543563209479359</v>
      </c>
      <c r="X19" s="14">
        <f>$C$15*(1-(raw!V22-$C$73)/$C$75)</f>
        <v>5.523002092879473</v>
      </c>
      <c r="Y19" s="14">
        <f>$C$15*(1-(raw!W22-$C$73)/$C$75)</f>
        <v>5.8543543496963686</v>
      </c>
      <c r="Z19" s="17">
        <f t="shared" si="2"/>
        <v>0</v>
      </c>
      <c r="AA19" s="17">
        <f t="shared" si="1"/>
        <v>10</v>
      </c>
      <c r="AB19" s="10">
        <f t="shared" si="3"/>
        <v>5.4188730516857611</v>
      </c>
      <c r="AC19" s="10">
        <f t="shared" si="4"/>
        <v>2.5793138938160656</v>
      </c>
      <c r="AD19" s="10">
        <f t="shared" si="5"/>
        <v>2.6400119370429711</v>
      </c>
      <c r="AE19" s="10">
        <f t="shared" si="6"/>
        <v>2.6400119370429711</v>
      </c>
    </row>
    <row r="20" spans="1:31" ht="16.5" thickTop="1" thickBot="1" x14ac:dyDescent="0.3">
      <c r="A20" s="15" t="str">
        <f>weights!A14</f>
        <v>LAX - Sydney</v>
      </c>
      <c r="B20" s="15" t="str">
        <f>weights!B14</f>
        <v>Minimum Received RX Power</v>
      </c>
      <c r="C20" s="16">
        <v>10</v>
      </c>
      <c r="D20" s="14">
        <f>$C20*((raw!B23-$C$35)/$C$37)</f>
        <v>9.4548387096773823</v>
      </c>
      <c r="E20" s="14">
        <f>$C20*((raw!C23-$C$35)/$C$37)</f>
        <v>7.9354838709676905</v>
      </c>
      <c r="F20" s="14">
        <f>$C20*((raw!D23-$C$35)/$C$37)</f>
        <v>6.6870967741934928</v>
      </c>
      <c r="G20" s="14">
        <f>$C20*((raw!E23-$C$35)/$C$37)</f>
        <v>5.4774193548386521</v>
      </c>
      <c r="H20" s="14">
        <f>$C20*((raw!F23-$C$35)/$C$37)</f>
        <v>4.3709677419354591</v>
      </c>
      <c r="I20" s="14">
        <f>$C20*((raw!G23-$C$35)/$C$37)</f>
        <v>3.3419354838709783</v>
      </c>
      <c r="J20" s="14">
        <f>$C20*((raw!H23-$C$35)/$C$37)</f>
        <v>2.3806451612903254</v>
      </c>
      <c r="K20" s="14">
        <f>$C20*((raw!I23-$C$35)/$C$37)</f>
        <v>1.4806451612902438</v>
      </c>
      <c r="L20" s="14">
        <f>$C20*((raw!J23-$C$35)/$C$37)</f>
        <v>0.62903225806449525</v>
      </c>
      <c r="M20" s="14">
        <f>$C20*((raw!K23-$C$35)/$C$37)</f>
        <v>2.5516129032258004</v>
      </c>
      <c r="N20" s="14">
        <f>$C20*((raw!L23-$C$35)/$C$37)</f>
        <v>2.4870967741935095</v>
      </c>
      <c r="O20" s="14">
        <f>$C20*((raw!M23-$C$35)/$C$37)</f>
        <v>2.429032258064475</v>
      </c>
      <c r="P20" s="14">
        <f>$C20*((raw!N23-$C$35)/$C$37)</f>
        <v>2.3806451612903254</v>
      </c>
      <c r="Q20" s="14">
        <f>$C20*((raw!O23-$C$35)/$C$37)</f>
        <v>2.3709677419354405</v>
      </c>
      <c r="R20" s="14">
        <f>$C20*((raw!P23-$C$35)/$C$37)</f>
        <v>2.3741935483870686</v>
      </c>
      <c r="S20" s="14">
        <f>$C20*((raw!Q23-$C$35)/$C$37)</f>
        <v>2.3709677419354405</v>
      </c>
      <c r="T20" s="14">
        <f>$C20*((raw!R23-$C$35)/$C$37)</f>
        <v>2.3838709677418621</v>
      </c>
      <c r="U20" s="14">
        <f>$C20*((raw!S23-$C$35)/$C$37)</f>
        <v>2.3806451612903254</v>
      </c>
      <c r="V20" s="14">
        <f>$C20*((raw!T23-$C$35)/$C$37)</f>
        <v>2.3838709677418621</v>
      </c>
      <c r="W20" s="14">
        <f>$C20*((raw!U23-$C$35)/$C$37)</f>
        <v>2.3806451612903254</v>
      </c>
      <c r="X20" s="14">
        <f>$C20*((raw!V23-$C$35)/$C$37)</f>
        <v>2.3806451612903254</v>
      </c>
      <c r="Y20" s="14">
        <f>$C20*((raw!W23-$C$35)/$C$37)</f>
        <v>2.3806451612903254</v>
      </c>
      <c r="Z20" s="17">
        <f t="shared" si="2"/>
        <v>0.62903225806449525</v>
      </c>
      <c r="AA20" s="17">
        <f t="shared" si="1"/>
        <v>9.4548387096773823</v>
      </c>
      <c r="AB20" s="10">
        <f t="shared" si="3"/>
        <v>3.318768328445719</v>
      </c>
      <c r="AC20" s="10">
        <f t="shared" si="4"/>
        <v>2.1157536315783654</v>
      </c>
      <c r="AD20" s="10">
        <f t="shared" si="5"/>
        <v>2.1655428820045821</v>
      </c>
      <c r="AE20" s="10">
        <f t="shared" si="6"/>
        <v>2.1655428820045821</v>
      </c>
    </row>
    <row r="21" spans="1:31" ht="15.75" thickTop="1" x14ac:dyDescent="0.25">
      <c r="C21" t="s">
        <v>43</v>
      </c>
      <c r="D21">
        <f>SUM(D8:D20)</f>
        <v>83.089536327447291</v>
      </c>
      <c r="E21" s="10">
        <f t="shared" ref="E21:Y21" si="7">SUM(E8:E20)</f>
        <v>82.71036144909479</v>
      </c>
      <c r="F21" s="10">
        <f t="shared" si="7"/>
        <v>84.277292149448385</v>
      </c>
      <c r="G21" s="10">
        <f t="shared" si="7"/>
        <v>85.331894089755309</v>
      </c>
      <c r="H21" s="10">
        <f t="shared" si="7"/>
        <v>84.750101639736897</v>
      </c>
      <c r="I21" s="10">
        <f t="shared" si="7"/>
        <v>84.33507080489747</v>
      </c>
      <c r="J21" s="10">
        <f t="shared" si="7"/>
        <v>83.84108100699423</v>
      </c>
      <c r="K21" s="10">
        <f t="shared" si="7"/>
        <v>82.577875601509888</v>
      </c>
      <c r="L21" s="10">
        <f t="shared" si="7"/>
        <v>82.399623105379987</v>
      </c>
      <c r="M21" s="10">
        <f t="shared" si="7"/>
        <v>64.427468322034414</v>
      </c>
      <c r="N21" s="10">
        <f t="shared" si="7"/>
        <v>78.95609246651334</v>
      </c>
      <c r="O21" s="10">
        <f t="shared" si="7"/>
        <v>83.566886425160916</v>
      </c>
      <c r="P21" s="10">
        <f t="shared" si="7"/>
        <v>83.84108100699423</v>
      </c>
      <c r="Q21" s="10">
        <f t="shared" si="7"/>
        <v>72.510677347671844</v>
      </c>
      <c r="R21" s="10">
        <f t="shared" si="7"/>
        <v>82.85802610037112</v>
      </c>
      <c r="S21" s="10">
        <f t="shared" si="7"/>
        <v>85.070420787329809</v>
      </c>
      <c r="T21" s="10">
        <f t="shared" si="7"/>
        <v>28.9241613359723</v>
      </c>
      <c r="U21" s="10">
        <f t="shared" si="7"/>
        <v>67.992490678504055</v>
      </c>
      <c r="V21" s="10">
        <f t="shared" si="7"/>
        <v>78.889164778066089</v>
      </c>
      <c r="W21" s="10">
        <f t="shared" si="7"/>
        <v>83.841060722854351</v>
      </c>
      <c r="X21" s="10">
        <f t="shared" si="7"/>
        <v>87.374909886484502</v>
      </c>
      <c r="Y21" s="10">
        <f t="shared" si="7"/>
        <v>92.72753983153703</v>
      </c>
      <c r="Z21" s="17">
        <f t="shared" si="2"/>
        <v>28.9241613359723</v>
      </c>
      <c r="AA21" s="17">
        <f>MAX(D21:Y21)</f>
        <v>92.72753983153703</v>
      </c>
      <c r="AB21" s="10">
        <f t="shared" si="3"/>
        <v>79.286037084716284</v>
      </c>
      <c r="AC21" s="10">
        <f t="shared" si="4"/>
        <v>12.553958913061356</v>
      </c>
      <c r="AD21" s="10">
        <f t="shared" si="5"/>
        <v>12.84938660125419</v>
      </c>
      <c r="AE21" s="10">
        <f t="shared" si="6"/>
        <v>12.84938660125419</v>
      </c>
    </row>
    <row r="24" spans="1:31" x14ac:dyDescent="0.25">
      <c r="B24" s="11" t="s">
        <v>40</v>
      </c>
    </row>
    <row r="25" spans="1:31" x14ac:dyDescent="0.25">
      <c r="B25" t="s">
        <v>41</v>
      </c>
      <c r="C25">
        <v>18</v>
      </c>
    </row>
    <row r="26" spans="1:31" x14ac:dyDescent="0.25">
      <c r="B26" t="s">
        <v>42</v>
      </c>
      <c r="C26">
        <v>1</v>
      </c>
    </row>
    <row r="27" spans="1:31" x14ac:dyDescent="0.25">
      <c r="B27" t="s">
        <v>44</v>
      </c>
      <c r="C27">
        <v>10000</v>
      </c>
      <c r="D27">
        <v>38689</v>
      </c>
    </row>
    <row r="28" spans="1:31" x14ac:dyDescent="0.25">
      <c r="B28" t="s">
        <v>45</v>
      </c>
      <c r="C28">
        <v>30</v>
      </c>
    </row>
    <row r="29" spans="1:31" x14ac:dyDescent="0.25">
      <c r="B29" t="s">
        <v>46</v>
      </c>
      <c r="C29">
        <v>84</v>
      </c>
    </row>
    <row r="30" spans="1:31" x14ac:dyDescent="0.25">
      <c r="B30" t="s">
        <v>47</v>
      </c>
      <c r="C30">
        <v>0.1</v>
      </c>
    </row>
    <row r="31" spans="1:31" x14ac:dyDescent="0.25">
      <c r="B31" t="s">
        <v>50</v>
      </c>
      <c r="C31">
        <v>34871</v>
      </c>
      <c r="D31" s="10">
        <v>34871</v>
      </c>
    </row>
    <row r="32" spans="1:31" x14ac:dyDescent="0.25">
      <c r="B32" t="s">
        <v>51</v>
      </c>
      <c r="C32">
        <v>47899</v>
      </c>
      <c r="D32" s="10">
        <v>47899</v>
      </c>
    </row>
    <row r="33" spans="1:4" x14ac:dyDescent="0.25">
      <c r="B33" t="s">
        <v>58</v>
      </c>
      <c r="C33">
        <v>-40</v>
      </c>
    </row>
    <row r="35" spans="1:4" x14ac:dyDescent="0.25">
      <c r="B35" t="s">
        <v>59</v>
      </c>
      <c r="C35">
        <v>-140.69999999999999</v>
      </c>
    </row>
    <row r="36" spans="1:4" x14ac:dyDescent="0.25">
      <c r="B36" t="s">
        <v>60</v>
      </c>
      <c r="C36">
        <v>-137.6</v>
      </c>
    </row>
    <row r="37" spans="1:4" x14ac:dyDescent="0.25">
      <c r="B37" t="s">
        <v>61</v>
      </c>
      <c r="C37">
        <f>C36-C35</f>
        <v>3.0999999999999943</v>
      </c>
      <c r="D37" s="14">
        <f>$C37*((-1/$C$30+raw!B40-$C$33+$C$28+$C$29)*$C$30)</f>
        <v>44.639999999999922</v>
      </c>
    </row>
    <row r="40" spans="1:4" x14ac:dyDescent="0.25">
      <c r="B40" s="11" t="s">
        <v>62</v>
      </c>
    </row>
    <row r="41" spans="1:4" x14ac:dyDescent="0.25">
      <c r="A41" s="18" t="s">
        <v>72</v>
      </c>
      <c r="B41" s="18" t="s">
        <v>64</v>
      </c>
      <c r="C41" s="19">
        <v>6.90611280516992E-2</v>
      </c>
    </row>
    <row r="42" spans="1:4" x14ac:dyDescent="0.25">
      <c r="A42" s="18" t="s">
        <v>72</v>
      </c>
      <c r="B42" s="18" t="s">
        <v>65</v>
      </c>
      <c r="C42" s="19">
        <v>0.81605338309728603</v>
      </c>
    </row>
    <row r="43" spans="1:4" x14ac:dyDescent="0.25">
      <c r="A43" s="18" t="s">
        <v>72</v>
      </c>
      <c r="B43" s="18" t="s">
        <v>66</v>
      </c>
      <c r="C43" s="18">
        <f>C42-C41</f>
        <v>0.74699225504558686</v>
      </c>
    </row>
    <row r="45" spans="1:4" x14ac:dyDescent="0.25">
      <c r="A45" s="18" t="s">
        <v>72</v>
      </c>
      <c r="B45" s="18" t="s">
        <v>67</v>
      </c>
      <c r="C45" s="19">
        <v>97.581654361249207</v>
      </c>
    </row>
    <row r="46" spans="1:4" x14ac:dyDescent="0.25">
      <c r="A46" s="18" t="s">
        <v>72</v>
      </c>
      <c r="B46" s="18" t="s">
        <v>68</v>
      </c>
      <c r="C46" s="19">
        <v>3217.2319010215901</v>
      </c>
    </row>
    <row r="47" spans="1:4" x14ac:dyDescent="0.25">
      <c r="A47" s="18" t="s">
        <v>72</v>
      </c>
      <c r="B47" s="18" t="s">
        <v>66</v>
      </c>
      <c r="C47" s="18">
        <f>C46-C45</f>
        <v>3119.6502466603411</v>
      </c>
    </row>
    <row r="49" spans="1:3" x14ac:dyDescent="0.25">
      <c r="A49" s="18" t="s">
        <v>72</v>
      </c>
      <c r="B49" s="18" t="s">
        <v>69</v>
      </c>
      <c r="C49" s="19">
        <v>763.79400012083397</v>
      </c>
    </row>
    <row r="50" spans="1:3" x14ac:dyDescent="0.25">
      <c r="A50" s="18" t="s">
        <v>72</v>
      </c>
      <c r="B50" s="18" t="s">
        <v>70</v>
      </c>
      <c r="C50" s="19">
        <v>29886.509000184</v>
      </c>
    </row>
    <row r="51" spans="1:3" x14ac:dyDescent="0.25">
      <c r="A51" s="18" t="s">
        <v>72</v>
      </c>
      <c r="B51" s="18" t="s">
        <v>66</v>
      </c>
      <c r="C51" s="18">
        <v>29122.715000063166</v>
      </c>
    </row>
    <row r="53" spans="1:3" x14ac:dyDescent="0.25">
      <c r="A53" s="18" t="s">
        <v>63</v>
      </c>
      <c r="B53" s="18" t="s">
        <v>64</v>
      </c>
      <c r="C53" s="19">
        <v>0.11513765934565</v>
      </c>
    </row>
    <row r="54" spans="1:3" x14ac:dyDescent="0.25">
      <c r="A54" s="18" t="s">
        <v>63</v>
      </c>
      <c r="B54" s="18" t="s">
        <v>65</v>
      </c>
      <c r="C54" s="19">
        <v>0.76457350552130199</v>
      </c>
    </row>
    <row r="55" spans="1:3" x14ac:dyDescent="0.25">
      <c r="A55" s="18" t="s">
        <v>63</v>
      </c>
      <c r="B55" s="18" t="s">
        <v>66</v>
      </c>
      <c r="C55" s="18">
        <v>0.64943584617565198</v>
      </c>
    </row>
    <row r="57" spans="1:3" x14ac:dyDescent="0.25">
      <c r="A57" s="18" t="s">
        <v>63</v>
      </c>
      <c r="B57" s="18" t="s">
        <v>67</v>
      </c>
      <c r="C57" s="19">
        <v>226.40609773816001</v>
      </c>
    </row>
    <row r="58" spans="1:3" x14ac:dyDescent="0.25">
      <c r="A58" s="18" t="s">
        <v>63</v>
      </c>
      <c r="B58" s="18" t="s">
        <v>68</v>
      </c>
      <c r="C58" s="19">
        <v>2937.7980808960301</v>
      </c>
    </row>
    <row r="59" spans="1:3" x14ac:dyDescent="0.25">
      <c r="A59" s="18" t="s">
        <v>63</v>
      </c>
      <c r="B59" s="18" t="s">
        <v>66</v>
      </c>
      <c r="C59" s="18">
        <v>2711.3919831578701</v>
      </c>
    </row>
    <row r="61" spans="1:3" x14ac:dyDescent="0.25">
      <c r="A61" s="18" t="s">
        <v>63</v>
      </c>
      <c r="B61" s="18" t="s">
        <v>69</v>
      </c>
      <c r="C61" s="19">
        <v>612.15899982489702</v>
      </c>
    </row>
    <row r="62" spans="1:3" x14ac:dyDescent="0.25">
      <c r="A62" s="18" t="s">
        <v>63</v>
      </c>
      <c r="B62" s="18" t="s">
        <v>70</v>
      </c>
      <c r="C62" s="19">
        <v>7757.0329996291603</v>
      </c>
    </row>
    <row r="63" spans="1:3" x14ac:dyDescent="0.25">
      <c r="A63" s="18" t="s">
        <v>63</v>
      </c>
      <c r="B63" s="18" t="s">
        <v>66</v>
      </c>
      <c r="C63" s="18">
        <v>7144.8739998042629</v>
      </c>
    </row>
    <row r="65" spans="1:3" x14ac:dyDescent="0.25">
      <c r="A65" s="18" t="s">
        <v>71</v>
      </c>
      <c r="B65" s="18" t="s">
        <v>64</v>
      </c>
      <c r="C65" s="19">
        <v>0.23824347405659799</v>
      </c>
    </row>
    <row r="66" spans="1:3" x14ac:dyDescent="0.25">
      <c r="A66" s="18" t="s">
        <v>71</v>
      </c>
      <c r="B66" s="18" t="s">
        <v>65</v>
      </c>
      <c r="C66" s="19">
        <v>0.84595216123479899</v>
      </c>
    </row>
    <row r="67" spans="1:3" x14ac:dyDescent="0.25">
      <c r="A67" s="18" t="s">
        <v>71</v>
      </c>
      <c r="B67" s="18" t="s">
        <v>66</v>
      </c>
      <c r="C67" s="18">
        <v>0.60770868717820103</v>
      </c>
    </row>
    <row r="69" spans="1:3" x14ac:dyDescent="0.25">
      <c r="A69" s="18" t="s">
        <v>71</v>
      </c>
      <c r="B69" s="18" t="s">
        <v>67</v>
      </c>
      <c r="C69" s="19">
        <v>348.820191034733</v>
      </c>
    </row>
    <row r="70" spans="1:3" x14ac:dyDescent="0.25">
      <c r="A70" s="18" t="s">
        <v>71</v>
      </c>
      <c r="B70" s="18" t="s">
        <v>68</v>
      </c>
      <c r="C70" s="19">
        <v>4304.0710416639904</v>
      </c>
    </row>
    <row r="71" spans="1:3" x14ac:dyDescent="0.25">
      <c r="A71" s="18" t="s">
        <v>71</v>
      </c>
      <c r="B71" s="18" t="s">
        <v>66</v>
      </c>
      <c r="C71" s="18">
        <v>3955.2508506292575</v>
      </c>
    </row>
    <row r="73" spans="1:3" x14ac:dyDescent="0.25">
      <c r="A73" s="18" t="s">
        <v>71</v>
      </c>
      <c r="B73" s="18" t="s">
        <v>69</v>
      </c>
      <c r="C73" s="19">
        <v>1201.8590004416201</v>
      </c>
    </row>
    <row r="74" spans="1:3" x14ac:dyDescent="0.25">
      <c r="A74" s="18" t="s">
        <v>71</v>
      </c>
      <c r="B74" s="18" t="s">
        <v>70</v>
      </c>
      <c r="C74" s="19">
        <v>16423.212999827199</v>
      </c>
    </row>
    <row r="75" spans="1:3" x14ac:dyDescent="0.25">
      <c r="A75" s="18" t="s">
        <v>71</v>
      </c>
      <c r="B75" s="18" t="s">
        <v>66</v>
      </c>
      <c r="C75" s="18">
        <v>15221.353999385579</v>
      </c>
    </row>
  </sheetData>
  <conditionalFormatting sqref="D21:Y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1" sqref="B1:G15"/>
    </sheetView>
  </sheetViews>
  <sheetFormatPr defaultRowHeight="15" x14ac:dyDescent="0.25"/>
  <cols>
    <col min="2" max="2" width="23.140625" customWidth="1"/>
    <col min="3" max="3" width="38" customWidth="1"/>
    <col min="4" max="7" width="9.140625" style="20"/>
  </cols>
  <sheetData>
    <row r="1" spans="2:7" x14ac:dyDescent="0.25">
      <c r="B1" t="s">
        <v>7</v>
      </c>
      <c r="C1" t="s">
        <v>8</v>
      </c>
      <c r="D1" s="20" t="s">
        <v>52</v>
      </c>
      <c r="E1" s="20" t="s">
        <v>53</v>
      </c>
      <c r="F1" s="20" t="s">
        <v>54</v>
      </c>
      <c r="G1" s="20" t="s">
        <v>55</v>
      </c>
    </row>
    <row r="2" spans="2:7" x14ac:dyDescent="0.25">
      <c r="B2" t="s">
        <v>9</v>
      </c>
      <c r="C2" t="s">
        <v>0</v>
      </c>
      <c r="D2" s="20">
        <v>0</v>
      </c>
      <c r="E2" s="20">
        <v>8.3333333333333339</v>
      </c>
      <c r="F2" s="20">
        <v>3.560606060606061</v>
      </c>
      <c r="G2" s="20">
        <v>1.5681565480254058</v>
      </c>
    </row>
    <row r="3" spans="2:7" x14ac:dyDescent="0.25">
      <c r="B3" t="s">
        <v>10</v>
      </c>
      <c r="C3" t="s">
        <v>3</v>
      </c>
      <c r="D3" s="20">
        <v>0</v>
      </c>
      <c r="E3" s="20">
        <v>10</v>
      </c>
      <c r="F3" s="20">
        <v>6.5895001864596763</v>
      </c>
      <c r="G3" s="20">
        <v>2.5868994105689489</v>
      </c>
    </row>
    <row r="4" spans="2:7" x14ac:dyDescent="0.25">
      <c r="B4" t="s">
        <v>10</v>
      </c>
      <c r="C4" t="s">
        <v>4</v>
      </c>
      <c r="D4" s="20">
        <v>0</v>
      </c>
      <c r="E4" s="20">
        <v>10</v>
      </c>
      <c r="F4" s="20">
        <v>8.1552683030119635</v>
      </c>
      <c r="G4" s="20">
        <v>2.4539530108140455</v>
      </c>
    </row>
    <row r="5" spans="2:7" x14ac:dyDescent="0.25">
      <c r="B5" t="s">
        <v>10</v>
      </c>
      <c r="C5" t="s">
        <v>5</v>
      </c>
      <c r="D5" s="20">
        <v>0</v>
      </c>
      <c r="E5" s="20">
        <v>10</v>
      </c>
      <c r="F5" s="20">
        <v>9.0211743807574933</v>
      </c>
      <c r="G5" s="20">
        <v>2.248779908021433</v>
      </c>
    </row>
    <row r="6" spans="2:7" x14ac:dyDescent="0.25">
      <c r="B6" t="s">
        <v>10</v>
      </c>
      <c r="C6" t="s">
        <v>6</v>
      </c>
      <c r="D6" s="20">
        <v>0.58064516129025401</v>
      </c>
      <c r="E6" s="20">
        <v>9.3580645161289908</v>
      </c>
      <c r="F6" s="20">
        <v>3.2604105571847102</v>
      </c>
      <c r="G6" s="20">
        <v>2.1628527222490268</v>
      </c>
    </row>
    <row r="7" spans="2:7" x14ac:dyDescent="0.25">
      <c r="B7" t="s">
        <v>11</v>
      </c>
      <c r="C7" t="s">
        <v>3</v>
      </c>
      <c r="D7" s="20">
        <v>0</v>
      </c>
      <c r="E7" s="20">
        <v>10</v>
      </c>
      <c r="F7" s="20">
        <v>5.724763202853878</v>
      </c>
      <c r="G7" s="20">
        <v>1.9053963237856273</v>
      </c>
    </row>
    <row r="8" spans="2:7" x14ac:dyDescent="0.25">
      <c r="B8" t="s">
        <v>11</v>
      </c>
      <c r="C8" t="s">
        <v>4</v>
      </c>
      <c r="D8" s="20">
        <v>0</v>
      </c>
      <c r="E8" s="20">
        <v>10</v>
      </c>
      <c r="F8" s="20">
        <v>8.2930110825033747</v>
      </c>
      <c r="G8" s="20">
        <v>1.9288363875643821</v>
      </c>
    </row>
    <row r="9" spans="2:7" x14ac:dyDescent="0.25">
      <c r="B9" t="s">
        <v>11</v>
      </c>
      <c r="C9" t="s">
        <v>5</v>
      </c>
      <c r="D9" s="20">
        <v>0</v>
      </c>
      <c r="E9" s="20">
        <v>10</v>
      </c>
      <c r="F9" s="20">
        <v>7.7838822881257821</v>
      </c>
      <c r="G9" s="20">
        <v>2.6701220655645161</v>
      </c>
    </row>
    <row r="10" spans="2:7" x14ac:dyDescent="0.25">
      <c r="B10" t="s">
        <v>11</v>
      </c>
      <c r="C10" t="s">
        <v>6</v>
      </c>
      <c r="D10" s="20">
        <v>0.59354838709676716</v>
      </c>
      <c r="E10" s="20">
        <v>9.3741935483870407</v>
      </c>
      <c r="F10" s="20">
        <v>3.2810850439882278</v>
      </c>
      <c r="G10" s="20">
        <v>2.1611030699208187</v>
      </c>
    </row>
    <row r="11" spans="2:7" x14ac:dyDescent="0.25">
      <c r="B11" t="s">
        <v>12</v>
      </c>
      <c r="C11" t="s">
        <v>3</v>
      </c>
      <c r="D11" s="20">
        <v>0</v>
      </c>
      <c r="E11" s="20">
        <v>10</v>
      </c>
      <c r="F11" s="20">
        <v>5.7431089545452485</v>
      </c>
      <c r="G11" s="20">
        <v>2.3591014934148737</v>
      </c>
    </row>
    <row r="12" spans="2:7" x14ac:dyDescent="0.25">
      <c r="B12" t="s">
        <v>12</v>
      </c>
      <c r="C12" t="s">
        <v>4</v>
      </c>
      <c r="D12" s="20">
        <v>0</v>
      </c>
      <c r="E12" s="20">
        <v>10</v>
      </c>
      <c r="F12" s="20">
        <v>8.4234644324271688</v>
      </c>
      <c r="G12" s="20">
        <v>2.0180036734500981</v>
      </c>
    </row>
    <row r="13" spans="2:7" x14ac:dyDescent="0.25">
      <c r="B13" t="s">
        <v>12</v>
      </c>
      <c r="C13" t="s">
        <v>5</v>
      </c>
      <c r="D13" s="20">
        <v>0</v>
      </c>
      <c r="E13" s="20">
        <v>10</v>
      </c>
      <c r="F13" s="20">
        <v>5.4188730516857611</v>
      </c>
      <c r="G13" s="20">
        <v>2.6400119370429711</v>
      </c>
    </row>
    <row r="14" spans="2:7" x14ac:dyDescent="0.25">
      <c r="B14" t="s">
        <v>12</v>
      </c>
      <c r="C14" t="s">
        <v>6</v>
      </c>
      <c r="D14" s="20">
        <v>0.62903225806449525</v>
      </c>
      <c r="E14" s="20">
        <v>9.4548387096773823</v>
      </c>
      <c r="F14" s="20">
        <v>3.318768328445719</v>
      </c>
      <c r="G14" s="20">
        <v>2.1655428820045821</v>
      </c>
    </row>
    <row r="15" spans="2:7" x14ac:dyDescent="0.25">
      <c r="C15" t="s">
        <v>73</v>
      </c>
      <c r="D15" s="20">
        <v>27.257494669305636</v>
      </c>
      <c r="E15" s="20">
        <v>92.72753983153703</v>
      </c>
      <c r="F15" s="20">
        <v>78.57391587259508</v>
      </c>
      <c r="G15" s="20">
        <v>13.108826712970348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weights</vt:lpstr>
      <vt:lpstr>processed_data</vt:lpstr>
      <vt:lpstr>processed_data_old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2014-04-11T06:49:25Z</dcterms:created>
  <dcterms:modified xsi:type="dcterms:W3CDTF">2014-05-10T06:33:14Z</dcterms:modified>
</cp:coreProperties>
</file>