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C:\Users\nisha\Desktop\Projects\civil_air\civil_air_autocad\"/>
    </mc:Choice>
  </mc:AlternateContent>
  <xr:revisionPtr revIDLastSave="0" documentId="13_ncr:1_{34C54093-AA0D-457D-BB27-527B9ABE3301}" xr6:coauthVersionLast="47" xr6:coauthVersionMax="47" xr10:uidLastSave="{00000000-0000-0000-0000-000000000000}"/>
  <bookViews>
    <workbookView xWindow="-108" yWindow="-108" windowWidth="23256" windowHeight="12576" activeTab="4" xr2:uid="{CC4A834B-55DF-487D-9279-1A3310A41183}"/>
  </bookViews>
  <sheets>
    <sheet name="Slab" sheetId="115" r:id="rId1"/>
    <sheet name="Table (2)" sheetId="116" r:id="rId2"/>
    <sheet name="Ramp" sheetId="124" r:id="rId3"/>
    <sheet name="STAIR" sheetId="114" r:id="rId4"/>
    <sheet name="Foundation_Design" sheetId="89" r:id="rId5"/>
    <sheet name="Isolated Footing F1" sheetId="90" r:id="rId6"/>
  </sheets>
  <externalReferences>
    <externalReference r:id="rId7"/>
  </externalReferences>
  <definedNames>
    <definedName name="b">'[1]Design of footing'!$C$4</definedName>
    <definedName name="fck">'[1]Design of footing'!$C$9</definedName>
    <definedName name="fy">'[1]Design of footing'!$C$10</definedName>
    <definedName name="phi">'[1]Design of footing'!$C$7</definedName>
    <definedName name="_xlnm.Print_Area" localSheetId="4">Foundation_Design!$A$1:$P$17</definedName>
    <definedName name="_xlnm.Print_Area" localSheetId="5">'Isolated Footing F1'!$B$2:$H$121</definedName>
    <definedName name="_xlnm.Print_Area" localSheetId="2">Ramp!$A$1:$I$44</definedName>
    <definedName name="_xlnm.Print_Area" localSheetId="0">Slab!$A$1:$R$51</definedName>
    <definedName name="_xlnm.Print_Area" localSheetId="3">STAIR!$A$1:$I$63</definedName>
    <definedName name="_xlnm.Print_Area" localSheetId="1">'Table (2)'!$A$1:$K$53</definedName>
    <definedName name="pu">'[1]Design of footing'!$C$25</definedName>
    <definedName name="qa">'[1]Design of footing'!$C$8</definedName>
  </definedNames>
  <calcPr calcId="181029"/>
</workbook>
</file>

<file path=xl/calcChain.xml><?xml version="1.0" encoding="utf-8"?>
<calcChain xmlns="http://schemas.openxmlformats.org/spreadsheetml/2006/main">
  <c r="D4" i="115" l="1"/>
  <c r="D3" i="115"/>
  <c r="AQ7" i="89" l="1"/>
  <c r="AR7" i="89"/>
  <c r="AQ8" i="89"/>
  <c r="AR8" i="89"/>
  <c r="AQ9" i="89"/>
  <c r="AR9" i="89"/>
  <c r="AQ10" i="89"/>
  <c r="AR10" i="89"/>
  <c r="AQ11" i="89"/>
  <c r="AR11" i="89"/>
  <c r="AQ12" i="89"/>
  <c r="AR12" i="89"/>
  <c r="AR6" i="89"/>
  <c r="AQ6" i="89"/>
  <c r="H7" i="124"/>
  <c r="D12" i="124"/>
  <c r="D14" i="124" s="1"/>
  <c r="G42" i="124"/>
  <c r="D41" i="124"/>
  <c r="E38" i="124"/>
  <c r="E44" i="124" s="1"/>
  <c r="D31" i="124"/>
  <c r="D19" i="124"/>
  <c r="D20" i="124" s="1"/>
  <c r="M5" i="124"/>
  <c r="M4" i="124"/>
  <c r="K7" i="89"/>
  <c r="K8" i="89"/>
  <c r="K9" i="89"/>
  <c r="K10" i="89"/>
  <c r="K11" i="89"/>
  <c r="K12" i="89"/>
  <c r="K13" i="89"/>
  <c r="K14" i="89"/>
  <c r="K15" i="89"/>
  <c r="K16" i="89"/>
  <c r="K17" i="89"/>
  <c r="K6" i="89"/>
  <c r="E17" i="89"/>
  <c r="F17" i="89"/>
  <c r="G17" i="89" l="1"/>
  <c r="H17" i="89" s="1"/>
  <c r="I17" i="89" s="1"/>
  <c r="AJ17" i="89"/>
  <c r="AI17" i="89"/>
  <c r="N29" i="124"/>
  <c r="N30" i="124" s="1"/>
  <c r="D43" i="124"/>
  <c r="D15" i="124"/>
  <c r="D16" i="124" s="1"/>
  <c r="AA9" i="89"/>
  <c r="AA8" i="89"/>
  <c r="AL17" i="89" l="1"/>
  <c r="AN17" i="89" s="1"/>
  <c r="AK17" i="89"/>
  <c r="D23" i="124"/>
  <c r="D25" i="124"/>
  <c r="AO17" i="89" l="1"/>
  <c r="AQ17" i="89" s="1"/>
  <c r="AP17" i="89"/>
  <c r="AR17" i="89" s="1"/>
  <c r="O17" i="89"/>
  <c r="N17" i="89"/>
  <c r="D28" i="124"/>
  <c r="N31" i="124"/>
  <c r="P17" i="89" l="1"/>
  <c r="Q17" i="89"/>
  <c r="D29" i="124"/>
  <c r="F29" i="124" s="1"/>
  <c r="N34" i="124" l="1"/>
  <c r="F34" i="124" s="1"/>
  <c r="D35" i="124" s="1"/>
  <c r="D37" i="124" s="1"/>
  <c r="N33" i="124"/>
  <c r="D34" i="124" s="1"/>
  <c r="D9" i="115" l="1"/>
  <c r="A51" i="116"/>
  <c r="I52" i="116" s="1"/>
  <c r="D30" i="116"/>
  <c r="C63" i="115"/>
  <c r="C61" i="115"/>
  <c r="F59" i="115"/>
  <c r="C60" i="115" s="1"/>
  <c r="J48" i="115"/>
  <c r="D47" i="115"/>
  <c r="J43" i="115"/>
  <c r="Y42" i="115"/>
  <c r="J30" i="115"/>
  <c r="D29" i="115"/>
  <c r="J25" i="115"/>
  <c r="D11" i="115"/>
  <c r="J19" i="115" s="1"/>
  <c r="C19" i="115" s="1"/>
  <c r="I4" i="115"/>
  <c r="I7" i="115" s="1"/>
  <c r="D51" i="116" l="1"/>
  <c r="G51" i="116"/>
  <c r="H51" i="116"/>
  <c r="I51" i="116"/>
  <c r="J51" i="116"/>
  <c r="K51" i="116"/>
  <c r="R6" i="115" s="1"/>
  <c r="G52" i="116"/>
  <c r="J52" i="116"/>
  <c r="K52" i="116"/>
  <c r="R7" i="115" s="1"/>
  <c r="O30" i="115"/>
  <c r="D5" i="115"/>
  <c r="E5" i="115" s="1"/>
  <c r="D30" i="115"/>
  <c r="C52" i="116"/>
  <c r="I9" i="115"/>
  <c r="D52" i="116"/>
  <c r="J24" i="115"/>
  <c r="J26" i="115" s="1"/>
  <c r="K26" i="115" s="1"/>
  <c r="J37" i="115"/>
  <c r="E52" i="116"/>
  <c r="C51" i="116"/>
  <c r="F52" i="116"/>
  <c r="E51" i="116"/>
  <c r="H52" i="116"/>
  <c r="F51" i="116"/>
  <c r="N4" i="115" l="1"/>
  <c r="M7" i="115" s="1"/>
  <c r="P4" i="115"/>
  <c r="O6" i="115" s="1"/>
  <c r="R4" i="115"/>
  <c r="J10" i="115"/>
  <c r="J11" i="115"/>
  <c r="J42" i="115"/>
  <c r="J44" i="115" s="1"/>
  <c r="K44" i="115" s="1"/>
  <c r="C37" i="115"/>
  <c r="O11" i="115"/>
  <c r="J39" i="115" s="1"/>
  <c r="J40" i="115" s="1"/>
  <c r="J41" i="115" s="1"/>
  <c r="J49" i="115" s="1"/>
  <c r="O48" i="115"/>
  <c r="O10" i="115"/>
  <c r="D40" i="115" s="1"/>
  <c r="K50" i="115" l="1"/>
  <c r="L49" i="115" s="1"/>
  <c r="M6" i="115"/>
  <c r="Q6" i="115" s="1"/>
  <c r="M10" i="115" s="1"/>
  <c r="D22" i="115" s="1"/>
  <c r="D23" i="115" s="1"/>
  <c r="D24" i="115" s="1"/>
  <c r="O7" i="115"/>
  <c r="Q7" i="115" s="1"/>
  <c r="M11" i="115" s="1"/>
  <c r="D41" i="115"/>
  <c r="D42" i="115" s="1"/>
  <c r="D48" i="115"/>
  <c r="J21" i="115" l="1"/>
  <c r="J22" i="115" s="1"/>
  <c r="J23" i="115" s="1"/>
  <c r="J31" i="115" s="1"/>
  <c r="K32" i="115" s="1"/>
  <c r="L31" i="115" s="1"/>
  <c r="J12" i="115"/>
  <c r="J13" i="115" s="1"/>
  <c r="F7" i="89" l="1"/>
  <c r="F8" i="89"/>
  <c r="F9" i="89"/>
  <c r="F10" i="89"/>
  <c r="F11" i="89"/>
  <c r="F12" i="89"/>
  <c r="F13" i="89"/>
  <c r="F14" i="89"/>
  <c r="F15" i="89"/>
  <c r="F16" i="89"/>
  <c r="F6" i="89"/>
  <c r="E8" i="89"/>
  <c r="E9" i="89"/>
  <c r="E10" i="89"/>
  <c r="E11" i="89"/>
  <c r="E12" i="89"/>
  <c r="E13" i="89"/>
  <c r="E14" i="89"/>
  <c r="E15" i="89"/>
  <c r="E16" i="89"/>
  <c r="AJ11" i="89" l="1"/>
  <c r="AI11" i="89"/>
  <c r="N11" i="89"/>
  <c r="O11" i="89"/>
  <c r="AI12" i="89"/>
  <c r="AJ12" i="89"/>
  <c r="O12" i="89"/>
  <c r="N12" i="89"/>
  <c r="AI16" i="89"/>
  <c r="AJ16" i="89"/>
  <c r="AI10" i="89"/>
  <c r="AJ10" i="89"/>
  <c r="O10" i="89"/>
  <c r="N10" i="89"/>
  <c r="AI9" i="89"/>
  <c r="AJ9" i="89"/>
  <c r="N9" i="89"/>
  <c r="O9" i="89"/>
  <c r="AI8" i="89"/>
  <c r="AJ8" i="89"/>
  <c r="O8" i="89"/>
  <c r="N8" i="89"/>
  <c r="AI15" i="89"/>
  <c r="AJ15" i="89"/>
  <c r="AI14" i="89"/>
  <c r="AJ14" i="89"/>
  <c r="AI13" i="89"/>
  <c r="AJ13" i="89"/>
  <c r="G61" i="114"/>
  <c r="D60" i="114"/>
  <c r="E57" i="114"/>
  <c r="E63" i="114" s="1"/>
  <c r="D50" i="114"/>
  <c r="N48" i="114" s="1"/>
  <c r="N49" i="114" s="1"/>
  <c r="D38" i="114"/>
  <c r="D39" i="114" s="1"/>
  <c r="K22" i="114" s="1"/>
  <c r="D31" i="114"/>
  <c r="D30" i="114"/>
  <c r="D28" i="114"/>
  <c r="M26" i="114"/>
  <c r="L26" i="114"/>
  <c r="U26" i="114" s="1"/>
  <c r="D22" i="114"/>
  <c r="D24" i="114" s="1"/>
  <c r="D25" i="114" s="1"/>
  <c r="D26" i="114" s="1"/>
  <c r="K20" i="114" s="1"/>
  <c r="D20" i="114"/>
  <c r="H20" i="114" s="1"/>
  <c r="D16" i="114"/>
  <c r="D15" i="114" s="1"/>
  <c r="S26" i="114" s="1"/>
  <c r="M5" i="114"/>
  <c r="M4" i="114"/>
  <c r="P11" i="89" l="1"/>
  <c r="Q11" i="89"/>
  <c r="P10" i="89"/>
  <c r="Q10" i="89"/>
  <c r="P8" i="89"/>
  <c r="Q8" i="89"/>
  <c r="P9" i="89"/>
  <c r="Q9" i="89"/>
  <c r="P12" i="89"/>
  <c r="Q12" i="89"/>
  <c r="AL12" i="89"/>
  <c r="AL14" i="89"/>
  <c r="AN14" i="89" s="1"/>
  <c r="AK11" i="89"/>
  <c r="AL15" i="89"/>
  <c r="AN15" i="89" s="1"/>
  <c r="AL9" i="89"/>
  <c r="AL10" i="89"/>
  <c r="AL13" i="89"/>
  <c r="AN13" i="89" s="1"/>
  <c r="AL8" i="89"/>
  <c r="AL16" i="89"/>
  <c r="AN16" i="89" s="1"/>
  <c r="AL11" i="89"/>
  <c r="AK14" i="89"/>
  <c r="AK9" i="89"/>
  <c r="AK12" i="89"/>
  <c r="AK13" i="89"/>
  <c r="AK8" i="89"/>
  <c r="AK16" i="89"/>
  <c r="AK15" i="89"/>
  <c r="AK10" i="89"/>
  <c r="D32" i="114"/>
  <c r="D33" i="114" s="1"/>
  <c r="D34" i="114" s="1"/>
  <c r="D35" i="114" s="1"/>
  <c r="J17" i="114" s="1"/>
  <c r="D62" i="114"/>
  <c r="H8" i="114"/>
  <c r="L27" i="114" s="1"/>
  <c r="O26" i="114" s="1"/>
  <c r="M28" i="114" s="1"/>
  <c r="AP15" i="89" l="1"/>
  <c r="AR15" i="89" s="1"/>
  <c r="AP14" i="89"/>
  <c r="AR14" i="89" s="1"/>
  <c r="AO15" i="89"/>
  <c r="AQ15" i="89" s="1"/>
  <c r="AO14" i="89"/>
  <c r="AQ14" i="89" s="1"/>
  <c r="AP13" i="89"/>
  <c r="AR13" i="89" s="1"/>
  <c r="AO13" i="89"/>
  <c r="AQ13" i="89" s="1"/>
  <c r="AP16" i="89"/>
  <c r="AR16" i="89" s="1"/>
  <c r="AO16" i="89"/>
  <c r="AQ16" i="89" s="1"/>
  <c r="D42" i="114"/>
  <c r="V28" i="114" s="1"/>
  <c r="K28" i="114" s="1"/>
  <c r="Q30" i="114" s="1"/>
  <c r="K30" i="114"/>
  <c r="U30" i="114" s="1"/>
  <c r="K29" i="114"/>
  <c r="U29" i="114" s="1"/>
  <c r="K31" i="114"/>
  <c r="U31" i="114" s="1"/>
  <c r="N14" i="89" l="1"/>
  <c r="O14" i="89"/>
  <c r="N15" i="89"/>
  <c r="O15" i="89"/>
  <c r="O16" i="89"/>
  <c r="N16" i="89"/>
  <c r="O13" i="89"/>
  <c r="N13" i="89"/>
  <c r="D44" i="114"/>
  <c r="N50" i="114" s="1"/>
  <c r="U32" i="114"/>
  <c r="K32" i="114"/>
  <c r="P14" i="89" l="1"/>
  <c r="Q14" i="89"/>
  <c r="P16" i="89"/>
  <c r="Q16" i="89"/>
  <c r="P15" i="89"/>
  <c r="Q15" i="89"/>
  <c r="P13" i="89"/>
  <c r="Q13" i="89"/>
  <c r="D47" i="114"/>
  <c r="D48" i="114" s="1"/>
  <c r="F48" i="114" s="1"/>
  <c r="N52" i="114"/>
  <c r="D53" i="114" s="1"/>
  <c r="N53" i="114"/>
  <c r="F53" i="114" s="1"/>
  <c r="D54" i="114" s="1"/>
  <c r="D56" i="114" s="1"/>
  <c r="E7" i="89" l="1"/>
  <c r="E6" i="89"/>
  <c r="AJ6" i="89" l="1"/>
  <c r="AI6" i="89"/>
  <c r="O6" i="89"/>
  <c r="N6" i="89"/>
  <c r="AI7" i="89"/>
  <c r="AJ7" i="89"/>
  <c r="N7" i="89"/>
  <c r="O7" i="89"/>
  <c r="G15" i="89"/>
  <c r="H15" i="89" s="1"/>
  <c r="I15" i="89" s="1"/>
  <c r="P6" i="89" l="1"/>
  <c r="Q6" i="89"/>
  <c r="P7" i="89"/>
  <c r="Q7" i="89"/>
  <c r="AL6" i="89"/>
  <c r="AL7" i="89"/>
  <c r="AK7" i="89"/>
  <c r="AK6" i="89"/>
  <c r="G16" i="89"/>
  <c r="H16" i="89" s="1"/>
  <c r="I16" i="89" s="1"/>
  <c r="E8" i="90"/>
  <c r="G6" i="89" l="1"/>
  <c r="H6" i="89" s="1"/>
  <c r="G7" i="89"/>
  <c r="H7" i="89" s="1"/>
  <c r="I7" i="89" s="1"/>
  <c r="G8" i="89"/>
  <c r="H8" i="89" s="1"/>
  <c r="I8" i="89" s="1"/>
  <c r="G9" i="89"/>
  <c r="H9" i="89" s="1"/>
  <c r="I9" i="89" s="1"/>
  <c r="G10" i="89"/>
  <c r="H10" i="89" s="1"/>
  <c r="I10" i="89" s="1"/>
  <c r="G11" i="89"/>
  <c r="H11" i="89" s="1"/>
  <c r="I11" i="89" s="1"/>
  <c r="G12" i="89"/>
  <c r="H12" i="89" s="1"/>
  <c r="I12" i="89" s="1"/>
  <c r="G13" i="89"/>
  <c r="H13" i="89" s="1"/>
  <c r="I13" i="89" s="1"/>
  <c r="G14" i="89"/>
  <c r="H14" i="89" s="1"/>
  <c r="I14" i="89" s="1"/>
  <c r="H120" i="90" l="1"/>
  <c r="G120" i="90"/>
  <c r="E120" i="90"/>
  <c r="D120" i="90"/>
  <c r="G113" i="90"/>
  <c r="C117" i="90" s="1"/>
  <c r="D96" i="90"/>
  <c r="C96" i="90"/>
  <c r="E95" i="90"/>
  <c r="E86" i="90"/>
  <c r="P60" i="90"/>
  <c r="P61" i="90" s="1"/>
  <c r="E81" i="90" s="1"/>
  <c r="K60" i="90"/>
  <c r="K61" i="90" s="1"/>
  <c r="F58" i="90"/>
  <c r="F57" i="90"/>
  <c r="P49" i="90"/>
  <c r="K49" i="90"/>
  <c r="E47" i="90"/>
  <c r="E48" i="90" s="1"/>
  <c r="P43" i="90"/>
  <c r="K43" i="90"/>
  <c r="P42" i="90"/>
  <c r="K42" i="90"/>
  <c r="R39" i="90"/>
  <c r="O39" i="90"/>
  <c r="M39" i="90"/>
  <c r="J39" i="90"/>
  <c r="L39" i="90" s="1"/>
  <c r="O35" i="90"/>
  <c r="J35" i="90"/>
  <c r="E35" i="90"/>
  <c r="E34" i="90"/>
  <c r="E25" i="90"/>
  <c r="E24" i="90"/>
  <c r="E22" i="90"/>
  <c r="I6" i="89"/>
  <c r="P39" i="90" l="1"/>
  <c r="E82" i="90"/>
  <c r="E27" i="90"/>
  <c r="E37" i="90" s="1"/>
  <c r="P54" i="90"/>
  <c r="K54" i="90"/>
  <c r="P53" i="90"/>
  <c r="K53" i="90"/>
  <c r="K39" i="90"/>
  <c r="K35" i="90"/>
  <c r="P35" i="90"/>
  <c r="Q39" i="90"/>
  <c r="E18" i="90"/>
  <c r="E78" i="90" l="1"/>
  <c r="E79" i="90" s="1"/>
  <c r="D84" i="90" s="1"/>
  <c r="E38" i="90"/>
  <c r="P44" i="90" s="1"/>
  <c r="P45" i="90" s="1"/>
  <c r="P46" i="90" s="1"/>
  <c r="P50" i="90" s="1"/>
  <c r="P56" i="90" s="1"/>
  <c r="C53" i="90" s="1"/>
  <c r="D29" i="90"/>
  <c r="E62" i="90"/>
  <c r="E63" i="90" s="1"/>
  <c r="E70" i="90"/>
  <c r="E71" i="90" s="1"/>
  <c r="K44" i="90"/>
  <c r="K45" i="90" s="1"/>
  <c r="K46" i="90" s="1"/>
  <c r="K50" i="90" s="1"/>
  <c r="K56" i="90" s="1"/>
  <c r="C52" i="90" s="1"/>
  <c r="E43" i="90" l="1"/>
  <c r="E52" i="90"/>
  <c r="D52" i="90"/>
  <c r="C54" i="90"/>
  <c r="F52" i="90"/>
  <c r="H57" i="90"/>
  <c r="K58" i="90"/>
  <c r="K59" i="90" s="1"/>
  <c r="E65" i="90" s="1"/>
  <c r="C55" i="90"/>
  <c r="D53" i="90"/>
  <c r="E53" i="90"/>
  <c r="P58" i="90"/>
  <c r="P59" i="90" s="1"/>
  <c r="E73" i="90" s="1"/>
  <c r="H58" i="90"/>
  <c r="F53" i="90"/>
  <c r="E66" i="90" l="1"/>
  <c r="D68" i="90"/>
  <c r="E74" i="90"/>
  <c r="D76" i="9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FAHIM</author>
  </authors>
  <commentList>
    <comment ref="O35" authorId="0" shapeId="0" xr:uid="{00000000-0006-0000-0700-000001000000}">
      <text>
        <r>
          <rPr>
            <b/>
            <sz val="8"/>
            <color indexed="81"/>
            <rFont val="Tahoma"/>
            <family val="2"/>
          </rPr>
          <t>refer Table D SP16 pg10</t>
        </r>
      </text>
    </comment>
    <comment ref="K46" authorId="0" shapeId="0" xr:uid="{00000000-0006-0000-0700-000002000000}">
      <text>
        <r>
          <rPr>
            <b/>
            <sz val="8"/>
            <color indexed="81"/>
            <rFont val="Tahoma"/>
            <family val="2"/>
          </rPr>
          <t>Ast=(p*b*d)/100</t>
        </r>
        <r>
          <rPr>
            <sz val="8"/>
            <color indexed="81"/>
            <rFont val="Tahoma"/>
            <family val="2"/>
          </rPr>
          <t xml:space="preserve">
</t>
        </r>
      </text>
    </comment>
    <comment ref="P46" authorId="0" shapeId="0" xr:uid="{00000000-0006-0000-0700-000003000000}">
      <text>
        <r>
          <rPr>
            <b/>
            <sz val="8"/>
            <color indexed="81"/>
            <rFont val="Tahoma"/>
            <family val="2"/>
          </rPr>
          <t>Ast=(p*b*d)/100</t>
        </r>
        <r>
          <rPr>
            <sz val="8"/>
            <color indexed="81"/>
            <rFont val="Tahoma"/>
            <family val="2"/>
          </rPr>
          <t xml:space="preserve">
</t>
        </r>
      </text>
    </comment>
    <comment ref="E47" authorId="0" shapeId="0" xr:uid="{00000000-0006-0000-0700-000004000000}">
      <text>
        <r>
          <rPr>
            <b/>
            <sz val="8"/>
            <color indexed="81"/>
            <rFont val="Tahoma"/>
            <family val="2"/>
          </rPr>
          <t xml:space="preserve">d'= clear cover                    + stirrup dia + </t>
        </r>
        <r>
          <rPr>
            <b/>
            <sz val="12"/>
            <color indexed="81"/>
            <rFont val="Arial"/>
            <family val="2"/>
          </rPr>
          <t>ø</t>
        </r>
        <r>
          <rPr>
            <b/>
            <sz val="10"/>
            <color indexed="81"/>
            <rFont val="Arial"/>
            <family val="2"/>
          </rPr>
          <t>/</t>
        </r>
        <r>
          <rPr>
            <b/>
            <sz val="8"/>
            <color indexed="81"/>
            <rFont val="Arial"/>
            <family val="2"/>
          </rPr>
          <t>2</t>
        </r>
      </text>
    </comment>
    <comment ref="K53" authorId="0" shapeId="0" xr:uid="{00000000-0006-0000-0700-000005000000}">
      <text>
        <r>
          <rPr>
            <b/>
            <sz val="8"/>
            <color indexed="81"/>
            <rFont val="Tahoma"/>
            <family val="2"/>
          </rPr>
          <t>Astmin=(0.85bd)/fy</t>
        </r>
        <r>
          <rPr>
            <sz val="8"/>
            <color indexed="81"/>
            <rFont val="Tahoma"/>
            <family val="2"/>
          </rPr>
          <t xml:space="preserve">
</t>
        </r>
      </text>
    </comment>
    <comment ref="P53" authorId="0" shapeId="0" xr:uid="{00000000-0006-0000-0700-000006000000}">
      <text>
        <r>
          <rPr>
            <b/>
            <sz val="8"/>
            <color indexed="81"/>
            <rFont val="Tahoma"/>
            <family val="2"/>
          </rPr>
          <t>Astmin=(0.85bd)/fy</t>
        </r>
        <r>
          <rPr>
            <sz val="8"/>
            <color indexed="81"/>
            <rFont val="Tahoma"/>
            <family val="2"/>
          </rPr>
          <t xml:space="preserve">
</t>
        </r>
      </text>
    </comment>
    <comment ref="K54" authorId="0" shapeId="0" xr:uid="{00000000-0006-0000-0700-000007000000}">
      <text>
        <r>
          <rPr>
            <b/>
            <sz val="8"/>
            <color indexed="81"/>
            <rFont val="Tahoma"/>
            <family val="2"/>
          </rPr>
          <t>Astmax=0.04bd</t>
        </r>
        <r>
          <rPr>
            <sz val="8"/>
            <color indexed="81"/>
            <rFont val="Tahoma"/>
            <family val="2"/>
          </rPr>
          <t xml:space="preserve">
</t>
        </r>
      </text>
    </comment>
    <comment ref="P54" authorId="0" shapeId="0" xr:uid="{00000000-0006-0000-0700-000008000000}">
      <text>
        <r>
          <rPr>
            <b/>
            <sz val="8"/>
            <color indexed="81"/>
            <rFont val="Tahoma"/>
            <family val="2"/>
          </rPr>
          <t>Astmax=0.04bd</t>
        </r>
        <r>
          <rPr>
            <sz val="8"/>
            <color indexed="81"/>
            <rFont val="Tahoma"/>
            <family val="2"/>
          </rPr>
          <t xml:space="preserve">
</t>
        </r>
      </text>
    </comment>
    <comment ref="E63" authorId="0" shapeId="0" xr:uid="{00000000-0006-0000-0700-000009000000}">
      <text>
        <r>
          <rPr>
            <b/>
            <sz val="8"/>
            <color indexed="81"/>
            <rFont val="Arial"/>
            <family val="2"/>
          </rPr>
          <t>ζ</t>
        </r>
        <r>
          <rPr>
            <b/>
            <sz val="8"/>
            <color indexed="81"/>
            <rFont val="Tahoma"/>
            <family val="2"/>
          </rPr>
          <t>v=Shear Force/(bd)</t>
        </r>
        <r>
          <rPr>
            <sz val="8"/>
            <color indexed="81"/>
            <rFont val="Tahoma"/>
            <family val="2"/>
          </rPr>
          <t xml:space="preserve">
</t>
        </r>
      </text>
    </comment>
    <comment ref="E65" authorId="0" shapeId="0" xr:uid="{00000000-0006-0000-0700-00000A000000}">
      <text>
        <r>
          <rPr>
            <b/>
            <sz val="8"/>
            <color indexed="81"/>
            <rFont val="Tahoma"/>
            <family val="2"/>
          </rPr>
          <t>refer Table 61 SP 16 pg 178</t>
        </r>
        <r>
          <rPr>
            <sz val="8"/>
            <color indexed="81"/>
            <rFont val="Tahoma"/>
            <family val="2"/>
          </rPr>
          <t xml:space="preserve">
</t>
        </r>
      </text>
    </comment>
    <comment ref="E71" authorId="0" shapeId="0" xr:uid="{00000000-0006-0000-0700-00000B000000}">
      <text>
        <r>
          <rPr>
            <b/>
            <sz val="8"/>
            <color indexed="81"/>
            <rFont val="Arial"/>
            <family val="2"/>
          </rPr>
          <t>ζ</t>
        </r>
        <r>
          <rPr>
            <b/>
            <sz val="8"/>
            <color indexed="81"/>
            <rFont val="Tahoma"/>
            <family val="2"/>
          </rPr>
          <t>v=Shear Force/(bd)</t>
        </r>
        <r>
          <rPr>
            <sz val="8"/>
            <color indexed="81"/>
            <rFont val="Tahoma"/>
            <family val="2"/>
          </rPr>
          <t xml:space="preserve">
</t>
        </r>
      </text>
    </comment>
    <comment ref="E73" authorId="0" shapeId="0" xr:uid="{00000000-0006-0000-0700-00000C000000}">
      <text>
        <r>
          <rPr>
            <b/>
            <sz val="8"/>
            <color indexed="81"/>
            <rFont val="Tahoma"/>
            <family val="2"/>
          </rPr>
          <t>refer Table 61 SP 16 pg 178</t>
        </r>
        <r>
          <rPr>
            <sz val="8"/>
            <color indexed="81"/>
            <rFont val="Tahoma"/>
            <family val="2"/>
          </rPr>
          <t xml:space="preserve">
</t>
        </r>
      </text>
    </comment>
  </commentList>
</comments>
</file>

<file path=xl/sharedStrings.xml><?xml version="1.0" encoding="utf-8"?>
<sst xmlns="http://schemas.openxmlformats.org/spreadsheetml/2006/main" count="741" uniqueCount="318">
  <si>
    <t>Load Calculation</t>
  </si>
  <si>
    <t>m</t>
  </si>
  <si>
    <t>mm</t>
  </si>
  <si>
    <t>Ast =</t>
  </si>
  <si>
    <t>Analysis</t>
  </si>
  <si>
    <t>Shorter Span (Lx) =</t>
  </si>
  <si>
    <t>Load detail</t>
  </si>
  <si>
    <t>lower</t>
  </si>
  <si>
    <t>upper</t>
  </si>
  <si>
    <t>exact</t>
  </si>
  <si>
    <t>Longer Span (Ly) =</t>
  </si>
  <si>
    <t>dead Load=</t>
  </si>
  <si>
    <t>kn / m2</t>
  </si>
  <si>
    <t>now,</t>
  </si>
  <si>
    <t>Ly / Lx =</t>
  </si>
  <si>
    <t>Now,</t>
  </si>
  <si>
    <t>live load=</t>
  </si>
  <si>
    <t>coff.</t>
  </si>
  <si>
    <t>ax</t>
  </si>
  <si>
    <t>ay</t>
  </si>
  <si>
    <t>other=</t>
  </si>
  <si>
    <t>edge</t>
  </si>
  <si>
    <t>Type of Panel (case No.) =</t>
  </si>
  <si>
    <t>mid</t>
  </si>
  <si>
    <t>Wx=</t>
  </si>
  <si>
    <t>moment</t>
  </si>
  <si>
    <t>kn</t>
  </si>
  <si>
    <t>Edge</t>
  </si>
  <si>
    <t>depth Taken (d)=</t>
  </si>
  <si>
    <t>(D)=</t>
  </si>
  <si>
    <t>Verification of depth</t>
  </si>
  <si>
    <t>d min=</t>
  </si>
  <si>
    <t>fy=</t>
  </si>
  <si>
    <t>n/mm2</t>
  </si>
  <si>
    <t>check "dadopt &gt;dmin"</t>
  </si>
  <si>
    <t>fck=</t>
  </si>
  <si>
    <t>about Y axis</t>
  </si>
  <si>
    <t>about X axis</t>
  </si>
  <si>
    <t>Reinforcement Design</t>
  </si>
  <si>
    <t>End Reinforcement</t>
  </si>
  <si>
    <t>Mid Reinforcement</t>
  </si>
  <si>
    <t>Adopt d =</t>
  </si>
  <si>
    <t xml:space="preserve">No Deflection contrl </t>
  </si>
  <si>
    <t xml:space="preserve">    finding area of steel (Ast) according to deflection control criteria</t>
  </si>
  <si>
    <t>needed at end portion Hence,</t>
  </si>
  <si>
    <t>moment (M)=</t>
  </si>
  <si>
    <t>kn-m</t>
  </si>
  <si>
    <t>mm2</t>
  </si>
  <si>
    <t>Req.</t>
  </si>
  <si>
    <t xml:space="preserve">actual L/d = </t>
  </si>
  <si>
    <t>Provided L/d=</t>
  </si>
  <si>
    <t>* modification factor</t>
  </si>
  <si>
    <t>provide the steel as =</t>
  </si>
  <si>
    <t>Hence needed M.F.=</t>
  </si>
  <si>
    <t>mm dia</t>
  </si>
  <si>
    <t>mm c/c distance</t>
  </si>
  <si>
    <t xml:space="preserve">then provided steel = </t>
  </si>
  <si>
    <t>provide the steel as</t>
  </si>
  <si>
    <t>% of tension steel=</t>
  </si>
  <si>
    <t>fs=</t>
  </si>
  <si>
    <t>hence, modification factor =</t>
  </si>
  <si>
    <t>Positive moment at mid-span</t>
  </si>
  <si>
    <t>Negative moment at continuous edge</t>
  </si>
  <si>
    <t>ly/lx</t>
  </si>
  <si>
    <t>extracted value</t>
  </si>
  <si>
    <r>
      <t xml:space="preserve">(Values of </t>
    </r>
    <r>
      <rPr>
        <sz val="10"/>
        <color indexed="10"/>
        <rFont val="Arial"/>
        <family val="2"/>
      </rPr>
      <t>L</t>
    </r>
    <r>
      <rPr>
        <sz val="6"/>
        <color indexed="10"/>
        <rFont val="Arial"/>
        <family val="2"/>
      </rPr>
      <t xml:space="preserve">y </t>
    </r>
    <r>
      <rPr>
        <sz val="8"/>
        <color indexed="10"/>
        <rFont val="Arial"/>
        <family val="2"/>
      </rPr>
      <t xml:space="preserve">/ </t>
    </r>
    <r>
      <rPr>
        <sz val="10"/>
        <color indexed="10"/>
        <rFont val="Arial"/>
        <family val="2"/>
      </rPr>
      <t>L</t>
    </r>
    <r>
      <rPr>
        <sz val="6"/>
        <color indexed="10"/>
        <rFont val="Arial"/>
        <family val="2"/>
      </rPr>
      <t>x</t>
    </r>
    <r>
      <rPr>
        <sz val="8"/>
        <color indexed="10"/>
        <rFont val="Arial"/>
        <family val="2"/>
      </rPr>
      <t>)</t>
    </r>
  </si>
  <si>
    <t>Moment considered</t>
  </si>
  <si>
    <t>Case No.</t>
  </si>
  <si>
    <r>
      <t xml:space="preserve">Coff.  </t>
    </r>
    <r>
      <rPr>
        <sz val="11"/>
        <color indexed="10"/>
        <rFont val="Arial"/>
        <family val="2"/>
      </rPr>
      <t>a</t>
    </r>
    <r>
      <rPr>
        <sz val="7"/>
        <color indexed="10"/>
        <rFont val="Arial"/>
        <family val="2"/>
      </rPr>
      <t>y for all Values of</t>
    </r>
  </si>
  <si>
    <r>
      <t xml:space="preserve">short Span  Coff. </t>
    </r>
    <r>
      <rPr>
        <sz val="10"/>
        <color indexed="10"/>
        <rFont val="Arial"/>
        <family val="2"/>
      </rPr>
      <t>a</t>
    </r>
    <r>
      <rPr>
        <sz val="6"/>
        <color indexed="10"/>
        <rFont val="Arial"/>
        <family val="2"/>
      </rPr>
      <t>x</t>
    </r>
  </si>
  <si>
    <t xml:space="preserve">Types of Panels and </t>
  </si>
  <si>
    <t>panel</t>
  </si>
  <si>
    <t>Positive moment at mid Span</t>
  </si>
  <si>
    <t>Four Edges Discontinuous</t>
  </si>
  <si>
    <t>-</t>
  </si>
  <si>
    <t>( One Short  Edge Continuous):</t>
  </si>
  <si>
    <t>Three Edges Discontinuous</t>
  </si>
  <si>
    <t>( One Long Edge Continuous):</t>
  </si>
  <si>
    <t>Two Long Edge Discontinuous</t>
  </si>
  <si>
    <t>Two Short Edge Discontinuous</t>
  </si>
  <si>
    <t>Two Adjacent side Discontinuous</t>
  </si>
  <si>
    <t>One Long Edge Discontinuous</t>
  </si>
  <si>
    <t>One Short Edge Discontinuous</t>
  </si>
  <si>
    <t>Interior Panels</t>
  </si>
  <si>
    <r>
      <t>L</t>
    </r>
    <r>
      <rPr>
        <sz val="6"/>
        <rFont val="Arial"/>
        <family val="2"/>
      </rPr>
      <t xml:space="preserve">y </t>
    </r>
    <r>
      <rPr>
        <sz val="8"/>
        <rFont val="Arial"/>
        <family val="2"/>
      </rPr>
      <t xml:space="preserve">/ </t>
    </r>
    <r>
      <rPr>
        <sz val="10"/>
        <rFont val="Arial"/>
        <family val="2"/>
      </rPr>
      <t>L</t>
    </r>
    <r>
      <rPr>
        <sz val="6"/>
        <rFont val="Arial"/>
        <family val="2"/>
      </rPr>
      <t>x</t>
    </r>
  </si>
  <si>
    <r>
      <t xml:space="preserve">(Values of </t>
    </r>
    <r>
      <rPr>
        <sz val="10"/>
        <rFont val="Arial"/>
        <family val="2"/>
      </rPr>
      <t>L</t>
    </r>
    <r>
      <rPr>
        <sz val="6"/>
        <rFont val="Arial"/>
        <family val="2"/>
      </rPr>
      <t xml:space="preserve">y </t>
    </r>
    <r>
      <rPr>
        <sz val="8"/>
        <rFont val="Arial"/>
        <family val="2"/>
      </rPr>
      <t xml:space="preserve">/ </t>
    </r>
    <r>
      <rPr>
        <sz val="10"/>
        <rFont val="Arial"/>
        <family val="2"/>
      </rPr>
      <t>L</t>
    </r>
    <r>
      <rPr>
        <sz val="6"/>
        <rFont val="Arial"/>
        <family val="2"/>
      </rPr>
      <t>x</t>
    </r>
    <r>
      <rPr>
        <sz val="8"/>
        <rFont val="Arial"/>
        <family val="2"/>
      </rPr>
      <t>)</t>
    </r>
  </si>
  <si>
    <r>
      <t xml:space="preserve">Coff.  </t>
    </r>
    <r>
      <rPr>
        <sz val="11"/>
        <rFont val="Arial"/>
        <family val="2"/>
      </rPr>
      <t>a</t>
    </r>
    <r>
      <rPr>
        <sz val="7"/>
        <rFont val="Arial"/>
        <family val="2"/>
      </rPr>
      <t>y for all Values of</t>
    </r>
  </si>
  <si>
    <r>
      <t xml:space="preserve">short Span  Coff. </t>
    </r>
    <r>
      <rPr>
        <sz val="10"/>
        <rFont val="Arial"/>
        <family val="2"/>
      </rPr>
      <t>a</t>
    </r>
    <r>
      <rPr>
        <sz val="6"/>
        <rFont val="Arial"/>
        <family val="2"/>
      </rPr>
      <t>x</t>
    </r>
  </si>
  <si>
    <t>Long Span</t>
  </si>
  <si>
    <t>Clause D-1.1 and 24.4.1</t>
  </si>
  <si>
    <t xml:space="preserve">Four Sides Provisions for Torsion aat Corners </t>
  </si>
  <si>
    <t>Table 26 Bending Coff.s for Rectangular Panels Supported on</t>
  </si>
  <si>
    <t>kN</t>
  </si>
  <si>
    <t>=</t>
  </si>
  <si>
    <t>Effective Cover</t>
  </si>
  <si>
    <t>M20</t>
  </si>
  <si>
    <t>fck</t>
  </si>
  <si>
    <t>fy</t>
  </si>
  <si>
    <t>b</t>
  </si>
  <si>
    <t>KN/m</t>
  </si>
  <si>
    <t>A</t>
  </si>
  <si>
    <t>B</t>
  </si>
  <si>
    <t>D</t>
  </si>
  <si>
    <t>KN</t>
  </si>
  <si>
    <t>Effective Depth</t>
  </si>
  <si>
    <t>d</t>
  </si>
  <si>
    <t>a</t>
  </si>
  <si>
    <t>c</t>
  </si>
  <si>
    <t>mm c/c</t>
  </si>
  <si>
    <t>Load</t>
  </si>
  <si>
    <t>Mx</t>
  </si>
  <si>
    <t>My</t>
  </si>
  <si>
    <t>Remarks</t>
  </si>
  <si>
    <t>Story</t>
  </si>
  <si>
    <t>Load Case/Combo</t>
  </si>
  <si>
    <t>FZ</t>
  </si>
  <si>
    <t xml:space="preserve">FOUNDATION DESIGN: </t>
  </si>
  <si>
    <t>Foundation depth</t>
  </si>
  <si>
    <t>Assumed SBC</t>
  </si>
  <si>
    <t xml:space="preserve">Design load </t>
  </si>
  <si>
    <t>kN/m^2</t>
  </si>
  <si>
    <t>m^2</t>
  </si>
  <si>
    <t>ft</t>
  </si>
  <si>
    <t>Footing Size Design</t>
  </si>
  <si>
    <t>Pu</t>
  </si>
  <si>
    <t>Design Load</t>
  </si>
  <si>
    <t>P</t>
  </si>
  <si>
    <t>Moment in x dir</t>
  </si>
  <si>
    <t>Mux</t>
  </si>
  <si>
    <t>Moment in y dir</t>
  </si>
  <si>
    <t>Muy</t>
  </si>
  <si>
    <t>Column size</t>
  </si>
  <si>
    <t>cx</t>
  </si>
  <si>
    <t>cy</t>
  </si>
  <si>
    <t>SBC</t>
  </si>
  <si>
    <t>q</t>
  </si>
  <si>
    <t>Footing Size required</t>
  </si>
  <si>
    <t>A req</t>
  </si>
  <si>
    <t>Footing Size Provided</t>
  </si>
  <si>
    <t>L</t>
  </si>
  <si>
    <t>Area Provided</t>
  </si>
  <si>
    <t>A prvd</t>
  </si>
  <si>
    <t>Zx</t>
  </si>
  <si>
    <t>Net upward pressure</t>
  </si>
  <si>
    <t>Nup</t>
  </si>
  <si>
    <t>Slab Design</t>
  </si>
  <si>
    <t>width</t>
  </si>
  <si>
    <t>lx</t>
  </si>
  <si>
    <r>
      <t>Mulim/bd</t>
    </r>
    <r>
      <rPr>
        <vertAlign val="superscript"/>
        <sz val="10"/>
        <rFont val="Arial"/>
        <family val="2"/>
      </rPr>
      <t>2</t>
    </r>
  </si>
  <si>
    <t xml:space="preserve">Mulim </t>
  </si>
  <si>
    <t>ly</t>
  </si>
  <si>
    <t>Bending Moment in x dir</t>
  </si>
  <si>
    <t>Bending Moment in y dir</t>
  </si>
  <si>
    <t>xumax/d</t>
  </si>
  <si>
    <t>xumax</t>
  </si>
  <si>
    <t>Rumax</t>
  </si>
  <si>
    <t>Section Check</t>
  </si>
  <si>
    <t>Concrete</t>
  </si>
  <si>
    <r>
      <t xml:space="preserve">Steel </t>
    </r>
    <r>
      <rPr>
        <sz val="8"/>
        <rFont val="Arial"/>
        <family val="2"/>
      </rPr>
      <t/>
    </r>
  </si>
  <si>
    <t>SRB</t>
  </si>
  <si>
    <t>Minimum Depth Required</t>
  </si>
  <si>
    <t>dmin</t>
  </si>
  <si>
    <t>Depth Provided</t>
  </si>
  <si>
    <t>-p</t>
  </si>
  <si>
    <t>Clear Cover</t>
  </si>
  <si>
    <t>Ast</t>
  </si>
  <si>
    <t>d'</t>
  </si>
  <si>
    <t>Min steel %</t>
  </si>
  <si>
    <t>Area of Steel</t>
  </si>
  <si>
    <t xml:space="preserve">Spacing c/c in mm </t>
  </si>
  <si>
    <r>
      <t>12</t>
    </r>
    <r>
      <rPr>
        <sz val="12"/>
        <rFont val="Arial"/>
        <family val="2"/>
      </rPr>
      <t>#</t>
    </r>
  </si>
  <si>
    <r>
      <t>16</t>
    </r>
    <r>
      <rPr>
        <sz val="12"/>
        <rFont val="Arial"/>
        <family val="2"/>
      </rPr>
      <t>#</t>
    </r>
  </si>
  <si>
    <t>20#</t>
  </si>
  <si>
    <t>Min Steel</t>
  </si>
  <si>
    <t>Max Steel</t>
  </si>
  <si>
    <t>Ast across x direction</t>
  </si>
  <si>
    <t>Ast across y direction</t>
  </si>
  <si>
    <t>Pt provided</t>
  </si>
  <si>
    <t>β</t>
  </si>
  <si>
    <t>One Way Shear along x direction</t>
  </si>
  <si>
    <t>ks trial</t>
  </si>
  <si>
    <t xml:space="preserve">ks </t>
  </si>
  <si>
    <t>Vu1</t>
  </si>
  <si>
    <t>ζv</t>
  </si>
  <si>
    <t>ζc</t>
  </si>
  <si>
    <t>Vc1</t>
  </si>
  <si>
    <t>One Way Shear along y direction</t>
  </si>
  <si>
    <t>Two Way Shear</t>
  </si>
  <si>
    <t>Vu2</t>
  </si>
  <si>
    <t>ks*ζc</t>
  </si>
  <si>
    <t>L=</t>
  </si>
  <si>
    <t>B=</t>
  </si>
  <si>
    <t>KN/m2</t>
  </si>
  <si>
    <t>OK</t>
  </si>
  <si>
    <t>Shear force   (Vx) =</t>
  </si>
  <si>
    <t>(Vy)=</t>
  </si>
  <si>
    <t>a) Along Shorter-Direction</t>
  </si>
  <si>
    <t>b) Along Longer-Direction</t>
  </si>
  <si>
    <t>Spacing</t>
  </si>
  <si>
    <t>Suggested Span / depth (L/D)   =</t>
  </si>
  <si>
    <t>Then, depth (D) =</t>
  </si>
  <si>
    <t xml:space="preserve">Joint Label </t>
  </si>
  <si>
    <t>Foundation</t>
  </si>
  <si>
    <t>Length</t>
  </si>
  <si>
    <t>Breadth</t>
  </si>
  <si>
    <t>Rebar Dia</t>
  </si>
  <si>
    <t>F1</t>
  </si>
  <si>
    <t>1.5 DL + 1.5 LL</t>
  </si>
  <si>
    <t xml:space="preserve">DESIGN OF STAIRCASE </t>
  </si>
  <si>
    <t>General Data:</t>
  </si>
  <si>
    <t>Design Data:</t>
  </si>
  <si>
    <t>Clear width of each flight</t>
  </si>
  <si>
    <t>Grade of concrete</t>
  </si>
  <si>
    <t>N/mm²</t>
  </si>
  <si>
    <t>Height of floor</t>
  </si>
  <si>
    <t>Grade of steel bars</t>
  </si>
  <si>
    <t>Fe500</t>
  </si>
  <si>
    <t>Rise of each step</t>
  </si>
  <si>
    <t>Density of concrete</t>
  </si>
  <si>
    <t>KN/m³</t>
  </si>
  <si>
    <t>Tread of each step</t>
  </si>
  <si>
    <t xml:space="preserve">Width of supporting walls </t>
  </si>
  <si>
    <t>Overall depth of waist slab</t>
  </si>
  <si>
    <t>Effective Span</t>
  </si>
  <si>
    <t>Thickness of landing</t>
  </si>
  <si>
    <t>Total Number of risers</t>
  </si>
  <si>
    <t>Nos</t>
  </si>
  <si>
    <t xml:space="preserve"> Number of risers in each flight</t>
  </si>
  <si>
    <t>Number of treads</t>
  </si>
  <si>
    <t>Clear width of first landing</t>
  </si>
  <si>
    <t>Loading in staircase</t>
  </si>
  <si>
    <t>Clear width of second landing</t>
  </si>
  <si>
    <t>Length of going</t>
  </si>
  <si>
    <t>Loads on Stair</t>
  </si>
  <si>
    <t>The steps of the stairs may be considered as equivalent rectangle of width of b</t>
  </si>
  <si>
    <t xml:space="preserve">&amp; Depth D/2 </t>
  </si>
  <si>
    <t>A. Dead load on landing</t>
  </si>
  <si>
    <t xml:space="preserve">Self wt.  </t>
  </si>
  <si>
    <t>KN/m²</t>
  </si>
  <si>
    <t>Live load</t>
  </si>
  <si>
    <t>Wt. of finishing</t>
  </si>
  <si>
    <t>(Assumed)</t>
  </si>
  <si>
    <t xml:space="preserve">Total dead load per m width </t>
  </si>
  <si>
    <t>C</t>
  </si>
  <si>
    <t xml:space="preserve">Dead load per slab width </t>
  </si>
  <si>
    <t>Factored load for total width</t>
  </si>
  <si>
    <t>B. Dead laod on Going</t>
  </si>
  <si>
    <t>LL</t>
  </si>
  <si>
    <t>Self wt of one step</t>
  </si>
  <si>
    <t>KN per m width</t>
  </si>
  <si>
    <t>BM center</t>
  </si>
  <si>
    <t xml:space="preserve">Number of steps per m length </t>
  </si>
  <si>
    <t>Nos.</t>
  </si>
  <si>
    <t>Self wt. of steps</t>
  </si>
  <si>
    <t>DL</t>
  </si>
  <si>
    <t xml:space="preserve">Total DL per m on going </t>
  </si>
  <si>
    <t>Load per total width of going</t>
  </si>
  <si>
    <t>Factored  Load on the Going</t>
  </si>
  <si>
    <t>C. Live Load</t>
  </si>
  <si>
    <t>Live Load on the stair</t>
  </si>
  <si>
    <t>For complete width of stair</t>
  </si>
  <si>
    <t>Factored Live Load on the Stair</t>
  </si>
  <si>
    <t>Calculation of Bending Moment</t>
  </si>
  <si>
    <t>The end reaction at the support</t>
  </si>
  <si>
    <t>Now the factored Bending Moment occurs at the centre,</t>
  </si>
  <si>
    <t>B.M.</t>
  </si>
  <si>
    <t>KN-m</t>
  </si>
  <si>
    <t xml:space="preserve">Area  of rebar from Moment </t>
  </si>
  <si>
    <t>Overall Depth of the slab</t>
  </si>
  <si>
    <t xml:space="preserve">Adopt overall Depth of slab </t>
  </si>
  <si>
    <t>Effective Depth of Slab</t>
  </si>
  <si>
    <t>Main Reinforcement</t>
  </si>
  <si>
    <t xml:space="preserve">Ast </t>
  </si>
  <si>
    <t>or</t>
  </si>
  <si>
    <t>Adopt Ast</t>
  </si>
  <si>
    <t>mm²</t>
  </si>
  <si>
    <t>Provide</t>
  </si>
  <si>
    <t>mm dia steel bars</t>
  </si>
  <si>
    <t xml:space="preserve"> Required Spacing of bars, Sv</t>
  </si>
  <si>
    <t>Therefore, Provide</t>
  </si>
  <si>
    <t>steel bars spacing @</t>
  </si>
  <si>
    <t xml:space="preserve"> c/c</t>
  </si>
  <si>
    <t>Distribution Reinforcement</t>
  </si>
  <si>
    <t>Ad</t>
  </si>
  <si>
    <t>Diameter of distribution bars</t>
  </si>
  <si>
    <t xml:space="preserve">Area = </t>
  </si>
  <si>
    <t>Spacing of the bars</t>
  </si>
  <si>
    <t xml:space="preserve">Slab thickness vs secondary beam </t>
  </si>
  <si>
    <t>added weight</t>
  </si>
  <si>
    <t>slab</t>
  </si>
  <si>
    <t>beam weight</t>
  </si>
  <si>
    <t xml:space="preserve"> ISOLATED FOOTING DETAILS</t>
  </si>
  <si>
    <r>
      <t xml:space="preserve">                                        </t>
    </r>
    <r>
      <rPr>
        <b/>
        <sz val="10"/>
        <rFont val="Arial"/>
        <family val="2"/>
      </rPr>
      <t>Two Way Slab Design</t>
    </r>
    <r>
      <rPr>
        <b/>
        <i/>
        <sz val="10"/>
        <color indexed="61"/>
        <rFont val="Arial"/>
        <family val="2"/>
      </rPr>
      <t xml:space="preserve">  </t>
    </r>
  </si>
  <si>
    <t>Ground</t>
  </si>
  <si>
    <t>Effective Length of Stairacase</t>
  </si>
  <si>
    <t>Column Position</t>
  </si>
  <si>
    <t>in</t>
  </si>
  <si>
    <t>F2</t>
  </si>
  <si>
    <t>6 feet</t>
  </si>
  <si>
    <t>Max BP</t>
  </si>
  <si>
    <t>Min BP</t>
  </si>
  <si>
    <t>e1x</t>
  </si>
  <si>
    <t>e1y</t>
  </si>
  <si>
    <t>e</t>
  </si>
  <si>
    <t>theta</t>
  </si>
  <si>
    <t>e2x</t>
  </si>
  <si>
    <t>e2y</t>
  </si>
  <si>
    <t>M2x</t>
  </si>
  <si>
    <t>M2y</t>
  </si>
  <si>
    <t>Unique Names</t>
  </si>
  <si>
    <t>Reqd L(m)</t>
  </si>
  <si>
    <t>Reqd L(ft)</t>
  </si>
  <si>
    <t>RATIO</t>
  </si>
  <si>
    <t>Isolated Footing  - F7</t>
  </si>
  <si>
    <t>B2 &amp; C2</t>
  </si>
  <si>
    <t>All Footing except F2</t>
  </si>
  <si>
    <t>Adopted Breadth</t>
  </si>
  <si>
    <t>Adopted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</si>
</sst>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3" formatCode="_(* #,##0.00_);_(* \(#,##0.00\);_(* &quot;-&quot;??_);_(@_)"/>
    <numFmt numFmtId="164" formatCode="0.0"/>
    <numFmt numFmtId="165" formatCode="0.000"/>
    <numFmt numFmtId="166" formatCode="0\ &quot;mm dia&quot;"/>
    <numFmt numFmtId="167" formatCode="[$-409]dd\-mmm\-yy;@"/>
    <numFmt numFmtId="168" formatCode="0\ &quot;KN&quot;"/>
    <numFmt numFmtId="169" formatCode="0\ &quot;KN-m&quot;"/>
    <numFmt numFmtId="170" formatCode="0\ &quot;mm&quot;"/>
    <numFmt numFmtId="171" formatCode="0\ &quot;KN/sqm&quot;"/>
    <numFmt numFmtId="172" formatCode="0.00\ &quot;sqmm&quot;"/>
    <numFmt numFmtId="173" formatCode="0.00\ &quot;meters&quot;"/>
    <numFmt numFmtId="174" formatCode="0\ &quot;meters&quot;"/>
    <numFmt numFmtId="175" formatCode="0\ &quot;KNm2&quot;"/>
    <numFmt numFmtId="176" formatCode="0\ &quot;MPa&quot;"/>
    <numFmt numFmtId="177" formatCode="0.0000"/>
    <numFmt numFmtId="178" formatCode="0\ &quot;sqmm&quot;"/>
    <numFmt numFmtId="179" formatCode="0\ &quot;c/c&quot;"/>
    <numFmt numFmtId="180" formatCode="&quot;@&quot;\ 0\ &quot;mm&quot;\ &quot;c/c&quot;"/>
    <numFmt numFmtId="181" formatCode="0.000\ &quot;MPa&quot;"/>
    <numFmt numFmtId="182" formatCode="0.00\ &quot;KN/m&quot;"/>
    <numFmt numFmtId="183" formatCode="0\ &quot;KN/m&quot;"/>
    <numFmt numFmtId="184" formatCode="0.00\ &quot;m&quot;"/>
    <numFmt numFmtId="185" formatCode="0&quot;mm&quot;"/>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color indexed="10"/>
      <name val="Arial"/>
      <family val="2"/>
    </font>
    <font>
      <sz val="8"/>
      <name val="Arial"/>
      <family val="2"/>
    </font>
    <font>
      <sz val="7"/>
      <name val="Arial"/>
      <family val="2"/>
    </font>
    <font>
      <sz val="8"/>
      <color indexed="10"/>
      <name val="Arial"/>
      <family val="2"/>
    </font>
    <font>
      <sz val="8"/>
      <color indexed="12"/>
      <name val="Arial"/>
      <family val="2"/>
    </font>
    <font>
      <b/>
      <sz val="8"/>
      <name val="Arial"/>
      <family val="2"/>
    </font>
    <font>
      <sz val="12"/>
      <name val="Arial"/>
      <family val="2"/>
    </font>
    <font>
      <sz val="8"/>
      <color indexed="8"/>
      <name val="Arial"/>
      <family val="2"/>
    </font>
    <font>
      <sz val="8"/>
      <color indexed="16"/>
      <name val="Arial"/>
      <family val="2"/>
    </font>
    <font>
      <b/>
      <sz val="8"/>
      <color indexed="10"/>
      <name val="Arial"/>
      <family val="2"/>
    </font>
    <font>
      <b/>
      <sz val="8"/>
      <color indexed="12"/>
      <name val="Arial"/>
      <family val="2"/>
    </font>
    <font>
      <sz val="7"/>
      <color indexed="10"/>
      <name val="Arial"/>
      <family val="2"/>
    </font>
    <font>
      <sz val="6"/>
      <color indexed="10"/>
      <name val="Arial"/>
      <family val="2"/>
    </font>
    <font>
      <sz val="11"/>
      <color indexed="10"/>
      <name val="Arial"/>
      <family val="2"/>
    </font>
    <font>
      <i/>
      <sz val="8"/>
      <name val="Arial"/>
      <family val="2"/>
    </font>
    <font>
      <sz val="6"/>
      <name val="Arial"/>
      <family val="2"/>
    </font>
    <font>
      <sz val="11"/>
      <name val="Arial"/>
      <family val="2"/>
    </font>
    <font>
      <sz val="11"/>
      <color theme="1"/>
      <name val="Calibri"/>
      <family val="2"/>
      <scheme val="minor"/>
    </font>
    <font>
      <sz val="11"/>
      <color theme="1"/>
      <name val="Calibri"/>
      <family val="2"/>
      <charset val="1"/>
      <scheme val="minor"/>
    </font>
    <font>
      <sz val="8"/>
      <color theme="0"/>
      <name val="Arial"/>
      <family val="2"/>
    </font>
    <font>
      <sz val="10"/>
      <name val="Arial"/>
      <family val="2"/>
    </font>
    <font>
      <b/>
      <sz val="12"/>
      <name val="Arial"/>
      <family val="2"/>
    </font>
    <font>
      <b/>
      <sz val="16"/>
      <name val="Arial"/>
      <family val="2"/>
    </font>
    <font>
      <b/>
      <sz val="8"/>
      <color rgb="FF0070C0"/>
      <name val="Arial"/>
      <family val="2"/>
    </font>
    <font>
      <sz val="10"/>
      <name val="Arial"/>
      <family val="2"/>
    </font>
    <font>
      <b/>
      <sz val="11"/>
      <color theme="1"/>
      <name val="Calibri"/>
      <family val="2"/>
      <scheme val="minor"/>
    </font>
    <font>
      <b/>
      <sz val="14"/>
      <name val="Arial"/>
      <family val="2"/>
    </font>
    <font>
      <sz val="16"/>
      <name val="Arial"/>
      <family val="2"/>
    </font>
    <font>
      <b/>
      <i/>
      <sz val="10"/>
      <name val="Arial"/>
      <family val="2"/>
    </font>
    <font>
      <sz val="10"/>
      <color indexed="12"/>
      <name val="Arial"/>
      <family val="2"/>
    </font>
    <font>
      <sz val="10"/>
      <color indexed="39"/>
      <name val="Arial"/>
      <family val="2"/>
    </font>
    <font>
      <b/>
      <sz val="10"/>
      <color indexed="10"/>
      <name val="Arial"/>
      <family val="2"/>
    </font>
    <font>
      <sz val="10"/>
      <color indexed="17"/>
      <name val="Arial"/>
      <family val="2"/>
    </font>
    <font>
      <b/>
      <sz val="10"/>
      <color indexed="49"/>
      <name val="Arial"/>
      <family val="2"/>
    </font>
    <font>
      <vertAlign val="superscript"/>
      <sz val="10"/>
      <name val="Arial"/>
      <family val="2"/>
    </font>
    <font>
      <b/>
      <sz val="10"/>
      <color indexed="12"/>
      <name val="Arial"/>
      <family val="2"/>
    </font>
    <font>
      <b/>
      <sz val="12"/>
      <color indexed="20"/>
      <name val="Arial"/>
      <family val="2"/>
    </font>
    <font>
      <b/>
      <sz val="10"/>
      <color indexed="39"/>
      <name val="Arial"/>
      <family val="2"/>
    </font>
    <font>
      <i/>
      <sz val="10"/>
      <name val="Arial"/>
      <family val="2"/>
    </font>
    <font>
      <sz val="10"/>
      <color indexed="22"/>
      <name val="Arial"/>
      <family val="2"/>
    </font>
    <font>
      <b/>
      <sz val="8"/>
      <color indexed="81"/>
      <name val="Tahoma"/>
      <family val="2"/>
    </font>
    <font>
      <sz val="8"/>
      <color indexed="81"/>
      <name val="Tahoma"/>
      <family val="2"/>
    </font>
    <font>
      <b/>
      <sz val="12"/>
      <color indexed="81"/>
      <name val="Arial"/>
      <family val="2"/>
    </font>
    <font>
      <b/>
      <sz val="10"/>
      <color indexed="81"/>
      <name val="Arial"/>
      <family val="2"/>
    </font>
    <font>
      <b/>
      <sz val="8"/>
      <color indexed="81"/>
      <name val="Arial"/>
      <family val="2"/>
    </font>
    <font>
      <b/>
      <i/>
      <sz val="8"/>
      <name val="Arial"/>
      <family val="2"/>
    </font>
    <font>
      <b/>
      <sz val="9"/>
      <name val="Calibri"/>
      <family val="2"/>
      <scheme val="minor"/>
    </font>
    <font>
      <sz val="9"/>
      <name val="Calibri"/>
      <family val="2"/>
      <scheme val="minor"/>
    </font>
    <font>
      <sz val="9"/>
      <color theme="1"/>
      <name val="Calibri"/>
      <family val="2"/>
      <scheme val="minor"/>
    </font>
    <font>
      <b/>
      <i/>
      <u/>
      <sz val="9"/>
      <name val="Calibri"/>
      <family val="2"/>
      <scheme val="minor"/>
    </font>
    <font>
      <sz val="9"/>
      <color theme="0"/>
      <name val="Calibri"/>
      <family val="2"/>
      <scheme val="minor"/>
    </font>
    <font>
      <sz val="9"/>
      <color rgb="FFFF0000"/>
      <name val="Calibri"/>
      <family val="2"/>
      <scheme val="minor"/>
    </font>
    <font>
      <b/>
      <sz val="9"/>
      <color rgb="FFFF0000"/>
      <name val="Calibri"/>
      <family val="2"/>
      <scheme val="minor"/>
    </font>
    <font>
      <b/>
      <i/>
      <sz val="10"/>
      <color indexed="61"/>
      <name val="Arial"/>
      <family val="2"/>
    </font>
    <font>
      <sz val="11"/>
      <name val="Calibri"/>
      <family val="2"/>
      <scheme val="minor"/>
    </font>
  </fonts>
  <fills count="12">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theme="0"/>
        <bgColor indexed="64"/>
      </patternFill>
    </fill>
    <fill>
      <patternFill patternType="solid">
        <fgColor indexed="44"/>
        <bgColor indexed="64"/>
      </patternFill>
    </fill>
    <fill>
      <patternFill patternType="solid">
        <fgColor indexed="9"/>
        <bgColor indexed="64"/>
      </patternFill>
    </fill>
    <fill>
      <patternFill patternType="solid">
        <fgColor theme="3" tint="0.79998168889431442"/>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diagonalUp="1" diagonalDown="1">
      <left style="thin">
        <color indexed="64"/>
      </left>
      <right style="thin">
        <color indexed="64"/>
      </right>
      <top style="thin">
        <color indexed="64"/>
      </top>
      <bottom/>
      <diagonal style="thin">
        <color indexed="64"/>
      </diagonal>
    </border>
    <border diagonalUp="1" diagonalDown="1">
      <left style="thin">
        <color indexed="64"/>
      </left>
      <right style="thin">
        <color indexed="64"/>
      </right>
      <top/>
      <bottom/>
      <diagonal style="thin">
        <color indexed="64"/>
      </diagonal>
    </border>
    <border diagonalUp="1" diagonalDown="1">
      <left style="thin">
        <color indexed="64"/>
      </left>
      <right/>
      <top style="thin">
        <color indexed="64"/>
      </top>
      <bottom/>
      <diagonal style="thin">
        <color indexed="64"/>
      </diagonal>
    </border>
    <border diagonalUp="1" diagonalDown="1">
      <left/>
      <right style="thin">
        <color indexed="64"/>
      </right>
      <top/>
      <bottom/>
      <diagonal style="thin">
        <color indexed="64"/>
      </diagonal>
    </border>
    <border diagonalUp="1" diagonalDown="1">
      <left style="thin">
        <color indexed="64"/>
      </left>
      <right/>
      <top/>
      <bottom/>
      <diagonal style="thin">
        <color indexed="64"/>
      </diagonal>
    </border>
    <border diagonalUp="1" diagonalDown="1">
      <left/>
      <right style="thin">
        <color indexed="64"/>
      </right>
      <top style="thin">
        <color indexed="64"/>
      </top>
      <bottom/>
      <diagonal style="thin">
        <color indexed="64"/>
      </diagonal>
    </border>
    <border diagonalUp="1" diagonalDown="1">
      <left style="thin">
        <color indexed="64"/>
      </left>
      <right style="thin">
        <color indexed="64"/>
      </right>
      <top/>
      <bottom style="thin">
        <color indexed="64"/>
      </bottom>
      <diagonal style="thin">
        <color indexed="64"/>
      </diagonal>
    </border>
    <border diagonalUp="1" diagonalDown="1">
      <left style="thin">
        <color indexed="64"/>
      </left>
      <right/>
      <top/>
      <bottom style="thin">
        <color indexed="64"/>
      </bottom>
      <diagonal style="thin">
        <color indexed="64"/>
      </diagonal>
    </border>
    <border diagonalUp="1" diagonalDown="1">
      <left/>
      <right style="thin">
        <color indexed="64"/>
      </right>
      <top/>
      <bottom style="thin">
        <color indexed="64"/>
      </bottom>
      <diagonal style="thin">
        <color indexed="64"/>
      </diagonal>
    </border>
    <border diagonalUp="1">
      <left/>
      <right style="thin">
        <color indexed="64"/>
      </right>
      <top style="thin">
        <color indexed="64"/>
      </top>
      <bottom/>
      <diagonal style="thin">
        <color indexed="64"/>
      </diagonal>
    </border>
    <border diagonalDown="1">
      <left style="thin">
        <color indexed="64"/>
      </left>
      <right/>
      <top style="thin">
        <color indexed="64"/>
      </top>
      <bottom/>
      <diagonal style="thin">
        <color indexed="64"/>
      </diagonal>
    </border>
    <border diagonalDown="1">
      <left style="thin">
        <color indexed="64"/>
      </left>
      <right/>
      <top/>
      <bottom/>
      <diagonal style="thin">
        <color indexed="64"/>
      </diagonal>
    </border>
    <border>
      <left/>
      <right style="thin">
        <color indexed="64"/>
      </right>
      <top style="medium">
        <color indexed="64"/>
      </top>
      <bottom style="thin">
        <color indexed="64"/>
      </bottom>
      <diagonal/>
    </border>
  </borders>
  <cellStyleXfs count="58">
    <xf numFmtId="0" fontId="0" fillId="0" borderId="0"/>
    <xf numFmtId="0" fontId="17" fillId="0" borderId="0"/>
    <xf numFmtId="0" fontId="37"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16" fillId="0" borderId="0"/>
    <xf numFmtId="0" fontId="15"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9" fillId="0" borderId="0"/>
    <xf numFmtId="0" fontId="12" fillId="0" borderId="0"/>
    <xf numFmtId="43" fontId="12" fillId="0" borderId="0" applyFont="0" applyFill="0" applyBorder="0" applyAlignment="0" applyProtection="0"/>
    <xf numFmtId="0" fontId="17" fillId="0" borderId="0"/>
    <xf numFmtId="0" fontId="11" fillId="0" borderId="0"/>
    <xf numFmtId="0" fontId="10" fillId="0" borderId="0"/>
    <xf numFmtId="0" fontId="9" fillId="0" borderId="0"/>
    <xf numFmtId="0" fontId="43" fillId="0" borderId="0"/>
    <xf numFmtId="0" fontId="8" fillId="0" borderId="0"/>
    <xf numFmtId="0" fontId="6" fillId="0" borderId="0"/>
    <xf numFmtId="0" fontId="5" fillId="0" borderId="0"/>
    <xf numFmtId="0" fontId="4" fillId="0" borderId="0"/>
    <xf numFmtId="0" fontId="3" fillId="0" borderId="0"/>
    <xf numFmtId="0" fontId="1" fillId="0" borderId="0"/>
  </cellStyleXfs>
  <cellXfs count="369">
    <xf numFmtId="0" fontId="0" fillId="0" borderId="0" xfId="0"/>
    <xf numFmtId="0" fontId="17" fillId="0" borderId="0" xfId="1"/>
    <xf numFmtId="0" fontId="17" fillId="0" borderId="0" xfId="1" applyAlignment="1">
      <alignment horizontal="center"/>
    </xf>
    <xf numFmtId="0" fontId="20" fillId="0" borderId="0" xfId="1" applyFont="1" applyAlignment="1">
      <alignment horizontal="center"/>
    </xf>
    <xf numFmtId="0" fontId="21" fillId="0" borderId="0" xfId="1" applyFont="1" applyAlignment="1">
      <alignment horizontal="left"/>
    </xf>
    <xf numFmtId="0" fontId="20" fillId="2" borderId="1" xfId="1" applyFont="1" applyFill="1" applyBorder="1" applyAlignment="1">
      <alignment horizontal="center"/>
    </xf>
    <xf numFmtId="0" fontId="21" fillId="2" borderId="1" xfId="1" applyFont="1" applyFill="1" applyBorder="1" applyAlignment="1">
      <alignment horizontal="left"/>
    </xf>
    <xf numFmtId="0" fontId="22" fillId="3" borderId="1" xfId="1" applyFont="1" applyFill="1" applyBorder="1" applyAlignment="1">
      <alignment horizontal="center"/>
    </xf>
    <xf numFmtId="0" fontId="20" fillId="4" borderId="1" xfId="1" applyFont="1" applyFill="1" applyBorder="1" applyAlignment="1">
      <alignment horizontal="center"/>
    </xf>
    <xf numFmtId="0" fontId="21" fillId="4" borderId="1" xfId="1" applyFont="1" applyFill="1" applyBorder="1" applyAlignment="1">
      <alignment horizontal="left"/>
    </xf>
    <xf numFmtId="0" fontId="33" fillId="4" borderId="1" xfId="1" applyFont="1" applyFill="1" applyBorder="1" applyAlignment="1">
      <alignment horizontal="center"/>
    </xf>
    <xf numFmtId="0" fontId="20" fillId="4" borderId="1" xfId="1" applyFont="1" applyFill="1" applyBorder="1" applyAlignment="1">
      <alignment horizontal="left"/>
    </xf>
    <xf numFmtId="0" fontId="17" fillId="4" borderId="1" xfId="1" applyFill="1" applyBorder="1"/>
    <xf numFmtId="0" fontId="17" fillId="4" borderId="1" xfId="1" applyFill="1" applyBorder="1" applyAlignment="1">
      <alignment horizontal="center"/>
    </xf>
    <xf numFmtId="0" fontId="20" fillId="4" borderId="1" xfId="1" applyFont="1" applyFill="1" applyBorder="1"/>
    <xf numFmtId="0" fontId="17" fillId="4" borderId="0" xfId="1" applyFill="1"/>
    <xf numFmtId="0" fontId="20" fillId="0" borderId="0" xfId="1" applyFont="1"/>
    <xf numFmtId="0" fontId="20" fillId="5" borderId="0" xfId="1" applyFont="1" applyFill="1"/>
    <xf numFmtId="0" fontId="20" fillId="7" borderId="0" xfId="1" applyFont="1" applyFill="1"/>
    <xf numFmtId="0" fontId="20" fillId="7" borderId="2" xfId="1" applyFont="1" applyFill="1" applyBorder="1"/>
    <xf numFmtId="0" fontId="20" fillId="7" borderId="1" xfId="1" applyFont="1" applyFill="1" applyBorder="1"/>
    <xf numFmtId="0" fontId="22" fillId="7" borderId="3" xfId="1" applyFont="1" applyFill="1" applyBorder="1"/>
    <xf numFmtId="0" fontId="20" fillId="7" borderId="4" xfId="1" applyFont="1" applyFill="1" applyBorder="1"/>
    <xf numFmtId="0" fontId="20" fillId="7" borderId="5" xfId="1" applyFont="1" applyFill="1" applyBorder="1"/>
    <xf numFmtId="0" fontId="28" fillId="7" borderId="1" xfId="1" applyFont="1" applyFill="1" applyBorder="1"/>
    <xf numFmtId="0" fontId="20" fillId="7" borderId="6" xfId="1" applyFont="1" applyFill="1" applyBorder="1"/>
    <xf numFmtId="0" fontId="22" fillId="7" borderId="1" xfId="1" applyFont="1" applyFill="1" applyBorder="1"/>
    <xf numFmtId="0" fontId="24" fillId="7" borderId="1" xfId="1" applyFont="1" applyFill="1" applyBorder="1"/>
    <xf numFmtId="0" fontId="20" fillId="7" borderId="7" xfId="1" applyFont="1" applyFill="1" applyBorder="1"/>
    <xf numFmtId="0" fontId="20" fillId="7" borderId="8" xfId="1" applyFont="1" applyFill="1" applyBorder="1"/>
    <xf numFmtId="0" fontId="20" fillId="7" borderId="9" xfId="1" applyFont="1" applyFill="1" applyBorder="1"/>
    <xf numFmtId="0" fontId="23" fillId="7" borderId="0" xfId="1" applyFont="1" applyFill="1"/>
    <xf numFmtId="0" fontId="20" fillId="7" borderId="4" xfId="1" applyFont="1" applyFill="1" applyBorder="1" applyAlignment="1">
      <alignment horizontal="center"/>
    </xf>
    <xf numFmtId="0" fontId="20" fillId="7" borderId="10" xfId="1" applyFont="1" applyFill="1" applyBorder="1"/>
    <xf numFmtId="0" fontId="26" fillId="7" borderId="0" xfId="1" applyFont="1" applyFill="1"/>
    <xf numFmtId="0" fontId="20" fillId="7" borderId="6" xfId="1" applyFont="1" applyFill="1" applyBorder="1" applyAlignment="1">
      <alignment horizontal="center"/>
    </xf>
    <xf numFmtId="0" fontId="20" fillId="7" borderId="11" xfId="1" applyFont="1" applyFill="1" applyBorder="1"/>
    <xf numFmtId="0" fontId="20" fillId="7" borderId="12" xfId="1" applyFont="1" applyFill="1" applyBorder="1"/>
    <xf numFmtId="0" fontId="20" fillId="7" borderId="3" xfId="1" applyFont="1" applyFill="1" applyBorder="1"/>
    <xf numFmtId="0" fontId="26" fillId="7" borderId="4" xfId="1" applyFont="1" applyFill="1" applyBorder="1"/>
    <xf numFmtId="0" fontId="20" fillId="7" borderId="1" xfId="1" applyFont="1" applyFill="1" applyBorder="1" applyAlignment="1">
      <alignment horizontal="right"/>
    </xf>
    <xf numFmtId="0" fontId="27" fillId="7" borderId="0" xfId="1" applyFont="1" applyFill="1" applyAlignment="1">
      <alignment horizontal="right"/>
    </xf>
    <xf numFmtId="0" fontId="27" fillId="7" borderId="0" xfId="1" applyFont="1" applyFill="1"/>
    <xf numFmtId="0" fontId="28" fillId="7" borderId="0" xfId="1" applyFont="1" applyFill="1" applyAlignment="1">
      <alignment horizontal="center"/>
    </xf>
    <xf numFmtId="0" fontId="27" fillId="7" borderId="0" xfId="1" applyFont="1" applyFill="1" applyAlignment="1">
      <alignment horizontal="center"/>
    </xf>
    <xf numFmtId="0" fontId="27" fillId="7" borderId="1" xfId="1" applyFont="1" applyFill="1" applyBorder="1" applyAlignment="1">
      <alignment horizontal="center"/>
    </xf>
    <xf numFmtId="0" fontId="27" fillId="7" borderId="1" xfId="1" applyFont="1" applyFill="1" applyBorder="1" applyAlignment="1">
      <alignment horizontal="right"/>
    </xf>
    <xf numFmtId="0" fontId="28" fillId="7" borderId="1" xfId="1" applyFont="1" applyFill="1" applyBorder="1" applyAlignment="1">
      <alignment horizontal="center"/>
    </xf>
    <xf numFmtId="0" fontId="27" fillId="7" borderId="1" xfId="1" applyFont="1" applyFill="1" applyBorder="1"/>
    <xf numFmtId="0" fontId="26" fillId="7" borderId="1" xfId="1" applyFont="1" applyFill="1" applyBorder="1"/>
    <xf numFmtId="0" fontId="23" fillId="7" borderId="1" xfId="1" applyFont="1" applyFill="1" applyBorder="1"/>
    <xf numFmtId="0" fontId="20" fillId="7" borderId="1" xfId="1" applyFont="1" applyFill="1" applyBorder="1" applyAlignment="1">
      <alignment horizontal="left"/>
    </xf>
    <xf numFmtId="0" fontId="26" fillId="7" borderId="1" xfId="1" applyFont="1" applyFill="1" applyBorder="1" applyAlignment="1">
      <alignment horizontal="right"/>
    </xf>
    <xf numFmtId="0" fontId="22" fillId="7" borderId="0" xfId="1" applyFont="1" applyFill="1" applyAlignment="1">
      <alignment horizontal="center"/>
    </xf>
    <xf numFmtId="0" fontId="22" fillId="7" borderId="1" xfId="1" applyFont="1" applyFill="1" applyBorder="1" applyAlignment="1">
      <alignment horizontal="center"/>
    </xf>
    <xf numFmtId="2" fontId="23" fillId="7" borderId="1" xfId="1" applyNumberFormat="1" applyFont="1" applyFill="1" applyBorder="1"/>
    <xf numFmtId="0" fontId="42" fillId="7" borderId="1" xfId="1" applyFont="1" applyFill="1" applyBorder="1"/>
    <xf numFmtId="0" fontId="42" fillId="7" borderId="4" xfId="1" applyFont="1" applyFill="1" applyBorder="1"/>
    <xf numFmtId="0" fontId="45" fillId="0" borderId="16" xfId="1" applyFont="1" applyBorder="1"/>
    <xf numFmtId="0" fontId="41" fillId="0" borderId="16" xfId="1" applyFont="1" applyBorder="1"/>
    <xf numFmtId="0" fontId="46" fillId="0" borderId="16" xfId="1" applyFont="1" applyBorder="1"/>
    <xf numFmtId="0" fontId="17" fillId="0" borderId="16" xfId="1" applyBorder="1"/>
    <xf numFmtId="0" fontId="9" fillId="8" borderId="1" xfId="50" applyFill="1" applyBorder="1" applyAlignment="1">
      <alignment horizontal="center"/>
    </xf>
    <xf numFmtId="2" fontId="9" fillId="0" borderId="1" xfId="50" applyNumberFormat="1" applyBorder="1"/>
    <xf numFmtId="0" fontId="43" fillId="9" borderId="0" xfId="51" applyFill="1" applyAlignment="1">
      <alignment horizontal="center"/>
    </xf>
    <xf numFmtId="0" fontId="47" fillId="9" borderId="0" xfId="51" applyFont="1" applyFill="1" applyAlignment="1">
      <alignment horizontal="left"/>
    </xf>
    <xf numFmtId="167" fontId="47" fillId="9" borderId="0" xfId="51" applyNumberFormat="1" applyFont="1" applyFill="1" applyAlignment="1">
      <alignment horizontal="left"/>
    </xf>
    <xf numFmtId="0" fontId="43" fillId="9" borderId="0" xfId="51" applyFill="1" applyAlignment="1">
      <alignment horizontal="left"/>
    </xf>
    <xf numFmtId="0" fontId="17" fillId="9" borderId="0" xfId="51" applyFont="1" applyFill="1"/>
    <xf numFmtId="0" fontId="47" fillId="9" borderId="0" xfId="51" applyFont="1" applyFill="1" applyAlignment="1">
      <alignment horizontal="center"/>
    </xf>
    <xf numFmtId="0" fontId="43" fillId="9" borderId="3" xfId="51" applyFill="1" applyBorder="1" applyAlignment="1">
      <alignment horizontal="center"/>
    </xf>
    <xf numFmtId="0" fontId="43" fillId="9" borderId="13" xfId="51" applyFill="1" applyBorder="1" applyAlignment="1">
      <alignment horizontal="left"/>
    </xf>
    <xf numFmtId="0" fontId="43" fillId="9" borderId="13" xfId="51" applyFill="1" applyBorder="1" applyAlignment="1">
      <alignment horizontal="center"/>
    </xf>
    <xf numFmtId="0" fontId="43" fillId="9" borderId="12" xfId="51" applyFill="1" applyBorder="1" applyAlignment="1">
      <alignment horizontal="center"/>
    </xf>
    <xf numFmtId="0" fontId="43" fillId="9" borderId="9" xfId="51" applyFill="1" applyBorder="1" applyAlignment="1">
      <alignment horizontal="center"/>
    </xf>
    <xf numFmtId="0" fontId="18" fillId="9" borderId="0" xfId="51" applyFont="1" applyFill="1" applyAlignment="1">
      <alignment horizontal="left"/>
    </xf>
    <xf numFmtId="0" fontId="43" fillId="9" borderId="15" xfId="51" applyFill="1" applyBorder="1" applyAlignment="1">
      <alignment horizontal="center"/>
    </xf>
    <xf numFmtId="168" fontId="19" fillId="9" borderId="1" xfId="51" applyNumberFormat="1" applyFont="1" applyFill="1" applyBorder="1" applyAlignment="1">
      <alignment horizontal="center"/>
    </xf>
    <xf numFmtId="0" fontId="17" fillId="9" borderId="0" xfId="51" applyFont="1" applyFill="1" applyAlignment="1">
      <alignment horizontal="left"/>
    </xf>
    <xf numFmtId="0" fontId="17" fillId="9" borderId="0" xfId="51" applyFont="1" applyFill="1" applyAlignment="1">
      <alignment horizontal="center"/>
    </xf>
    <xf numFmtId="168" fontId="48" fillId="9" borderId="1" xfId="51" applyNumberFormat="1" applyFont="1" applyFill="1" applyBorder="1" applyAlignment="1">
      <alignment horizontal="center"/>
    </xf>
    <xf numFmtId="0" fontId="19" fillId="9" borderId="0" xfId="51" applyFont="1" applyFill="1" applyAlignment="1">
      <alignment horizontal="center"/>
    </xf>
    <xf numFmtId="169" fontId="19" fillId="9" borderId="1" xfId="51" applyNumberFormat="1" applyFont="1" applyFill="1" applyBorder="1" applyAlignment="1">
      <alignment horizontal="center"/>
    </xf>
    <xf numFmtId="0" fontId="43" fillId="9" borderId="0" xfId="51" applyFill="1"/>
    <xf numFmtId="170" fontId="19" fillId="9" borderId="1" xfId="51" applyNumberFormat="1" applyFont="1" applyFill="1" applyBorder="1" applyAlignment="1">
      <alignment horizontal="center"/>
    </xf>
    <xf numFmtId="0" fontId="43" fillId="9" borderId="0" xfId="51" applyFill="1" applyAlignment="1">
      <alignment horizontal="right"/>
    </xf>
    <xf numFmtId="171" fontId="19" fillId="9" borderId="1" xfId="51" applyNumberFormat="1" applyFont="1" applyFill="1" applyBorder="1" applyAlignment="1">
      <alignment horizontal="center"/>
    </xf>
    <xf numFmtId="172" fontId="49" fillId="9" borderId="1" xfId="51" applyNumberFormat="1" applyFont="1" applyFill="1" applyBorder="1" applyAlignment="1">
      <alignment horizontal="center"/>
    </xf>
    <xf numFmtId="173" fontId="50" fillId="9" borderId="1" xfId="51" applyNumberFormat="1" applyFont="1" applyFill="1" applyBorder="1" applyAlignment="1">
      <alignment horizontal="center"/>
    </xf>
    <xf numFmtId="173" fontId="48" fillId="9" borderId="1" xfId="51" applyNumberFormat="1" applyFont="1" applyFill="1" applyBorder="1" applyAlignment="1">
      <alignment horizontal="center"/>
    </xf>
    <xf numFmtId="2" fontId="48" fillId="9" borderId="1" xfId="51" applyNumberFormat="1" applyFont="1" applyFill="1" applyBorder="1" applyAlignment="1">
      <alignment horizontal="center"/>
    </xf>
    <xf numFmtId="175" fontId="48" fillId="9" borderId="1" xfId="51" applyNumberFormat="1" applyFont="1" applyFill="1" applyBorder="1" applyAlignment="1">
      <alignment horizontal="center"/>
    </xf>
    <xf numFmtId="0" fontId="52" fillId="9" borderId="0" xfId="51" applyFont="1" applyFill="1" applyAlignment="1">
      <alignment vertical="justify"/>
    </xf>
    <xf numFmtId="0" fontId="43" fillId="9" borderId="10" xfId="51" applyFill="1" applyBorder="1" applyAlignment="1">
      <alignment horizontal="center"/>
    </xf>
    <xf numFmtId="0" fontId="43" fillId="9" borderId="14" xfId="51" applyFill="1" applyBorder="1" applyAlignment="1">
      <alignment horizontal="left"/>
    </xf>
    <xf numFmtId="0" fontId="43" fillId="9" borderId="14" xfId="51" applyFill="1" applyBorder="1" applyAlignment="1">
      <alignment horizontal="center"/>
    </xf>
    <xf numFmtId="0" fontId="43" fillId="9" borderId="11" xfId="51" applyFill="1" applyBorder="1" applyAlignment="1">
      <alignment horizontal="center"/>
    </xf>
    <xf numFmtId="0" fontId="43" fillId="9" borderId="9" xfId="51" applyFill="1" applyBorder="1" applyAlignment="1">
      <alignment horizontal="left"/>
    </xf>
    <xf numFmtId="170" fontId="19" fillId="9" borderId="1" xfId="51" applyNumberFormat="1" applyFont="1" applyFill="1" applyBorder="1" applyAlignment="1">
      <alignment horizontal="left"/>
    </xf>
    <xf numFmtId="165" fontId="48" fillId="9" borderId="1" xfId="51" applyNumberFormat="1" applyFont="1" applyFill="1" applyBorder="1" applyAlignment="1">
      <alignment horizontal="center"/>
    </xf>
    <xf numFmtId="0" fontId="48" fillId="9" borderId="9" xfId="51" applyFont="1" applyFill="1" applyBorder="1" applyAlignment="1">
      <alignment horizontal="left"/>
    </xf>
    <xf numFmtId="169" fontId="48" fillId="9" borderId="0" xfId="51" applyNumberFormat="1" applyFont="1" applyFill="1" applyAlignment="1">
      <alignment horizontal="center"/>
    </xf>
    <xf numFmtId="169" fontId="48" fillId="9" borderId="1" xfId="51" applyNumberFormat="1" applyFont="1" applyFill="1" applyBorder="1" applyAlignment="1">
      <alignment horizontal="center"/>
    </xf>
    <xf numFmtId="1" fontId="48" fillId="9" borderId="0" xfId="51" applyNumberFormat="1" applyFont="1" applyFill="1" applyAlignment="1">
      <alignment horizontal="center"/>
    </xf>
    <xf numFmtId="2" fontId="48" fillId="9" borderId="15" xfId="51" applyNumberFormat="1" applyFont="1" applyFill="1" applyBorder="1" applyAlignment="1">
      <alignment horizontal="center"/>
    </xf>
    <xf numFmtId="0" fontId="43" fillId="9" borderId="1" xfId="51" applyFill="1" applyBorder="1" applyAlignment="1">
      <alignment horizontal="center"/>
    </xf>
    <xf numFmtId="0" fontId="17" fillId="9" borderId="1" xfId="51" applyFont="1" applyFill="1" applyBorder="1" applyAlignment="1">
      <alignment horizontal="center"/>
    </xf>
    <xf numFmtId="2" fontId="43" fillId="9" borderId="1" xfId="51" applyNumberFormat="1" applyFill="1" applyBorder="1" applyAlignment="1">
      <alignment horizontal="center"/>
    </xf>
    <xf numFmtId="1" fontId="43" fillId="9" borderId="1" xfId="51" applyNumberFormat="1" applyFill="1" applyBorder="1" applyAlignment="1">
      <alignment horizontal="center"/>
    </xf>
    <xf numFmtId="176" fontId="19" fillId="9" borderId="1" xfId="51" applyNumberFormat="1" applyFont="1" applyFill="1" applyBorder="1" applyAlignment="1">
      <alignment horizontal="center"/>
    </xf>
    <xf numFmtId="0" fontId="17" fillId="9" borderId="9" xfId="51" applyFont="1" applyFill="1" applyBorder="1" applyAlignment="1">
      <alignment horizontal="center"/>
    </xf>
    <xf numFmtId="0" fontId="17" fillId="9" borderId="15" xfId="51" applyFont="1" applyFill="1" applyBorder="1" applyAlignment="1">
      <alignment horizontal="center"/>
    </xf>
    <xf numFmtId="0" fontId="17" fillId="9" borderId="3" xfId="51" applyFont="1" applyFill="1" applyBorder="1" applyAlignment="1">
      <alignment horizontal="center"/>
    </xf>
    <xf numFmtId="177" fontId="17" fillId="9" borderId="12" xfId="51" applyNumberFormat="1" applyFont="1" applyFill="1" applyBorder="1" applyAlignment="1">
      <alignment horizontal="center"/>
    </xf>
    <xf numFmtId="0" fontId="49" fillId="9" borderId="0" xfId="51" applyFont="1" applyFill="1" applyAlignment="1">
      <alignment horizontal="center"/>
    </xf>
    <xf numFmtId="0" fontId="49" fillId="9" borderId="15" xfId="51" applyFont="1" applyFill="1" applyBorder="1" applyAlignment="1">
      <alignment horizontal="center"/>
    </xf>
    <xf numFmtId="1" fontId="48" fillId="9" borderId="1" xfId="51" applyNumberFormat="1" applyFont="1" applyFill="1" applyBorder="1" applyAlignment="1">
      <alignment horizontal="center"/>
    </xf>
    <xf numFmtId="177" fontId="17" fillId="9" borderId="15" xfId="51" applyNumberFormat="1" applyFont="1" applyFill="1" applyBorder="1" applyAlignment="1">
      <alignment horizontal="center"/>
    </xf>
    <xf numFmtId="170" fontId="50" fillId="9" borderId="1" xfId="51" applyNumberFormat="1" applyFont="1" applyFill="1" applyBorder="1" applyAlignment="1">
      <alignment horizontal="center"/>
    </xf>
    <xf numFmtId="49" fontId="17" fillId="9" borderId="9" xfId="51" applyNumberFormat="1" applyFont="1" applyFill="1" applyBorder="1" applyAlignment="1">
      <alignment horizontal="center"/>
    </xf>
    <xf numFmtId="0" fontId="17" fillId="9" borderId="0" xfId="51" applyFont="1" applyFill="1" applyAlignment="1">
      <alignment vertical="center"/>
    </xf>
    <xf numFmtId="0" fontId="17" fillId="9" borderId="0" xfId="51" applyFont="1" applyFill="1" applyAlignment="1">
      <alignment horizontal="center" vertical="center"/>
    </xf>
    <xf numFmtId="0" fontId="17" fillId="9" borderId="10" xfId="51" applyFont="1" applyFill="1" applyBorder="1" applyAlignment="1">
      <alignment horizontal="center"/>
    </xf>
    <xf numFmtId="1" fontId="17" fillId="9" borderId="11" xfId="51" applyNumberFormat="1" applyFont="1" applyFill="1" applyBorder="1" applyAlignment="1">
      <alignment horizontal="center"/>
    </xf>
    <xf numFmtId="170" fontId="48" fillId="9" borderId="1" xfId="51" applyNumberFormat="1" applyFont="1" applyFill="1" applyBorder="1" applyAlignment="1">
      <alignment horizontal="center"/>
    </xf>
    <xf numFmtId="165" fontId="43" fillId="9" borderId="12" xfId="51" applyNumberFormat="1" applyFill="1" applyBorder="1" applyAlignment="1">
      <alignment horizontal="center"/>
    </xf>
    <xf numFmtId="0" fontId="18" fillId="9" borderId="0" xfId="51" applyFont="1" applyFill="1" applyAlignment="1">
      <alignment vertical="center"/>
    </xf>
    <xf numFmtId="0" fontId="18" fillId="9" borderId="15" xfId="51" applyFont="1" applyFill="1" applyBorder="1" applyAlignment="1">
      <alignment vertical="center"/>
    </xf>
    <xf numFmtId="1" fontId="43" fillId="9" borderId="15" xfId="51" applyNumberFormat="1" applyFill="1" applyBorder="1" applyAlignment="1">
      <alignment horizontal="center"/>
    </xf>
    <xf numFmtId="0" fontId="17" fillId="9" borderId="6" xfId="51" applyFont="1" applyFill="1" applyBorder="1" applyAlignment="1">
      <alignment horizontal="center" vertical="center"/>
    </xf>
    <xf numFmtId="178" fontId="49" fillId="9" borderId="1" xfId="51" applyNumberFormat="1" applyFont="1" applyFill="1" applyBorder="1" applyAlignment="1">
      <alignment horizontal="center"/>
    </xf>
    <xf numFmtId="179" fontId="48" fillId="9" borderId="1" xfId="51" applyNumberFormat="1" applyFont="1" applyFill="1" applyBorder="1" applyAlignment="1">
      <alignment horizontal="center" vertical="center"/>
    </xf>
    <xf numFmtId="179" fontId="48" fillId="9" borderId="0" xfId="51" applyNumberFormat="1" applyFont="1" applyFill="1" applyAlignment="1">
      <alignment horizontal="center" vertical="center"/>
    </xf>
    <xf numFmtId="179" fontId="48" fillId="9" borderId="15" xfId="51" applyNumberFormat="1" applyFont="1" applyFill="1" applyBorder="1" applyAlignment="1">
      <alignment horizontal="center" vertical="center"/>
    </xf>
    <xf numFmtId="0" fontId="17" fillId="9" borderId="2" xfId="51" applyFont="1" applyFill="1" applyBorder="1" applyAlignment="1">
      <alignment vertical="center"/>
    </xf>
    <xf numFmtId="166" fontId="50" fillId="9" borderId="2" xfId="51" applyNumberFormat="1" applyFont="1" applyFill="1" applyBorder="1" applyAlignment="1">
      <alignment horizontal="right" vertical="center"/>
    </xf>
    <xf numFmtId="180" fontId="50" fillId="9" borderId="7" xfId="51" applyNumberFormat="1" applyFont="1" applyFill="1" applyBorder="1" applyAlignment="1">
      <alignment horizontal="left" vertical="center"/>
    </xf>
    <xf numFmtId="0" fontId="50" fillId="9" borderId="15" xfId="51" applyFont="1" applyFill="1" applyBorder="1" applyAlignment="1">
      <alignment horizontal="center"/>
    </xf>
    <xf numFmtId="1" fontId="43" fillId="9" borderId="11" xfId="51" applyNumberFormat="1" applyFill="1" applyBorder="1" applyAlignment="1">
      <alignment horizontal="center"/>
    </xf>
    <xf numFmtId="0" fontId="55" fillId="9" borderId="9" xfId="51" applyFont="1" applyFill="1" applyBorder="1"/>
    <xf numFmtId="177" fontId="43" fillId="9" borderId="12" xfId="51" applyNumberFormat="1" applyFill="1" applyBorder="1" applyAlignment="1">
      <alignment horizontal="center"/>
    </xf>
    <xf numFmtId="165" fontId="43" fillId="9" borderId="15" xfId="51" applyNumberFormat="1" applyFill="1" applyBorder="1" applyAlignment="1">
      <alignment horizontal="center"/>
    </xf>
    <xf numFmtId="0" fontId="25" fillId="9" borderId="10" xfId="51" applyFont="1" applyFill="1" applyBorder="1" applyAlignment="1">
      <alignment horizontal="center"/>
    </xf>
    <xf numFmtId="165" fontId="43" fillId="9" borderId="11" xfId="51" applyNumberFormat="1" applyFill="1" applyBorder="1" applyAlignment="1">
      <alignment horizontal="center"/>
    </xf>
    <xf numFmtId="0" fontId="51" fillId="9" borderId="0" xfId="51" applyFont="1" applyFill="1" applyAlignment="1">
      <alignment horizontal="center" vertical="justify"/>
    </xf>
    <xf numFmtId="0" fontId="51" fillId="9" borderId="0" xfId="51" applyFont="1" applyFill="1" applyAlignment="1">
      <alignment horizontal="left" vertical="justify"/>
    </xf>
    <xf numFmtId="0" fontId="48" fillId="9" borderId="0" xfId="51" applyFont="1" applyFill="1" applyAlignment="1">
      <alignment vertical="justify"/>
    </xf>
    <xf numFmtId="0" fontId="48" fillId="9" borderId="0" xfId="51" applyFont="1" applyFill="1" applyAlignment="1">
      <alignment horizontal="left"/>
    </xf>
    <xf numFmtId="0" fontId="48" fillId="9" borderId="0" xfId="51" applyFont="1" applyFill="1" applyAlignment="1">
      <alignment horizontal="center"/>
    </xf>
    <xf numFmtId="168" fontId="48" fillId="9" borderId="1" xfId="51" applyNumberFormat="1" applyFont="1" applyFill="1" applyBorder="1" applyAlignment="1">
      <alignment horizontal="center" vertical="center"/>
    </xf>
    <xf numFmtId="181" fontId="48" fillId="9" borderId="1" xfId="51" applyNumberFormat="1" applyFont="1" applyFill="1" applyBorder="1" applyAlignment="1">
      <alignment horizontal="center"/>
    </xf>
    <xf numFmtId="0" fontId="48" fillId="9" borderId="0" xfId="51" applyFont="1" applyFill="1"/>
    <xf numFmtId="0" fontId="19" fillId="9" borderId="0" xfId="51" applyFont="1" applyFill="1" applyAlignment="1">
      <alignment horizontal="left" vertical="justify"/>
    </xf>
    <xf numFmtId="0" fontId="17" fillId="9" borderId="0" xfId="51" applyFont="1" applyFill="1" applyAlignment="1">
      <alignment horizontal="left" vertical="justify"/>
    </xf>
    <xf numFmtId="1" fontId="56" fillId="9" borderId="0" xfId="51" applyNumberFormat="1" applyFont="1" applyFill="1" applyAlignment="1">
      <alignment horizontal="left"/>
    </xf>
    <xf numFmtId="0" fontId="20" fillId="9" borderId="0" xfId="51" applyFont="1" applyFill="1" applyAlignment="1">
      <alignment horizontal="left"/>
    </xf>
    <xf numFmtId="1" fontId="49" fillId="9" borderId="0" xfId="51" applyNumberFormat="1" applyFont="1" applyFill="1" applyAlignment="1">
      <alignment horizontal="left"/>
    </xf>
    <xf numFmtId="1" fontId="43" fillId="9" borderId="0" xfId="51" applyNumberFormat="1" applyFill="1" applyAlignment="1">
      <alignment horizontal="center"/>
    </xf>
    <xf numFmtId="178" fontId="49" fillId="9" borderId="0" xfId="51" applyNumberFormat="1" applyFont="1" applyFill="1" applyAlignment="1">
      <alignment horizontal="left"/>
    </xf>
    <xf numFmtId="0" fontId="51" fillId="9" borderId="13" xfId="51" applyFont="1" applyFill="1" applyBorder="1"/>
    <xf numFmtId="0" fontId="43" fillId="9" borderId="13" xfId="51" applyFill="1" applyBorder="1"/>
    <xf numFmtId="0" fontId="51" fillId="9" borderId="0" xfId="51" applyFont="1" applyFill="1" applyAlignment="1">
      <alignment horizontal="left"/>
    </xf>
    <xf numFmtId="0" fontId="51" fillId="9" borderId="0" xfId="51" applyFont="1" applyFill="1" applyAlignment="1">
      <alignment horizontal="right"/>
    </xf>
    <xf numFmtId="173" fontId="51" fillId="9" borderId="0" xfId="51" applyNumberFormat="1" applyFont="1" applyFill="1" applyAlignment="1">
      <alignment horizontal="left"/>
    </xf>
    <xf numFmtId="0" fontId="57" fillId="9" borderId="0" xfId="51" applyFont="1" applyFill="1" applyAlignment="1">
      <alignment horizontal="left"/>
    </xf>
    <xf numFmtId="179" fontId="48" fillId="9" borderId="0" xfId="51" applyNumberFormat="1" applyFont="1" applyFill="1" applyAlignment="1">
      <alignment horizontal="left"/>
    </xf>
    <xf numFmtId="0" fontId="20" fillId="9" borderId="0" xfId="51" applyFont="1" applyFill="1" applyAlignment="1">
      <alignment horizontal="center"/>
    </xf>
    <xf numFmtId="0" fontId="51" fillId="9" borderId="9" xfId="51" applyFont="1" applyFill="1" applyBorder="1" applyAlignment="1">
      <alignment horizontal="right"/>
    </xf>
    <xf numFmtId="0" fontId="20" fillId="9" borderId="0" xfId="51" applyFont="1" applyFill="1" applyAlignment="1">
      <alignment horizontal="right" textRotation="90"/>
    </xf>
    <xf numFmtId="2" fontId="43" fillId="9" borderId="0" xfId="51" applyNumberFormat="1" applyFill="1" applyAlignment="1">
      <alignment horizontal="center"/>
    </xf>
    <xf numFmtId="0" fontId="58" fillId="9" borderId="0" xfId="51" applyFont="1" applyFill="1" applyAlignment="1">
      <alignment horizontal="center"/>
    </xf>
    <xf numFmtId="166" fontId="17" fillId="9" borderId="0" xfId="51" applyNumberFormat="1" applyFont="1" applyFill="1" applyAlignment="1">
      <alignment horizontal="right" vertical="center"/>
    </xf>
    <xf numFmtId="180" fontId="17" fillId="9" borderId="0" xfId="51" applyNumberFormat="1" applyFont="1" applyFill="1" applyAlignment="1">
      <alignment horizontal="left" vertical="center"/>
    </xf>
    <xf numFmtId="180" fontId="17" fillId="9" borderId="15" xfId="51" applyNumberFormat="1" applyFont="1" applyFill="1" applyBorder="1" applyAlignment="1">
      <alignment horizontal="left" vertical="center"/>
    </xf>
    <xf numFmtId="1" fontId="48" fillId="9" borderId="0" xfId="51" applyNumberFormat="1" applyFont="1" applyFill="1"/>
    <xf numFmtId="0" fontId="20" fillId="9" borderId="0" xfId="51" applyFont="1" applyFill="1"/>
    <xf numFmtId="0" fontId="7" fillId="8" borderId="1" xfId="50" applyFont="1" applyFill="1" applyBorder="1" applyAlignment="1">
      <alignment horizontal="center"/>
    </xf>
    <xf numFmtId="0" fontId="20" fillId="7" borderId="2" xfId="1" applyFont="1" applyFill="1" applyBorder="1" applyAlignment="1">
      <alignment horizontal="right"/>
    </xf>
    <xf numFmtId="0" fontId="20" fillId="7" borderId="0" xfId="1" applyFont="1" applyFill="1" applyAlignment="1">
      <alignment horizontal="center"/>
    </xf>
    <xf numFmtId="0" fontId="20" fillId="7" borderId="1" xfId="1" applyFont="1" applyFill="1" applyBorder="1" applyAlignment="1">
      <alignment horizontal="center"/>
    </xf>
    <xf numFmtId="0" fontId="26" fillId="7" borderId="1" xfId="1" applyFont="1" applyFill="1" applyBorder="1" applyAlignment="1">
      <alignment horizontal="center"/>
    </xf>
    <xf numFmtId="0" fontId="64" fillId="7" borderId="0" xfId="1" applyFont="1" applyFill="1"/>
    <xf numFmtId="0" fontId="27" fillId="7" borderId="1" xfId="1" applyFont="1" applyFill="1" applyBorder="1" applyAlignment="1">
      <alignment horizontal="left"/>
    </xf>
    <xf numFmtId="0" fontId="44" fillId="0" borderId="1" xfId="0" applyFont="1" applyBorder="1" applyAlignment="1">
      <alignment horizontal="center"/>
    </xf>
    <xf numFmtId="0" fontId="65" fillId="0" borderId="0" xfId="1" applyFont="1" applyAlignment="1">
      <alignment horizontal="left"/>
    </xf>
    <xf numFmtId="0" fontId="66" fillId="0" borderId="0" xfId="1" applyFont="1"/>
    <xf numFmtId="0" fontId="66" fillId="0" borderId="0" xfId="1" applyFont="1" applyAlignment="1">
      <alignment horizontal="center"/>
    </xf>
    <xf numFmtId="0" fontId="66" fillId="0" borderId="0" xfId="1" applyFont="1" applyAlignment="1">
      <alignment horizontal="left"/>
    </xf>
    <xf numFmtId="0" fontId="65" fillId="0" borderId="0" xfId="1" applyFont="1" applyAlignment="1">
      <alignment horizontal="center"/>
    </xf>
    <xf numFmtId="0" fontId="65" fillId="0" borderId="0" xfId="1" applyFont="1"/>
    <xf numFmtId="0" fontId="66" fillId="0" borderId="0" xfId="1" quotePrefix="1" applyFont="1" applyAlignment="1">
      <alignment horizontal="center"/>
    </xf>
    <xf numFmtId="0" fontId="67" fillId="10" borderId="0" xfId="1" applyFont="1" applyFill="1" applyAlignment="1">
      <alignment horizontal="left"/>
    </xf>
    <xf numFmtId="0" fontId="68" fillId="0" borderId="0" xfId="1" applyFont="1"/>
    <xf numFmtId="0" fontId="66" fillId="0" borderId="0" xfId="1" applyFont="1" applyAlignment="1">
      <alignment horizontal="right"/>
    </xf>
    <xf numFmtId="0" fontId="66" fillId="0" borderId="14" xfId="1" applyFont="1" applyBorder="1"/>
    <xf numFmtId="182" fontId="66" fillId="0" borderId="0" xfId="1" applyNumberFormat="1" applyFont="1" applyAlignment="1">
      <alignment vertical="center" textRotation="90" wrapText="1" readingOrder="1"/>
    </xf>
    <xf numFmtId="0" fontId="66" fillId="0" borderId="26" xfId="1" applyFont="1" applyBorder="1"/>
    <xf numFmtId="0" fontId="66" fillId="0" borderId="27" xfId="1" applyFont="1" applyBorder="1"/>
    <xf numFmtId="182" fontId="66" fillId="0" borderId="14" xfId="1" applyNumberFormat="1" applyFont="1" applyBorder="1" applyAlignment="1">
      <alignment vertical="center" textRotation="90" wrapText="1" readingOrder="1"/>
    </xf>
    <xf numFmtId="0" fontId="66" fillId="0" borderId="0" xfId="1" quotePrefix="1" applyFont="1" applyAlignment="1">
      <alignment horizontal="right"/>
    </xf>
    <xf numFmtId="0" fontId="66" fillId="0" borderId="0" xfId="1" applyFont="1" applyAlignment="1">
      <alignment horizontal="right" indent="1"/>
    </xf>
    <xf numFmtId="182" fontId="66" fillId="0" borderId="15" xfId="1" applyNumberFormat="1" applyFont="1" applyBorder="1" applyAlignment="1">
      <alignment horizontal="center" vertical="center" textRotation="90" wrapText="1" readingOrder="1"/>
    </xf>
    <xf numFmtId="0" fontId="66" fillId="0" borderId="28" xfId="1" applyFont="1" applyBorder="1"/>
    <xf numFmtId="0" fontId="66" fillId="0" borderId="29" xfId="1" applyFont="1" applyBorder="1"/>
    <xf numFmtId="0" fontId="66" fillId="0" borderId="30" xfId="1" applyFont="1" applyBorder="1"/>
    <xf numFmtId="0" fontId="66" fillId="0" borderId="31" xfId="1" applyFont="1" applyBorder="1"/>
    <xf numFmtId="182" fontId="66" fillId="0" borderId="11" xfId="1" applyNumberFormat="1" applyFont="1" applyBorder="1" applyAlignment="1">
      <alignment horizontal="center" vertical="center" textRotation="90" wrapText="1" readingOrder="1"/>
    </xf>
    <xf numFmtId="0" fontId="66" fillId="0" borderId="0" xfId="1" applyFont="1" applyAlignment="1">
      <alignment horizontal="right" vertical="top"/>
    </xf>
    <xf numFmtId="164" fontId="66" fillId="0" borderId="0" xfId="1" applyNumberFormat="1" applyFont="1" applyAlignment="1">
      <alignment horizontal="left"/>
    </xf>
    <xf numFmtId="182" fontId="66" fillId="0" borderId="0" xfId="1" applyNumberFormat="1" applyFont="1" applyAlignment="1">
      <alignment horizontal="center" vertical="center" textRotation="90" wrapText="1" readingOrder="1"/>
    </xf>
    <xf numFmtId="182" fontId="66" fillId="0" borderId="14" xfId="1" applyNumberFormat="1" applyFont="1" applyBorder="1" applyAlignment="1">
      <alignment horizontal="center" vertical="center" textRotation="90" wrapText="1" readingOrder="1"/>
    </xf>
    <xf numFmtId="0" fontId="66" fillId="0" borderId="32" xfId="1" applyFont="1" applyBorder="1"/>
    <xf numFmtId="0" fontId="66" fillId="0" borderId="33" xfId="1" applyFont="1" applyBorder="1"/>
    <xf numFmtId="0" fontId="66" fillId="0" borderId="34" xfId="1" applyFont="1" applyBorder="1"/>
    <xf numFmtId="0" fontId="66" fillId="0" borderId="10" xfId="1" applyFont="1" applyBorder="1"/>
    <xf numFmtId="2" fontId="66" fillId="0" borderId="0" xfId="1" applyNumberFormat="1" applyFont="1" applyAlignment="1">
      <alignment horizontal="left"/>
    </xf>
    <xf numFmtId="0" fontId="66" fillId="0" borderId="35" xfId="1" applyFont="1" applyBorder="1"/>
    <xf numFmtId="0" fontId="66" fillId="0" borderId="36" xfId="1" applyFont="1" applyBorder="1"/>
    <xf numFmtId="0" fontId="66" fillId="0" borderId="13" xfId="1" applyFont="1" applyBorder="1"/>
    <xf numFmtId="0" fontId="66" fillId="0" borderId="13" xfId="1" applyFont="1" applyBorder="1" applyAlignment="1">
      <alignment horizontal="right"/>
    </xf>
    <xf numFmtId="0" fontId="66" fillId="0" borderId="37" xfId="1" applyFont="1" applyBorder="1"/>
    <xf numFmtId="0" fontId="66" fillId="0" borderId="9" xfId="1" applyFont="1" applyBorder="1"/>
    <xf numFmtId="0" fontId="66" fillId="0" borderId="15" xfId="1" applyFont="1" applyBorder="1"/>
    <xf numFmtId="2" fontId="66" fillId="0" borderId="1" xfId="1" applyNumberFormat="1" applyFont="1" applyBorder="1" applyAlignment="1">
      <alignment horizontal="center"/>
    </xf>
    <xf numFmtId="164" fontId="66" fillId="0" borderId="0" xfId="1" applyNumberFormat="1" applyFont="1"/>
    <xf numFmtId="0" fontId="66" fillId="0" borderId="1" xfId="1" applyFont="1" applyBorder="1"/>
    <xf numFmtId="2" fontId="65" fillId="0" borderId="0" xfId="1" applyNumberFormat="1" applyFont="1" applyAlignment="1">
      <alignment horizontal="left"/>
    </xf>
    <xf numFmtId="0" fontId="65" fillId="0" borderId="0" xfId="1" applyFont="1" applyAlignment="1">
      <alignment horizontal="right"/>
    </xf>
    <xf numFmtId="0" fontId="65" fillId="0" borderId="0" xfId="1" quotePrefix="1" applyFont="1" applyAlignment="1">
      <alignment horizontal="center"/>
    </xf>
    <xf numFmtId="0" fontId="66" fillId="0" borderId="1" xfId="1" applyFont="1" applyBorder="1" applyAlignment="1">
      <alignment horizontal="right"/>
    </xf>
    <xf numFmtId="166" fontId="65" fillId="0" borderId="0" xfId="1" applyNumberFormat="1" applyFont="1" applyAlignment="1">
      <alignment horizontal="left"/>
    </xf>
    <xf numFmtId="185" fontId="65" fillId="0" borderId="0" xfId="1" applyNumberFormat="1" applyFont="1" applyAlignment="1">
      <alignment horizontal="right"/>
    </xf>
    <xf numFmtId="0" fontId="69" fillId="0" borderId="0" xfId="1" applyFont="1"/>
    <xf numFmtId="0" fontId="70" fillId="0" borderId="0" xfId="1" applyFont="1"/>
    <xf numFmtId="0" fontId="71" fillId="0" borderId="0" xfId="1" applyFont="1"/>
    <xf numFmtId="0" fontId="0" fillId="0" borderId="1" xfId="0" applyBorder="1"/>
    <xf numFmtId="2" fontId="0" fillId="0" borderId="1" xfId="0" applyNumberFormat="1" applyBorder="1"/>
    <xf numFmtId="0" fontId="20" fillId="7" borderId="7" xfId="1" applyFont="1" applyFill="1" applyBorder="1" applyAlignment="1">
      <alignment horizontal="center"/>
    </xf>
    <xf numFmtId="0" fontId="42" fillId="7" borderId="2" xfId="1" applyFont="1" applyFill="1" applyBorder="1"/>
    <xf numFmtId="0" fontId="44" fillId="8" borderId="19" xfId="50" applyFont="1" applyFill="1" applyBorder="1" applyAlignment="1">
      <alignment horizontal="center" wrapText="1"/>
    </xf>
    <xf numFmtId="0" fontId="44" fillId="0" borderId="1" xfId="0" applyFont="1" applyBorder="1" applyAlignment="1">
      <alignment horizontal="center" wrapText="1"/>
    </xf>
    <xf numFmtId="0" fontId="44" fillId="0" borderId="21" xfId="0" applyFont="1" applyBorder="1" applyAlignment="1">
      <alignment horizontal="center"/>
    </xf>
    <xf numFmtId="0" fontId="44" fillId="0" borderId="22" xfId="0" applyFont="1" applyBorder="1" applyAlignment="1">
      <alignment horizontal="center"/>
    </xf>
    <xf numFmtId="0" fontId="73" fillId="0" borderId="1" xfId="0" applyFont="1" applyBorder="1" applyAlignment="1">
      <alignment horizontal="center"/>
    </xf>
    <xf numFmtId="0" fontId="73" fillId="0" borderId="1" xfId="1" applyFont="1" applyBorder="1" applyAlignment="1">
      <alignment horizontal="center"/>
    </xf>
    <xf numFmtId="0" fontId="73" fillId="0" borderId="1" xfId="0" applyFont="1" applyBorder="1" applyAlignment="1">
      <alignment horizontal="center" wrapText="1"/>
    </xf>
    <xf numFmtId="0" fontId="73" fillId="0" borderId="0" xfId="1" applyFont="1" applyAlignment="1">
      <alignment horizontal="center"/>
    </xf>
    <xf numFmtId="0" fontId="73" fillId="0" borderId="21" xfId="0" applyFont="1" applyBorder="1" applyAlignment="1">
      <alignment horizontal="center"/>
    </xf>
    <xf numFmtId="0" fontId="73" fillId="0" borderId="22" xfId="1" applyFont="1" applyBorder="1" applyAlignment="1">
      <alignment horizontal="center"/>
    </xf>
    <xf numFmtId="0" fontId="73" fillId="0" borderId="23" xfId="0" applyFont="1" applyBorder="1" applyAlignment="1">
      <alignment horizontal="center"/>
    </xf>
    <xf numFmtId="0" fontId="73" fillId="0" borderId="24" xfId="1" applyFont="1" applyBorder="1" applyAlignment="1">
      <alignment horizontal="center"/>
    </xf>
    <xf numFmtId="0" fontId="73" fillId="0" borderId="24" xfId="0" applyFont="1" applyBorder="1" applyAlignment="1">
      <alignment horizontal="center"/>
    </xf>
    <xf numFmtId="0" fontId="73" fillId="0" borderId="25" xfId="1" applyFont="1" applyBorder="1" applyAlignment="1">
      <alignment horizontal="center"/>
    </xf>
    <xf numFmtId="0" fontId="17" fillId="0" borderId="17" xfId="1" applyBorder="1" applyAlignment="1">
      <alignment horizontal="center"/>
    </xf>
    <xf numFmtId="0" fontId="2" fillId="8" borderId="1" xfId="50" applyFont="1" applyFill="1" applyBorder="1" applyAlignment="1">
      <alignment horizontal="center"/>
    </xf>
    <xf numFmtId="0" fontId="18" fillId="0" borderId="16" xfId="1" applyFont="1" applyBorder="1"/>
    <xf numFmtId="0" fontId="18" fillId="0" borderId="0" xfId="1" applyFont="1"/>
    <xf numFmtId="0" fontId="44" fillId="8" borderId="1" xfId="50" applyFont="1" applyFill="1" applyBorder="1" applyAlignment="1">
      <alignment horizontal="center"/>
    </xf>
    <xf numFmtId="2" fontId="44" fillId="0" borderId="1" xfId="50" applyNumberFormat="1" applyFont="1" applyBorder="1"/>
    <xf numFmtId="0" fontId="18" fillId="0" borderId="16" xfId="1" applyFont="1" applyBorder="1" applyAlignment="1">
      <alignment horizontal="center"/>
    </xf>
    <xf numFmtId="0" fontId="18" fillId="0" borderId="0" xfId="1" applyFont="1" applyAlignment="1">
      <alignment horizontal="center"/>
    </xf>
    <xf numFmtId="2" fontId="44" fillId="0" borderId="1" xfId="50" applyNumberFormat="1" applyFont="1" applyBorder="1" applyAlignment="1">
      <alignment horizontal="center"/>
    </xf>
    <xf numFmtId="2" fontId="66" fillId="0" borderId="0" xfId="1" applyNumberFormat="1" applyFont="1" applyAlignment="1">
      <alignment horizontal="center"/>
    </xf>
    <xf numFmtId="165" fontId="17" fillId="0" borderId="0" xfId="1" applyNumberFormat="1"/>
    <xf numFmtId="0" fontId="17" fillId="0" borderId="38" xfId="1" applyBorder="1"/>
    <xf numFmtId="0" fontId="9" fillId="8" borderId="7" xfId="50" applyFill="1" applyBorder="1" applyAlignment="1">
      <alignment horizontal="center"/>
    </xf>
    <xf numFmtId="165" fontId="0" fillId="0" borderId="7" xfId="0" applyNumberFormat="1" applyBorder="1" applyAlignment="1">
      <alignment vertical="center" wrapText="1"/>
    </xf>
    <xf numFmtId="164" fontId="0" fillId="0" borderId="7" xfId="0" applyNumberFormat="1" applyBorder="1" applyAlignment="1">
      <alignment vertical="center" wrapText="1"/>
    </xf>
    <xf numFmtId="2" fontId="0" fillId="0" borderId="0" xfId="0" applyNumberFormat="1"/>
    <xf numFmtId="0" fontId="44" fillId="8" borderId="0" xfId="50" applyFont="1" applyFill="1" applyAlignment="1">
      <alignment horizontal="center" wrapText="1"/>
    </xf>
    <xf numFmtId="2" fontId="17" fillId="11" borderId="0" xfId="1" applyNumberFormat="1" applyFill="1" applyAlignment="1">
      <alignment horizontal="center"/>
    </xf>
    <xf numFmtId="0" fontId="17" fillId="0" borderId="1" xfId="1" applyBorder="1"/>
    <xf numFmtId="0" fontId="44" fillId="8" borderId="1" xfId="50" applyFont="1" applyFill="1" applyBorder="1" applyAlignment="1">
      <alignment horizontal="center" wrapText="1"/>
    </xf>
    <xf numFmtId="0" fontId="44" fillId="8" borderId="1" xfId="57" applyFont="1" applyFill="1" applyBorder="1" applyAlignment="1">
      <alignment wrapText="1"/>
    </xf>
    <xf numFmtId="0" fontId="0" fillId="0" borderId="1" xfId="0" applyBorder="1" applyAlignment="1">
      <alignment vertical="center" wrapText="1"/>
    </xf>
    <xf numFmtId="0" fontId="17" fillId="11" borderId="1" xfId="1" applyFill="1" applyBorder="1" applyAlignment="1">
      <alignment horizontal="center"/>
    </xf>
    <xf numFmtId="0" fontId="44" fillId="0" borderId="0" xfId="0" applyFont="1" applyAlignment="1">
      <alignment horizontal="center"/>
    </xf>
    <xf numFmtId="0" fontId="44" fillId="0" borderId="0" xfId="0" applyFont="1" applyAlignment="1">
      <alignment horizontal="center" wrapText="1"/>
    </xf>
    <xf numFmtId="0" fontId="73" fillId="0" borderId="0" xfId="0" applyFont="1" applyAlignment="1">
      <alignment horizontal="center"/>
    </xf>
    <xf numFmtId="0" fontId="73" fillId="0" borderId="0" xfId="0" applyFont="1" applyAlignment="1">
      <alignment horizontal="center" wrapText="1"/>
    </xf>
    <xf numFmtId="0" fontId="28" fillId="7" borderId="3" xfId="1" applyFont="1" applyFill="1" applyBorder="1" applyAlignment="1">
      <alignment horizontal="center" vertical="center"/>
    </xf>
    <xf numFmtId="0" fontId="28" fillId="7" borderId="13" xfId="1" applyFont="1" applyFill="1" applyBorder="1" applyAlignment="1">
      <alignment horizontal="center" vertical="center"/>
    </xf>
    <xf numFmtId="0" fontId="28" fillId="7" borderId="12" xfId="1" applyFont="1" applyFill="1" applyBorder="1" applyAlignment="1">
      <alignment horizontal="center" vertical="center"/>
    </xf>
    <xf numFmtId="0" fontId="28" fillId="7" borderId="10" xfId="1" applyFont="1" applyFill="1" applyBorder="1" applyAlignment="1">
      <alignment horizontal="center" vertical="center"/>
    </xf>
    <xf numFmtId="0" fontId="28" fillId="7" borderId="14" xfId="1" applyFont="1" applyFill="1" applyBorder="1" applyAlignment="1">
      <alignment horizontal="center" vertical="center"/>
    </xf>
    <xf numFmtId="0" fontId="28" fillId="7" borderId="11" xfId="1" applyFont="1" applyFill="1" applyBorder="1" applyAlignment="1">
      <alignment horizontal="center" vertical="center"/>
    </xf>
    <xf numFmtId="0" fontId="20" fillId="7" borderId="2" xfId="1" applyFont="1" applyFill="1" applyBorder="1" applyAlignment="1">
      <alignment horizontal="center"/>
    </xf>
    <xf numFmtId="0" fontId="20" fillId="7" borderId="7" xfId="1" applyFont="1" applyFill="1" applyBorder="1" applyAlignment="1">
      <alignment horizontal="center"/>
    </xf>
    <xf numFmtId="0" fontId="38" fillId="7" borderId="2" xfId="1" applyFont="1" applyFill="1" applyBorder="1" applyAlignment="1">
      <alignment horizontal="center"/>
    </xf>
    <xf numFmtId="0" fontId="38" fillId="7" borderId="8" xfId="1" applyFont="1" applyFill="1" applyBorder="1" applyAlignment="1">
      <alignment horizontal="center"/>
    </xf>
    <xf numFmtId="0" fontId="38" fillId="7" borderId="7" xfId="1" applyFont="1" applyFill="1" applyBorder="1" applyAlignment="1">
      <alignment horizontal="center"/>
    </xf>
    <xf numFmtId="0" fontId="20" fillId="7" borderId="8" xfId="1" applyFont="1" applyFill="1" applyBorder="1" applyAlignment="1">
      <alignment horizontal="center"/>
    </xf>
    <xf numFmtId="0" fontId="20" fillId="7" borderId="13" xfId="1" applyFont="1" applyFill="1" applyBorder="1" applyAlignment="1">
      <alignment horizontal="center"/>
    </xf>
    <xf numFmtId="0" fontId="20" fillId="7" borderId="0" xfId="1" applyFont="1" applyFill="1" applyAlignment="1">
      <alignment horizontal="left"/>
    </xf>
    <xf numFmtId="0" fontId="20" fillId="7" borderId="14" xfId="1" applyFont="1" applyFill="1" applyBorder="1" applyAlignment="1">
      <alignment horizontal="left"/>
    </xf>
    <xf numFmtId="0" fontId="20" fillId="7" borderId="3" xfId="1" applyFont="1" applyFill="1" applyBorder="1" applyAlignment="1">
      <alignment horizontal="center"/>
    </xf>
    <xf numFmtId="0" fontId="20" fillId="7" borderId="12" xfId="1" applyFont="1" applyFill="1" applyBorder="1" applyAlignment="1">
      <alignment horizontal="center"/>
    </xf>
    <xf numFmtId="0" fontId="20" fillId="7" borderId="10" xfId="1" applyFont="1" applyFill="1" applyBorder="1" applyAlignment="1">
      <alignment horizontal="center"/>
    </xf>
    <xf numFmtId="0" fontId="20" fillId="7" borderId="14" xfId="1" applyFont="1" applyFill="1" applyBorder="1" applyAlignment="1">
      <alignment horizontal="center"/>
    </xf>
    <xf numFmtId="0" fontId="20" fillId="7" borderId="11" xfId="1" applyFont="1" applyFill="1" applyBorder="1" applyAlignment="1">
      <alignment horizontal="center"/>
    </xf>
    <xf numFmtId="0" fontId="20" fillId="7" borderId="3" xfId="1" applyFont="1" applyFill="1" applyBorder="1" applyAlignment="1">
      <alignment horizontal="right"/>
    </xf>
    <xf numFmtId="0" fontId="20" fillId="7" borderId="12" xfId="1" applyFont="1" applyFill="1" applyBorder="1" applyAlignment="1">
      <alignment horizontal="right"/>
    </xf>
    <xf numFmtId="0" fontId="20" fillId="7" borderId="10" xfId="1" applyFont="1" applyFill="1" applyBorder="1" applyAlignment="1">
      <alignment horizontal="right"/>
    </xf>
    <xf numFmtId="0" fontId="20" fillId="7" borderId="11" xfId="1" applyFont="1" applyFill="1" applyBorder="1" applyAlignment="1">
      <alignment horizontal="right"/>
    </xf>
    <xf numFmtId="0" fontId="20" fillId="7" borderId="2" xfId="1" applyFont="1" applyFill="1" applyBorder="1" applyAlignment="1">
      <alignment horizontal="right"/>
    </xf>
    <xf numFmtId="0" fontId="20" fillId="7" borderId="7" xfId="1" applyFont="1" applyFill="1" applyBorder="1" applyAlignment="1">
      <alignment horizontal="right"/>
    </xf>
    <xf numFmtId="0" fontId="26" fillId="7" borderId="2" xfId="1" applyFont="1" applyFill="1" applyBorder="1" applyAlignment="1">
      <alignment horizontal="left"/>
    </xf>
    <xf numFmtId="0" fontId="26" fillId="7" borderId="7" xfId="1" applyFont="1" applyFill="1" applyBorder="1" applyAlignment="1">
      <alignment horizontal="left"/>
    </xf>
    <xf numFmtId="0" fontId="20" fillId="7" borderId="1" xfId="1" applyFont="1" applyFill="1" applyBorder="1" applyAlignment="1">
      <alignment horizontal="center"/>
    </xf>
    <xf numFmtId="0" fontId="20" fillId="7" borderId="1" xfId="1" applyFont="1" applyFill="1" applyBorder="1" applyAlignment="1">
      <alignment horizontal="right"/>
    </xf>
    <xf numFmtId="0" fontId="27" fillId="7" borderId="2" xfId="1" applyFont="1" applyFill="1" applyBorder="1" applyAlignment="1">
      <alignment horizontal="right"/>
    </xf>
    <xf numFmtId="0" fontId="20" fillId="7" borderId="7" xfId="1" applyFont="1" applyFill="1" applyBorder="1"/>
    <xf numFmtId="0" fontId="27" fillId="7" borderId="1" xfId="1" applyFont="1" applyFill="1" applyBorder="1" applyAlignment="1">
      <alignment horizontal="left"/>
    </xf>
    <xf numFmtId="0" fontId="26" fillId="7" borderId="2" xfId="1" applyFont="1" applyFill="1" applyBorder="1" applyAlignment="1">
      <alignment horizontal="center"/>
    </xf>
    <xf numFmtId="0" fontId="26" fillId="7" borderId="7" xfId="1" applyFont="1" applyFill="1" applyBorder="1" applyAlignment="1">
      <alignment horizontal="center"/>
    </xf>
    <xf numFmtId="0" fontId="72" fillId="7" borderId="0" xfId="1" applyFont="1" applyFill="1" applyAlignment="1">
      <alignment horizontal="left"/>
    </xf>
    <xf numFmtId="0" fontId="20" fillId="7" borderId="0" xfId="1" applyFont="1" applyFill="1" applyAlignment="1">
      <alignment horizontal="center"/>
    </xf>
    <xf numFmtId="0" fontId="26" fillId="7" borderId="1" xfId="1" applyFont="1" applyFill="1" applyBorder="1" applyAlignment="1">
      <alignment horizontal="center"/>
    </xf>
    <xf numFmtId="0" fontId="29" fillId="0" borderId="0" xfId="1" applyFont="1" applyAlignment="1">
      <alignment horizontal="center" vertical="center"/>
    </xf>
    <xf numFmtId="0" fontId="17" fillId="6" borderId="0" xfId="1" applyFill="1" applyAlignment="1">
      <alignment horizontal="center"/>
    </xf>
    <xf numFmtId="0" fontId="20" fillId="4" borderId="1" xfId="1" applyFont="1" applyFill="1" applyBorder="1" applyAlignment="1">
      <alignment horizontal="center" wrapText="1"/>
    </xf>
    <xf numFmtId="0" fontId="20" fillId="4" borderId="1" xfId="1" applyFont="1" applyFill="1" applyBorder="1" applyAlignment="1">
      <alignment horizontal="center"/>
    </xf>
    <xf numFmtId="0" fontId="21" fillId="4" borderId="1" xfId="1" applyFont="1" applyFill="1" applyBorder="1" applyAlignment="1">
      <alignment horizontal="center" wrapText="1"/>
    </xf>
    <xf numFmtId="0" fontId="22" fillId="3" borderId="2" xfId="1" applyFont="1" applyFill="1" applyBorder="1" applyAlignment="1">
      <alignment horizontal="center"/>
    </xf>
    <xf numFmtId="0" fontId="22" fillId="3" borderId="8" xfId="1" applyFont="1" applyFill="1" applyBorder="1" applyAlignment="1">
      <alignment horizontal="center"/>
    </xf>
    <xf numFmtId="0" fontId="22" fillId="3" borderId="7" xfId="1" applyFont="1" applyFill="1" applyBorder="1" applyAlignment="1">
      <alignment horizontal="center"/>
    </xf>
    <xf numFmtId="0" fontId="30" fillId="3" borderId="4" xfId="1" applyFont="1" applyFill="1" applyBorder="1" applyAlignment="1">
      <alignment horizontal="center" wrapText="1"/>
    </xf>
    <xf numFmtId="0" fontId="30" fillId="3" borderId="6" xfId="1" applyFont="1" applyFill="1" applyBorder="1" applyAlignment="1">
      <alignment horizontal="center" wrapText="1"/>
    </xf>
    <xf numFmtId="0" fontId="22" fillId="3" borderId="4" xfId="1" applyFont="1" applyFill="1" applyBorder="1" applyAlignment="1">
      <alignment horizontal="center" wrapText="1"/>
    </xf>
    <xf numFmtId="0" fontId="22" fillId="3" borderId="6" xfId="1" applyFont="1" applyFill="1" applyBorder="1" applyAlignment="1">
      <alignment horizontal="center" wrapText="1"/>
    </xf>
    <xf numFmtId="0" fontId="29" fillId="2" borderId="4" xfId="1" applyFont="1" applyFill="1" applyBorder="1" applyAlignment="1">
      <alignment horizontal="center" vertical="center"/>
    </xf>
    <xf numFmtId="0" fontId="29" fillId="2" borderId="6" xfId="1" applyFont="1" applyFill="1" applyBorder="1" applyAlignment="1">
      <alignment horizontal="center" vertical="center"/>
    </xf>
    <xf numFmtId="0" fontId="66" fillId="0" borderId="0" xfId="1" applyFont="1" applyAlignment="1">
      <alignment horizontal="center"/>
    </xf>
    <xf numFmtId="184" fontId="66" fillId="0" borderId="0" xfId="1" applyNumberFormat="1" applyFont="1" applyAlignment="1">
      <alignment horizontal="center"/>
    </xf>
    <xf numFmtId="2" fontId="66" fillId="0" borderId="0" xfId="1" applyNumberFormat="1" applyFont="1" applyAlignment="1">
      <alignment horizontal="center"/>
    </xf>
    <xf numFmtId="0" fontId="65" fillId="0" borderId="0" xfId="1" applyFont="1" applyAlignment="1">
      <alignment horizontal="center"/>
    </xf>
    <xf numFmtId="0" fontId="66" fillId="0" borderId="2" xfId="1" applyFont="1" applyBorder="1" applyAlignment="1">
      <alignment horizontal="center"/>
    </xf>
    <xf numFmtId="0" fontId="66" fillId="0" borderId="7" xfId="1" applyFont="1" applyBorder="1" applyAlignment="1">
      <alignment horizontal="center"/>
    </xf>
    <xf numFmtId="184" fontId="66" fillId="0" borderId="2" xfId="1" applyNumberFormat="1" applyFont="1" applyBorder="1" applyAlignment="1">
      <alignment horizontal="center"/>
    </xf>
    <xf numFmtId="184" fontId="66" fillId="0" borderId="8" xfId="1" applyNumberFormat="1" applyFont="1" applyBorder="1" applyAlignment="1">
      <alignment horizontal="center"/>
    </xf>
    <xf numFmtId="184" fontId="66" fillId="0" borderId="7" xfId="1" applyNumberFormat="1" applyFont="1" applyBorder="1" applyAlignment="1">
      <alignment horizontal="center"/>
    </xf>
    <xf numFmtId="2" fontId="66" fillId="0" borderId="2" xfId="1" applyNumberFormat="1" applyFont="1" applyBorder="1" applyAlignment="1">
      <alignment horizontal="center"/>
    </xf>
    <xf numFmtId="2" fontId="66" fillId="0" borderId="8" xfId="1" applyNumberFormat="1" applyFont="1" applyBorder="1" applyAlignment="1">
      <alignment horizontal="center"/>
    </xf>
    <xf numFmtId="2" fontId="66" fillId="0" borderId="7" xfId="1" applyNumberFormat="1" applyFont="1" applyBorder="1" applyAlignment="1">
      <alignment horizontal="center"/>
    </xf>
    <xf numFmtId="182" fontId="66" fillId="0" borderId="12" xfId="1" applyNumberFormat="1" applyFont="1" applyBorder="1" applyAlignment="1">
      <alignment horizontal="center" vertical="center" textRotation="90" wrapText="1" readingOrder="1"/>
    </xf>
    <xf numFmtId="182" fontId="66" fillId="0" borderId="15" xfId="1" applyNumberFormat="1" applyFont="1" applyBorder="1" applyAlignment="1">
      <alignment horizontal="center" vertical="center" textRotation="90" wrapText="1" readingOrder="1"/>
    </xf>
    <xf numFmtId="182" fontId="66" fillId="0" borderId="11" xfId="1" applyNumberFormat="1" applyFont="1" applyBorder="1" applyAlignment="1">
      <alignment horizontal="center" vertical="center" textRotation="90" wrapText="1" readingOrder="1"/>
    </xf>
    <xf numFmtId="183" fontId="66" fillId="0" borderId="0" xfId="1" applyNumberFormat="1" applyFont="1" applyAlignment="1">
      <alignment horizontal="center" vertical="center"/>
    </xf>
    <xf numFmtId="183" fontId="66" fillId="0" borderId="14" xfId="1" applyNumberFormat="1" applyFont="1" applyBorder="1" applyAlignment="1">
      <alignment horizontal="center" vertical="center"/>
    </xf>
    <xf numFmtId="0" fontId="44" fillId="0" borderId="18" xfId="0" applyFont="1" applyBorder="1" applyAlignment="1">
      <alignment horizontal="center"/>
    </xf>
    <xf numFmtId="0" fontId="44" fillId="0" borderId="19" xfId="0" applyFont="1" applyBorder="1" applyAlignment="1">
      <alignment horizontal="center"/>
    </xf>
    <xf numFmtId="0" fontId="44" fillId="0" borderId="20" xfId="0" applyFont="1" applyBorder="1" applyAlignment="1">
      <alignment horizontal="center"/>
    </xf>
    <xf numFmtId="0" fontId="44" fillId="0" borderId="0" xfId="0" applyFont="1" applyAlignment="1">
      <alignment horizontal="center"/>
    </xf>
    <xf numFmtId="174" fontId="51" fillId="9" borderId="0" xfId="51" applyNumberFormat="1" applyFont="1" applyFill="1" applyAlignment="1">
      <alignment horizontal="center"/>
    </xf>
    <xf numFmtId="170" fontId="43" fillId="9" borderId="0" xfId="51" applyNumberFormat="1" applyFill="1" applyAlignment="1">
      <alignment horizontal="center" vertical="center" textRotation="90"/>
    </xf>
    <xf numFmtId="170" fontId="17" fillId="9" borderId="0" xfId="51" applyNumberFormat="1" applyFont="1" applyFill="1" applyAlignment="1">
      <alignment horizontal="left" vertical="top"/>
    </xf>
    <xf numFmtId="178" fontId="54" fillId="9" borderId="7" xfId="51" applyNumberFormat="1" applyFont="1" applyFill="1" applyBorder="1" applyAlignment="1">
      <alignment horizontal="center" vertical="center"/>
    </xf>
    <xf numFmtId="178" fontId="54" fillId="9" borderId="1" xfId="51" applyNumberFormat="1" applyFont="1" applyFill="1" applyBorder="1" applyAlignment="1">
      <alignment horizontal="center" vertical="center"/>
    </xf>
    <xf numFmtId="0" fontId="18" fillId="9" borderId="0" xfId="51" applyFont="1" applyFill="1" applyAlignment="1">
      <alignment horizontal="left" vertical="justify"/>
    </xf>
    <xf numFmtId="0" fontId="40" fillId="9" borderId="2" xfId="51" applyFont="1" applyFill="1" applyBorder="1" applyAlignment="1">
      <alignment horizontal="center"/>
    </xf>
    <xf numFmtId="0" fontId="40" fillId="9" borderId="8" xfId="51" applyFont="1" applyFill="1" applyBorder="1" applyAlignment="1">
      <alignment horizontal="center"/>
    </xf>
    <xf numFmtId="0" fontId="40" fillId="9" borderId="7" xfId="51" applyFont="1" applyFill="1" applyBorder="1" applyAlignment="1">
      <alignment horizontal="center"/>
    </xf>
    <xf numFmtId="0" fontId="17" fillId="9" borderId="0" xfId="51" applyFont="1" applyFill="1" applyAlignment="1">
      <alignment horizontal="center" vertical="center"/>
    </xf>
    <xf numFmtId="174" fontId="51" fillId="9" borderId="15" xfId="51" applyNumberFormat="1" applyFont="1" applyFill="1" applyBorder="1" applyAlignment="1">
      <alignment horizontal="center"/>
    </xf>
    <xf numFmtId="0" fontId="17" fillId="9" borderId="2" xfId="51" applyFont="1" applyFill="1" applyBorder="1" applyAlignment="1">
      <alignment horizontal="center" vertical="center"/>
    </xf>
    <xf numFmtId="0" fontId="17" fillId="9" borderId="1" xfId="51" applyFont="1" applyFill="1" applyBorder="1" applyAlignment="1">
      <alignment horizontal="center" vertical="center"/>
    </xf>
    <xf numFmtId="0" fontId="18" fillId="9" borderId="2" xfId="51" applyFont="1" applyFill="1" applyBorder="1" applyAlignment="1">
      <alignment horizontal="center" vertical="center"/>
    </xf>
    <xf numFmtId="0" fontId="18" fillId="9" borderId="8" xfId="51" applyFont="1" applyFill="1" applyBorder="1" applyAlignment="1">
      <alignment horizontal="center" vertical="center"/>
    </xf>
    <xf numFmtId="0" fontId="18" fillId="9" borderId="7" xfId="51" applyFont="1" applyFill="1" applyBorder="1" applyAlignment="1">
      <alignment horizontal="center" vertical="center"/>
    </xf>
  </cellXfs>
  <cellStyles count="58">
    <cellStyle name="Comma 2" xfId="46" xr:uid="{00000000-0005-0000-0000-000000000000}"/>
    <cellStyle name="Normal" xfId="0" builtinId="0"/>
    <cellStyle name="Normal 10" xfId="1" xr:uid="{00000000-0005-0000-0000-000002000000}"/>
    <cellStyle name="Normal 11" xfId="2" xr:uid="{00000000-0005-0000-0000-000003000000}"/>
    <cellStyle name="Normal 12" xfId="55" xr:uid="{B983BE08-D092-41B9-B515-4127B2A0CC85}"/>
    <cellStyle name="Normal 16" xfId="3" xr:uid="{00000000-0005-0000-0000-000004000000}"/>
    <cellStyle name="Normal 16 2" xfId="37" xr:uid="{00000000-0005-0000-0000-000005000000}"/>
    <cellStyle name="Normal 18" xfId="4" xr:uid="{00000000-0005-0000-0000-000006000000}"/>
    <cellStyle name="Normal 2" xfId="33" xr:uid="{00000000-0005-0000-0000-000007000000}"/>
    <cellStyle name="Normal 2 2" xfId="43" xr:uid="{00000000-0005-0000-0000-000008000000}"/>
    <cellStyle name="Normal 2 2 2" xfId="47" xr:uid="{00000000-0005-0000-0000-000009000000}"/>
    <cellStyle name="Normal 2 2 3" xfId="50" xr:uid="{00000000-0005-0000-0000-00000A000000}"/>
    <cellStyle name="Normal 2 2 3 2" xfId="57" xr:uid="{E80EC022-D689-43C5-AE69-67BE88C4CC63}"/>
    <cellStyle name="Normal 2 3" xfId="44" xr:uid="{00000000-0005-0000-0000-00000B000000}"/>
    <cellStyle name="Normal 2 3 2" xfId="51" xr:uid="{00000000-0005-0000-0000-00000C000000}"/>
    <cellStyle name="Normal 23" xfId="5" xr:uid="{00000000-0005-0000-0000-00000D000000}"/>
    <cellStyle name="Normal 23 2" xfId="41" xr:uid="{00000000-0005-0000-0000-00000E000000}"/>
    <cellStyle name="Normal 25" xfId="6" xr:uid="{00000000-0005-0000-0000-00000F000000}"/>
    <cellStyle name="Normal 3" xfId="34" xr:uid="{00000000-0005-0000-0000-000010000000}"/>
    <cellStyle name="Normal 31" xfId="7" xr:uid="{00000000-0005-0000-0000-000011000000}"/>
    <cellStyle name="Normal 31 2" xfId="36" xr:uid="{00000000-0005-0000-0000-000012000000}"/>
    <cellStyle name="Normal 33" xfId="8" xr:uid="{00000000-0005-0000-0000-000013000000}"/>
    <cellStyle name="Normal 35" xfId="9" xr:uid="{00000000-0005-0000-0000-000014000000}"/>
    <cellStyle name="Normal 36" xfId="10" xr:uid="{00000000-0005-0000-0000-000015000000}"/>
    <cellStyle name="Normal 37" xfId="11" xr:uid="{00000000-0005-0000-0000-000016000000}"/>
    <cellStyle name="Normal 4" xfId="35" xr:uid="{00000000-0005-0000-0000-000017000000}"/>
    <cellStyle name="Normal 41" xfId="12" xr:uid="{00000000-0005-0000-0000-000018000000}"/>
    <cellStyle name="Normal 44" xfId="13" xr:uid="{00000000-0005-0000-0000-000019000000}"/>
    <cellStyle name="Normal 45" xfId="14" xr:uid="{00000000-0005-0000-0000-00001A000000}"/>
    <cellStyle name="Normal 47" xfId="15" xr:uid="{00000000-0005-0000-0000-00001B000000}"/>
    <cellStyle name="Normal 48" xfId="16" xr:uid="{00000000-0005-0000-0000-00001C000000}"/>
    <cellStyle name="Normal 49" xfId="17" xr:uid="{00000000-0005-0000-0000-00001D000000}"/>
    <cellStyle name="Normal 5" xfId="18" xr:uid="{00000000-0005-0000-0000-00001E000000}"/>
    <cellStyle name="Normal 50" xfId="19" xr:uid="{00000000-0005-0000-0000-00001F000000}"/>
    <cellStyle name="Normal 51" xfId="20" xr:uid="{00000000-0005-0000-0000-000020000000}"/>
    <cellStyle name="Normal 51 2" xfId="40" xr:uid="{00000000-0005-0000-0000-000021000000}"/>
    <cellStyle name="Normal 58" xfId="21" xr:uid="{00000000-0005-0000-0000-000022000000}"/>
    <cellStyle name="Normal 58 2" xfId="42" xr:uid="{00000000-0005-0000-0000-000023000000}"/>
    <cellStyle name="Normal 6" xfId="45" xr:uid="{00000000-0005-0000-0000-000024000000}"/>
    <cellStyle name="Normal 60" xfId="22" xr:uid="{00000000-0005-0000-0000-000025000000}"/>
    <cellStyle name="Normal 60 2" xfId="39" xr:uid="{00000000-0005-0000-0000-000026000000}"/>
    <cellStyle name="Normal 61" xfId="23" xr:uid="{00000000-0005-0000-0000-000027000000}"/>
    <cellStyle name="Normal 61 2" xfId="38" xr:uid="{00000000-0005-0000-0000-000028000000}"/>
    <cellStyle name="Normal 63" xfId="24" xr:uid="{00000000-0005-0000-0000-000029000000}"/>
    <cellStyle name="Normal 68" xfId="25" xr:uid="{00000000-0005-0000-0000-00002A000000}"/>
    <cellStyle name="Normal 69" xfId="26" xr:uid="{00000000-0005-0000-0000-00002B000000}"/>
    <cellStyle name="Normal 7" xfId="48" xr:uid="{00000000-0005-0000-0000-00002C000000}"/>
    <cellStyle name="Normal 7 2" xfId="52" xr:uid="{00000000-0005-0000-0000-00002D000000}"/>
    <cellStyle name="Normal 7 2 2" xfId="54" xr:uid="{661F2281-5ED7-4C8D-8A1B-49301BAD3095}"/>
    <cellStyle name="Normal 7 2 2 2" xfId="56" xr:uid="{E7F731FB-860F-4125-A7D3-03602EE57B14}"/>
    <cellStyle name="Normal 70" xfId="27" xr:uid="{00000000-0005-0000-0000-00002E000000}"/>
    <cellStyle name="Normal 72" xfId="28" xr:uid="{00000000-0005-0000-0000-00002F000000}"/>
    <cellStyle name="Normal 73" xfId="29" xr:uid="{00000000-0005-0000-0000-000030000000}"/>
    <cellStyle name="Normal 77" xfId="30" xr:uid="{00000000-0005-0000-0000-000031000000}"/>
    <cellStyle name="Normal 79" xfId="31" xr:uid="{00000000-0005-0000-0000-000032000000}"/>
    <cellStyle name="Normal 8" xfId="32" xr:uid="{00000000-0005-0000-0000-000033000000}"/>
    <cellStyle name="Normal 9" xfId="49" xr:uid="{00000000-0005-0000-0000-000034000000}"/>
    <cellStyle name="Normal 9 2" xfId="53" xr:uid="{00000000-0005-0000-0000-00003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361950</xdr:colOff>
      <xdr:row>4</xdr:row>
      <xdr:rowOff>28575</xdr:rowOff>
    </xdr:from>
    <xdr:to>
      <xdr:col>6</xdr:col>
      <xdr:colOff>19050</xdr:colOff>
      <xdr:row>12</xdr:row>
      <xdr:rowOff>9525</xdr:rowOff>
    </xdr:to>
    <xdr:sp macro="" textlink="">
      <xdr:nvSpPr>
        <xdr:cNvPr id="2" name="Line 1">
          <a:extLst>
            <a:ext uri="{FF2B5EF4-FFF2-40B4-BE49-F238E27FC236}">
              <a16:creationId xmlns:a16="http://schemas.microsoft.com/office/drawing/2014/main" id="{5B47827F-6373-48F0-9A79-FCFDB8C12716}"/>
            </a:ext>
          </a:extLst>
        </xdr:cNvPr>
        <xdr:cNvSpPr>
          <a:spLocks noChangeShapeType="1"/>
        </xdr:cNvSpPr>
      </xdr:nvSpPr>
      <xdr:spPr bwMode="auto">
        <a:xfrm flipV="1">
          <a:off x="2419350" y="607695"/>
          <a:ext cx="541020" cy="1108710"/>
        </a:xfrm>
        <a:prstGeom prst="line">
          <a:avLst/>
        </a:prstGeom>
        <a:noFill/>
        <a:ln w="9525">
          <a:solidFill>
            <a:srgbClr val="000000"/>
          </a:solidFill>
          <a:round/>
          <a:headEnd/>
          <a:tailEnd/>
        </a:ln>
      </xdr:spPr>
    </xdr:sp>
    <xdr:clientData/>
  </xdr:twoCellAnchor>
  <xdr:twoCellAnchor>
    <xdr:from>
      <xdr:col>5</xdr:col>
      <xdr:colOff>676275</xdr:colOff>
      <xdr:row>4</xdr:row>
      <xdr:rowOff>28575</xdr:rowOff>
    </xdr:from>
    <xdr:to>
      <xdr:col>6</xdr:col>
      <xdr:colOff>19050</xdr:colOff>
      <xdr:row>6</xdr:row>
      <xdr:rowOff>76200</xdr:rowOff>
    </xdr:to>
    <xdr:sp macro="" textlink="">
      <xdr:nvSpPr>
        <xdr:cNvPr id="3" name="Line 2">
          <a:extLst>
            <a:ext uri="{FF2B5EF4-FFF2-40B4-BE49-F238E27FC236}">
              <a16:creationId xmlns:a16="http://schemas.microsoft.com/office/drawing/2014/main" id="{472EC610-5E1A-4AB6-99AB-A440CA9CD158}"/>
            </a:ext>
          </a:extLst>
        </xdr:cNvPr>
        <xdr:cNvSpPr>
          <a:spLocks noChangeShapeType="1"/>
        </xdr:cNvSpPr>
      </xdr:nvSpPr>
      <xdr:spPr bwMode="auto">
        <a:xfrm flipH="1">
          <a:off x="2939415" y="607695"/>
          <a:ext cx="20955" cy="306705"/>
        </a:xfrm>
        <a:prstGeom prst="line">
          <a:avLst/>
        </a:prstGeom>
        <a:noFill/>
        <a:ln w="9525">
          <a:solidFill>
            <a:srgbClr val="000000"/>
          </a:solidFill>
          <a:round/>
          <a:headEnd/>
          <a:tailEnd/>
        </a:ln>
      </xdr:spPr>
    </xdr:sp>
    <xdr:clientData/>
  </xdr:twoCellAnchor>
  <xdr:twoCellAnchor>
    <xdr:from>
      <xdr:col>5</xdr:col>
      <xdr:colOff>257175</xdr:colOff>
      <xdr:row>4</xdr:row>
      <xdr:rowOff>38100</xdr:rowOff>
    </xdr:from>
    <xdr:to>
      <xdr:col>6</xdr:col>
      <xdr:colOff>9525</xdr:colOff>
      <xdr:row>5</xdr:row>
      <xdr:rowOff>114300</xdr:rowOff>
    </xdr:to>
    <xdr:sp macro="" textlink="">
      <xdr:nvSpPr>
        <xdr:cNvPr id="4" name="Line 3">
          <a:extLst>
            <a:ext uri="{FF2B5EF4-FFF2-40B4-BE49-F238E27FC236}">
              <a16:creationId xmlns:a16="http://schemas.microsoft.com/office/drawing/2014/main" id="{B074FB88-87C4-4323-AB0F-E8CE050A953A}"/>
            </a:ext>
          </a:extLst>
        </xdr:cNvPr>
        <xdr:cNvSpPr>
          <a:spLocks noChangeShapeType="1"/>
        </xdr:cNvSpPr>
      </xdr:nvSpPr>
      <xdr:spPr bwMode="auto">
        <a:xfrm flipH="1">
          <a:off x="2695575" y="617220"/>
          <a:ext cx="255270" cy="20574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514350</xdr:colOff>
      <xdr:row>18</xdr:row>
      <xdr:rowOff>95250</xdr:rowOff>
    </xdr:from>
    <xdr:to>
      <xdr:col>13</xdr:col>
      <xdr:colOff>336456</xdr:colOff>
      <xdr:row>50</xdr:row>
      <xdr:rowOff>142183</xdr:rowOff>
    </xdr:to>
    <xdr:pic>
      <xdr:nvPicPr>
        <xdr:cNvPr id="3" name="Picture 2">
          <a:extLst>
            <a:ext uri="{FF2B5EF4-FFF2-40B4-BE49-F238E27FC236}">
              <a16:creationId xmlns:a16="http://schemas.microsoft.com/office/drawing/2014/main" id="{90F72E62-6ED4-9F4F-6DE6-C01E23F0C30F}"/>
            </a:ext>
          </a:extLst>
        </xdr:cNvPr>
        <xdr:cNvPicPr>
          <a:picLocks noChangeAspect="1"/>
        </xdr:cNvPicPr>
      </xdr:nvPicPr>
      <xdr:blipFill>
        <a:blip xmlns:r="http://schemas.openxmlformats.org/officeDocument/2006/relationships" r:embed="rId1"/>
        <a:stretch>
          <a:fillRect/>
        </a:stretch>
      </xdr:blipFill>
      <xdr:spPr>
        <a:xfrm>
          <a:off x="1495425" y="3705225"/>
          <a:ext cx="5828571" cy="55333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704850</xdr:colOff>
      <xdr:row>115</xdr:row>
      <xdr:rowOff>104775</xdr:rowOff>
    </xdr:from>
    <xdr:to>
      <xdr:col>6</xdr:col>
      <xdr:colOff>9525</xdr:colOff>
      <xdr:row>115</xdr:row>
      <xdr:rowOff>228600</xdr:rowOff>
    </xdr:to>
    <xdr:grpSp>
      <xdr:nvGrpSpPr>
        <xdr:cNvPr id="2" name="Group 67">
          <a:extLst>
            <a:ext uri="{FF2B5EF4-FFF2-40B4-BE49-F238E27FC236}">
              <a16:creationId xmlns:a16="http://schemas.microsoft.com/office/drawing/2014/main" id="{00000000-0008-0000-0700-000002000000}"/>
            </a:ext>
          </a:extLst>
        </xdr:cNvPr>
        <xdr:cNvGrpSpPr>
          <a:grpSpLocks/>
        </xdr:cNvGrpSpPr>
      </xdr:nvGrpSpPr>
      <xdr:grpSpPr bwMode="auto">
        <a:xfrm>
          <a:off x="1724025" y="19926300"/>
          <a:ext cx="3324225" cy="123825"/>
          <a:chOff x="1397646" y="20836758"/>
          <a:chExt cx="3074694" cy="120581"/>
        </a:xfrm>
      </xdr:grpSpPr>
      <xdr:cxnSp macro="">
        <xdr:nvCxnSpPr>
          <xdr:cNvPr id="3" name="Straight Connector 2">
            <a:extLst>
              <a:ext uri="{FF2B5EF4-FFF2-40B4-BE49-F238E27FC236}">
                <a16:creationId xmlns:a16="http://schemas.microsoft.com/office/drawing/2014/main" id="{00000000-0008-0000-0700-000003000000}"/>
              </a:ext>
            </a:extLst>
          </xdr:cNvPr>
          <xdr:cNvCxnSpPr/>
        </xdr:nvCxnSpPr>
        <xdr:spPr>
          <a:xfrm>
            <a:off x="1397646" y="20957339"/>
            <a:ext cx="3074694" cy="0"/>
          </a:xfrm>
          <a:prstGeom prst="line">
            <a:avLst/>
          </a:prstGeom>
          <a:ln w="22225"/>
        </xdr:spPr>
        <xdr:style>
          <a:lnRef idx="1">
            <a:schemeClr val="dk1"/>
          </a:lnRef>
          <a:fillRef idx="0">
            <a:schemeClr val="dk1"/>
          </a:fillRef>
          <a:effectRef idx="0">
            <a:schemeClr val="dk1"/>
          </a:effectRef>
          <a:fontRef idx="minor">
            <a:schemeClr val="tx1"/>
          </a:fontRef>
        </xdr:style>
      </xdr:cxnSp>
      <xdr:grpSp>
        <xdr:nvGrpSpPr>
          <xdr:cNvPr id="4" name="Group 66">
            <a:extLst>
              <a:ext uri="{FF2B5EF4-FFF2-40B4-BE49-F238E27FC236}">
                <a16:creationId xmlns:a16="http://schemas.microsoft.com/office/drawing/2014/main" id="{00000000-0008-0000-0700-000004000000}"/>
              </a:ext>
            </a:extLst>
          </xdr:cNvPr>
          <xdr:cNvGrpSpPr>
            <a:grpSpLocks/>
          </xdr:cNvGrpSpPr>
        </xdr:nvGrpSpPr>
        <xdr:grpSpPr bwMode="auto">
          <a:xfrm>
            <a:off x="1397646" y="20836758"/>
            <a:ext cx="3070046" cy="114343"/>
            <a:chOff x="1397646" y="20706924"/>
            <a:chExt cx="3070046" cy="244178"/>
          </a:xfrm>
        </xdr:grpSpPr>
        <xdr:cxnSp macro="">
          <xdr:nvCxnSpPr>
            <xdr:cNvPr id="5" name="Straight Connector 4">
              <a:extLst>
                <a:ext uri="{FF2B5EF4-FFF2-40B4-BE49-F238E27FC236}">
                  <a16:creationId xmlns:a16="http://schemas.microsoft.com/office/drawing/2014/main" id="{00000000-0008-0000-0700-000005000000}"/>
                </a:ext>
              </a:extLst>
            </xdr:cNvPr>
            <xdr:cNvCxnSpPr/>
          </xdr:nvCxnSpPr>
          <xdr:spPr>
            <a:xfrm rot="5400000">
              <a:off x="1288703" y="20855482"/>
              <a:ext cx="217884" cy="0"/>
            </a:xfrm>
            <a:prstGeom prst="line">
              <a:avLst/>
            </a:prstGeom>
            <a:ln w="22225"/>
          </xdr:spPr>
          <xdr:style>
            <a:lnRef idx="1">
              <a:schemeClr val="dk1"/>
            </a:lnRef>
            <a:fillRef idx="0">
              <a:schemeClr val="dk1"/>
            </a:fillRef>
            <a:effectRef idx="0">
              <a:schemeClr val="dk1"/>
            </a:effectRef>
            <a:fontRef idx="minor">
              <a:schemeClr val="tx1"/>
            </a:fontRef>
          </xdr:style>
        </xdr:cxnSp>
        <xdr:cxnSp macro="">
          <xdr:nvCxnSpPr>
            <xdr:cNvPr id="6" name="Straight Connector 5">
              <a:extLst>
                <a:ext uri="{FF2B5EF4-FFF2-40B4-BE49-F238E27FC236}">
                  <a16:creationId xmlns:a16="http://schemas.microsoft.com/office/drawing/2014/main" id="{00000000-0008-0000-0700-000006000000}"/>
                </a:ext>
              </a:extLst>
            </xdr:cNvPr>
            <xdr:cNvCxnSpPr/>
          </xdr:nvCxnSpPr>
          <xdr:spPr>
            <a:xfrm rot="5400000" flipH="1" flipV="1">
              <a:off x="4343589" y="20835675"/>
              <a:ext cx="257500" cy="0"/>
            </a:xfrm>
            <a:prstGeom prst="line">
              <a:avLst/>
            </a:prstGeom>
            <a:ln w="22225"/>
          </xdr:spPr>
          <xdr:style>
            <a:lnRef idx="1">
              <a:schemeClr val="dk1"/>
            </a:lnRef>
            <a:fillRef idx="0">
              <a:schemeClr val="dk1"/>
            </a:fillRef>
            <a:effectRef idx="0">
              <a:schemeClr val="dk1"/>
            </a:effectRef>
            <a:fontRef idx="minor">
              <a:schemeClr val="tx1"/>
            </a:fontRef>
          </xdr:style>
        </xdr:cxnSp>
      </xdr:grpSp>
    </xdr:grpSp>
    <xdr:clientData/>
  </xdr:twoCellAnchor>
  <xdr:twoCellAnchor>
    <xdr:from>
      <xdr:col>2</xdr:col>
      <xdr:colOff>590550</xdr:colOff>
      <xdr:row>87</xdr:row>
      <xdr:rowOff>47625</xdr:rowOff>
    </xdr:from>
    <xdr:to>
      <xdr:col>6</xdr:col>
      <xdr:colOff>76200</xdr:colOff>
      <xdr:row>103</xdr:row>
      <xdr:rowOff>76200</xdr:rowOff>
    </xdr:to>
    <xdr:grpSp>
      <xdr:nvGrpSpPr>
        <xdr:cNvPr id="7" name="Group 20">
          <a:extLst>
            <a:ext uri="{FF2B5EF4-FFF2-40B4-BE49-F238E27FC236}">
              <a16:creationId xmlns:a16="http://schemas.microsoft.com/office/drawing/2014/main" id="{00000000-0008-0000-0700-000007000000}"/>
            </a:ext>
          </a:extLst>
        </xdr:cNvPr>
        <xdr:cNvGrpSpPr>
          <a:grpSpLocks/>
        </xdr:cNvGrpSpPr>
      </xdr:nvGrpSpPr>
      <xdr:grpSpPr bwMode="auto">
        <a:xfrm>
          <a:off x="1609725" y="15030450"/>
          <a:ext cx="3505200" cy="2800350"/>
          <a:chOff x="1656525" y="14749255"/>
          <a:chExt cx="3122540" cy="2702199"/>
        </a:xfrm>
      </xdr:grpSpPr>
      <xdr:sp macro="" textlink="">
        <xdr:nvSpPr>
          <xdr:cNvPr id="8" name="Rectangle 7">
            <a:extLst>
              <a:ext uri="{FF2B5EF4-FFF2-40B4-BE49-F238E27FC236}">
                <a16:creationId xmlns:a16="http://schemas.microsoft.com/office/drawing/2014/main" id="{00000000-0008-0000-0700-000008000000}"/>
              </a:ext>
            </a:extLst>
          </xdr:cNvPr>
          <xdr:cNvSpPr/>
        </xdr:nvSpPr>
        <xdr:spPr>
          <a:xfrm>
            <a:off x="1665296" y="14749255"/>
            <a:ext cx="3113769" cy="2693039"/>
          </a:xfrm>
          <a:prstGeom prst="rect">
            <a:avLst/>
          </a:prstGeom>
          <a:noFill/>
          <a:ln w="6350">
            <a:solidFill>
              <a:schemeClr val="tx1"/>
            </a:solidFill>
          </a:ln>
        </xdr:spPr>
        <xdr:style>
          <a:lnRef idx="2">
            <a:schemeClr val="dk1"/>
          </a:lnRef>
          <a:fillRef idx="1">
            <a:schemeClr val="lt1"/>
          </a:fillRef>
          <a:effectRef idx="0">
            <a:schemeClr val="dk1"/>
          </a:effectRef>
          <a:fontRef idx="minor">
            <a:schemeClr val="dk1"/>
          </a:fontRef>
        </xdr:style>
        <xdr:txBody>
          <a:bodyPr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700-000009000000}"/>
              </a:ext>
            </a:extLst>
          </xdr:cNvPr>
          <xdr:cNvSpPr/>
        </xdr:nvSpPr>
        <xdr:spPr>
          <a:xfrm>
            <a:off x="2814321" y="15692735"/>
            <a:ext cx="780635" cy="842720"/>
          </a:xfrm>
          <a:prstGeom prst="rect">
            <a:avLst/>
          </a:prstGeom>
          <a:noFill/>
          <a:ln w="6350">
            <a:solidFill>
              <a:schemeClr val="tx1"/>
            </a:solidFill>
          </a:ln>
        </xdr:spPr>
        <xdr:style>
          <a:lnRef idx="2">
            <a:schemeClr val="dk1"/>
          </a:lnRef>
          <a:fillRef idx="1">
            <a:schemeClr val="lt1"/>
          </a:fillRef>
          <a:effectRef idx="0">
            <a:schemeClr val="dk1"/>
          </a:effectRef>
          <a:fontRef idx="minor">
            <a:schemeClr val="dk1"/>
          </a:fontRef>
        </xdr:style>
        <xdr:txBody>
          <a:bodyPr rtlCol="0" anchor="ctr"/>
          <a:lstStyle/>
          <a:p>
            <a:pPr algn="ctr"/>
            <a:endParaRPr lang="en-US" sz="1100"/>
          </a:p>
        </xdr:txBody>
      </xdr:sp>
      <xdr:cxnSp macro="">
        <xdr:nvCxnSpPr>
          <xdr:cNvPr id="10" name="Straight Connector 9">
            <a:extLst>
              <a:ext uri="{FF2B5EF4-FFF2-40B4-BE49-F238E27FC236}">
                <a16:creationId xmlns:a16="http://schemas.microsoft.com/office/drawing/2014/main" id="{00000000-0008-0000-0700-00000A000000}"/>
              </a:ext>
            </a:extLst>
          </xdr:cNvPr>
          <xdr:cNvCxnSpPr/>
        </xdr:nvCxnSpPr>
        <xdr:spPr>
          <a:xfrm>
            <a:off x="1665296" y="14758415"/>
            <a:ext cx="1149025" cy="92516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00000000-0008-0000-0700-00000B000000}"/>
              </a:ext>
            </a:extLst>
          </xdr:cNvPr>
          <xdr:cNvCxnSpPr/>
        </xdr:nvCxnSpPr>
        <xdr:spPr>
          <a:xfrm rot="10800000" flipV="1">
            <a:off x="1656525" y="16526294"/>
            <a:ext cx="1157796" cy="92516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a:extLst>
              <a:ext uri="{FF2B5EF4-FFF2-40B4-BE49-F238E27FC236}">
                <a16:creationId xmlns:a16="http://schemas.microsoft.com/office/drawing/2014/main" id="{00000000-0008-0000-0700-00000C000000}"/>
              </a:ext>
            </a:extLst>
          </xdr:cNvPr>
          <xdr:cNvCxnSpPr/>
        </xdr:nvCxnSpPr>
        <xdr:spPr>
          <a:xfrm>
            <a:off x="3577413" y="16517134"/>
            <a:ext cx="1192880" cy="90684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00000000-0008-0000-0700-00000D000000}"/>
              </a:ext>
            </a:extLst>
          </xdr:cNvPr>
          <xdr:cNvCxnSpPr/>
        </xdr:nvCxnSpPr>
        <xdr:spPr>
          <a:xfrm flipV="1">
            <a:off x="3603727" y="14776735"/>
            <a:ext cx="1175338" cy="92516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Rectangle 13">
            <a:extLst>
              <a:ext uri="{FF2B5EF4-FFF2-40B4-BE49-F238E27FC236}">
                <a16:creationId xmlns:a16="http://schemas.microsoft.com/office/drawing/2014/main" id="{00000000-0008-0000-0700-00000E000000}"/>
              </a:ext>
            </a:extLst>
          </xdr:cNvPr>
          <xdr:cNvSpPr/>
        </xdr:nvSpPr>
        <xdr:spPr>
          <a:xfrm>
            <a:off x="2980973" y="15857615"/>
            <a:ext cx="456101" cy="540440"/>
          </a:xfrm>
          <a:prstGeom prst="rect">
            <a:avLst/>
          </a:prstGeom>
          <a:noFill/>
          <a:ln w="6350">
            <a:solidFill>
              <a:schemeClr val="tx1"/>
            </a:solidFill>
          </a:ln>
        </xdr:spPr>
        <xdr:style>
          <a:lnRef idx="2">
            <a:schemeClr val="dk1"/>
          </a:lnRef>
          <a:fillRef idx="1">
            <a:schemeClr val="lt1"/>
          </a:fillRef>
          <a:effectRef idx="0">
            <a:schemeClr val="dk1"/>
          </a:effectRef>
          <a:fontRef idx="minor">
            <a:schemeClr val="dk1"/>
          </a:fontRef>
        </xdr:style>
        <xdr:txBody>
          <a:bodyPr rtlCol="0" anchor="ctr"/>
          <a:lstStyle/>
          <a:p>
            <a:pPr algn="ctr"/>
            <a:endParaRPr lang="en-US" sz="1100"/>
          </a:p>
        </xdr:txBody>
      </xdr:sp>
    </xdr:grpSp>
    <xdr:clientData/>
  </xdr:twoCellAnchor>
  <xdr:twoCellAnchor>
    <xdr:from>
      <xdr:col>2</xdr:col>
      <xdr:colOff>588065</xdr:colOff>
      <xdr:row>86</xdr:row>
      <xdr:rowOff>16565</xdr:rowOff>
    </xdr:from>
    <xdr:to>
      <xdr:col>6</xdr:col>
      <xdr:colOff>66261</xdr:colOff>
      <xdr:row>86</xdr:row>
      <xdr:rowOff>18153</xdr:rowOff>
    </xdr:to>
    <xdr:cxnSp macro="">
      <xdr:nvCxnSpPr>
        <xdr:cNvPr id="15" name="Straight Arrow Connector 14">
          <a:extLst>
            <a:ext uri="{FF2B5EF4-FFF2-40B4-BE49-F238E27FC236}">
              <a16:creationId xmlns:a16="http://schemas.microsoft.com/office/drawing/2014/main" id="{00000000-0008-0000-0700-00000F000000}"/>
            </a:ext>
          </a:extLst>
        </xdr:cNvPr>
        <xdr:cNvCxnSpPr/>
      </xdr:nvCxnSpPr>
      <xdr:spPr>
        <a:xfrm>
          <a:off x="1609145" y="14547905"/>
          <a:ext cx="3493936" cy="158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378101</xdr:colOff>
      <xdr:row>87</xdr:row>
      <xdr:rowOff>88625</xdr:rowOff>
    </xdr:from>
    <xdr:to>
      <xdr:col>2</xdr:col>
      <xdr:colOff>389697</xdr:colOff>
      <xdr:row>103</xdr:row>
      <xdr:rowOff>101877</xdr:rowOff>
    </xdr:to>
    <xdr:cxnSp macro="">
      <xdr:nvCxnSpPr>
        <xdr:cNvPr id="16" name="Straight Arrow Connector 15">
          <a:extLst>
            <a:ext uri="{FF2B5EF4-FFF2-40B4-BE49-F238E27FC236}">
              <a16:creationId xmlns:a16="http://schemas.microsoft.com/office/drawing/2014/main" id="{00000000-0008-0000-0700-000010000000}"/>
            </a:ext>
          </a:extLst>
        </xdr:cNvPr>
        <xdr:cNvCxnSpPr/>
      </xdr:nvCxnSpPr>
      <xdr:spPr>
        <a:xfrm rot="5400000">
          <a:off x="22943" y="16156223"/>
          <a:ext cx="2764072" cy="11596"/>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107</xdr:row>
      <xdr:rowOff>0</xdr:rowOff>
    </xdr:from>
    <xdr:to>
      <xdr:col>6</xdr:col>
      <xdr:colOff>276225</xdr:colOff>
      <xdr:row>117</xdr:row>
      <xdr:rowOff>0</xdr:rowOff>
    </xdr:to>
    <xdr:grpSp>
      <xdr:nvGrpSpPr>
        <xdr:cNvPr id="17" name="Group 58">
          <a:extLst>
            <a:ext uri="{FF2B5EF4-FFF2-40B4-BE49-F238E27FC236}">
              <a16:creationId xmlns:a16="http://schemas.microsoft.com/office/drawing/2014/main" id="{00000000-0008-0000-0700-000011000000}"/>
            </a:ext>
          </a:extLst>
        </xdr:cNvPr>
        <xdr:cNvGrpSpPr>
          <a:grpSpLocks/>
        </xdr:cNvGrpSpPr>
      </xdr:nvGrpSpPr>
      <xdr:grpSpPr bwMode="auto">
        <a:xfrm>
          <a:off x="1638300" y="18440400"/>
          <a:ext cx="3676650" cy="1800225"/>
          <a:chOff x="1704560" y="18381326"/>
          <a:chExt cx="3127750" cy="1897102"/>
        </a:xfrm>
      </xdr:grpSpPr>
      <xdr:cxnSp macro="">
        <xdr:nvCxnSpPr>
          <xdr:cNvPr id="18" name="Straight Connector 17">
            <a:extLst>
              <a:ext uri="{FF2B5EF4-FFF2-40B4-BE49-F238E27FC236}">
                <a16:creationId xmlns:a16="http://schemas.microsoft.com/office/drawing/2014/main" id="{00000000-0008-0000-0700-000012000000}"/>
              </a:ext>
            </a:extLst>
          </xdr:cNvPr>
          <xdr:cNvCxnSpPr/>
        </xdr:nvCxnSpPr>
        <xdr:spPr>
          <a:xfrm>
            <a:off x="1704560" y="20278428"/>
            <a:ext cx="312775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nvGrpSpPr>
          <xdr:cNvPr id="19" name="Group 52">
            <a:extLst>
              <a:ext uri="{FF2B5EF4-FFF2-40B4-BE49-F238E27FC236}">
                <a16:creationId xmlns:a16="http://schemas.microsoft.com/office/drawing/2014/main" id="{00000000-0008-0000-0700-000013000000}"/>
              </a:ext>
            </a:extLst>
          </xdr:cNvPr>
          <xdr:cNvGrpSpPr>
            <a:grpSpLocks/>
          </xdr:cNvGrpSpPr>
        </xdr:nvGrpSpPr>
        <xdr:grpSpPr bwMode="auto">
          <a:xfrm>
            <a:off x="1706372" y="18381326"/>
            <a:ext cx="1379727" cy="1892454"/>
            <a:chOff x="1706372" y="18381326"/>
            <a:chExt cx="1206351" cy="1892454"/>
          </a:xfrm>
        </xdr:grpSpPr>
        <xdr:cxnSp macro="">
          <xdr:nvCxnSpPr>
            <xdr:cNvPr id="25" name="Straight Connector 24">
              <a:extLst>
                <a:ext uri="{FF2B5EF4-FFF2-40B4-BE49-F238E27FC236}">
                  <a16:creationId xmlns:a16="http://schemas.microsoft.com/office/drawing/2014/main" id="{00000000-0008-0000-0700-000019000000}"/>
                </a:ext>
              </a:extLst>
            </xdr:cNvPr>
            <xdr:cNvCxnSpPr/>
          </xdr:nvCxnSpPr>
          <xdr:spPr>
            <a:xfrm rot="5400000" flipH="1" flipV="1">
              <a:off x="1538921" y="20112562"/>
              <a:ext cx="331734"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6" name="Straight Connector 25">
              <a:extLst>
                <a:ext uri="{FF2B5EF4-FFF2-40B4-BE49-F238E27FC236}">
                  <a16:creationId xmlns:a16="http://schemas.microsoft.com/office/drawing/2014/main" id="{00000000-0008-0000-0700-00001A000000}"/>
                </a:ext>
              </a:extLst>
            </xdr:cNvPr>
            <xdr:cNvCxnSpPr/>
          </xdr:nvCxnSpPr>
          <xdr:spPr>
            <a:xfrm flipV="1">
              <a:off x="1704788" y="19272860"/>
              <a:ext cx="1052939" cy="67383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7" name="Straight Connector 26">
              <a:extLst>
                <a:ext uri="{FF2B5EF4-FFF2-40B4-BE49-F238E27FC236}">
                  <a16:creationId xmlns:a16="http://schemas.microsoft.com/office/drawing/2014/main" id="{00000000-0008-0000-0700-00001B000000}"/>
                </a:ext>
              </a:extLst>
            </xdr:cNvPr>
            <xdr:cNvCxnSpPr/>
          </xdr:nvCxnSpPr>
          <xdr:spPr>
            <a:xfrm>
              <a:off x="2743103" y="19272860"/>
              <a:ext cx="160866"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a:extLst>
                <a:ext uri="{FF2B5EF4-FFF2-40B4-BE49-F238E27FC236}">
                  <a16:creationId xmlns:a16="http://schemas.microsoft.com/office/drawing/2014/main" id="{00000000-0008-0000-0700-00001C000000}"/>
                </a:ext>
              </a:extLst>
            </xdr:cNvPr>
            <xdr:cNvCxnSpPr/>
          </xdr:nvCxnSpPr>
          <xdr:spPr>
            <a:xfrm rot="5400000" flipH="1" flipV="1">
              <a:off x="2460330" y="18832277"/>
              <a:ext cx="901901"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nvGrpSpPr>
          <xdr:cNvPr id="20" name="Group 53">
            <a:extLst>
              <a:ext uri="{FF2B5EF4-FFF2-40B4-BE49-F238E27FC236}">
                <a16:creationId xmlns:a16="http://schemas.microsoft.com/office/drawing/2014/main" id="{00000000-0008-0000-0700-000014000000}"/>
              </a:ext>
            </a:extLst>
          </xdr:cNvPr>
          <xdr:cNvGrpSpPr>
            <a:grpSpLocks/>
          </xdr:cNvGrpSpPr>
        </xdr:nvGrpSpPr>
        <xdr:grpSpPr bwMode="auto">
          <a:xfrm flipH="1">
            <a:off x="3483429" y="18385971"/>
            <a:ext cx="1344385" cy="1892457"/>
            <a:chOff x="1706372" y="18381323"/>
            <a:chExt cx="1206352" cy="1892457"/>
          </a:xfrm>
        </xdr:grpSpPr>
        <xdr:cxnSp macro="">
          <xdr:nvCxnSpPr>
            <xdr:cNvPr id="21" name="Straight Connector 20">
              <a:extLst>
                <a:ext uri="{FF2B5EF4-FFF2-40B4-BE49-F238E27FC236}">
                  <a16:creationId xmlns:a16="http://schemas.microsoft.com/office/drawing/2014/main" id="{00000000-0008-0000-0700-000015000000}"/>
                </a:ext>
              </a:extLst>
            </xdr:cNvPr>
            <xdr:cNvCxnSpPr/>
          </xdr:nvCxnSpPr>
          <xdr:spPr>
            <a:xfrm rot="5400000" flipH="1" flipV="1">
              <a:off x="1561305" y="20102730"/>
              <a:ext cx="3421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00000000-0008-0000-0700-000016000000}"/>
                </a:ext>
              </a:extLst>
            </xdr:cNvPr>
            <xdr:cNvCxnSpPr/>
          </xdr:nvCxnSpPr>
          <xdr:spPr>
            <a:xfrm flipV="1">
              <a:off x="1732355" y="19257846"/>
              <a:ext cx="1020586" cy="673834"/>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00000000-0008-0000-0700-000017000000}"/>
                </a:ext>
              </a:extLst>
            </xdr:cNvPr>
            <xdr:cNvCxnSpPr/>
          </xdr:nvCxnSpPr>
          <xdr:spPr>
            <a:xfrm>
              <a:off x="2737932" y="19257846"/>
              <a:ext cx="16509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24" name="Straight Connector 23">
              <a:extLst>
                <a:ext uri="{FF2B5EF4-FFF2-40B4-BE49-F238E27FC236}">
                  <a16:creationId xmlns:a16="http://schemas.microsoft.com/office/drawing/2014/main" id="{00000000-0008-0000-0700-000018000000}"/>
                </a:ext>
              </a:extLst>
            </xdr:cNvPr>
            <xdr:cNvCxnSpPr/>
          </xdr:nvCxnSpPr>
          <xdr:spPr>
            <a:xfrm rot="5400000" flipH="1" flipV="1">
              <a:off x="2459581" y="18827629"/>
              <a:ext cx="901901"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2</xdr:col>
      <xdr:colOff>516650</xdr:colOff>
      <xdr:row>115</xdr:row>
      <xdr:rowOff>91307</xdr:rowOff>
    </xdr:from>
    <xdr:to>
      <xdr:col>2</xdr:col>
      <xdr:colOff>523218</xdr:colOff>
      <xdr:row>117</xdr:row>
      <xdr:rowOff>22006</xdr:rowOff>
    </xdr:to>
    <xdr:cxnSp macro="">
      <xdr:nvCxnSpPr>
        <xdr:cNvPr id="29" name="Straight Arrow Connector 28">
          <a:extLst>
            <a:ext uri="{FF2B5EF4-FFF2-40B4-BE49-F238E27FC236}">
              <a16:creationId xmlns:a16="http://schemas.microsoft.com/office/drawing/2014/main" id="{00000000-0008-0000-0700-00001D000000}"/>
            </a:ext>
          </a:extLst>
        </xdr:cNvPr>
        <xdr:cNvCxnSpPr/>
      </xdr:nvCxnSpPr>
      <xdr:spPr>
        <a:xfrm rot="16200000" flipH="1">
          <a:off x="1369924" y="19728213"/>
          <a:ext cx="342179" cy="6568"/>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428628</xdr:colOff>
      <xdr:row>112</xdr:row>
      <xdr:rowOff>5728</xdr:rowOff>
    </xdr:from>
    <xdr:to>
      <xdr:col>6</xdr:col>
      <xdr:colOff>438945</xdr:colOff>
      <xdr:row>116</xdr:row>
      <xdr:rowOff>159633</xdr:rowOff>
    </xdr:to>
    <xdr:cxnSp macro="">
      <xdr:nvCxnSpPr>
        <xdr:cNvPr id="30" name="Straight Arrow Connector 29">
          <a:extLst>
            <a:ext uri="{FF2B5EF4-FFF2-40B4-BE49-F238E27FC236}">
              <a16:creationId xmlns:a16="http://schemas.microsoft.com/office/drawing/2014/main" id="{00000000-0008-0000-0700-00001E000000}"/>
            </a:ext>
          </a:extLst>
        </xdr:cNvPr>
        <xdr:cNvCxnSpPr/>
      </xdr:nvCxnSpPr>
      <xdr:spPr>
        <a:xfrm rot="5400000">
          <a:off x="5008844" y="19405652"/>
          <a:ext cx="923525" cy="10317"/>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495300</xdr:colOff>
      <xdr:row>106</xdr:row>
      <xdr:rowOff>109538</xdr:rowOff>
    </xdr:from>
    <xdr:to>
      <xdr:col>4</xdr:col>
      <xdr:colOff>542925</xdr:colOff>
      <xdr:row>107</xdr:row>
      <xdr:rowOff>104775</xdr:rowOff>
    </xdr:to>
    <xdr:sp macro="" textlink="">
      <xdr:nvSpPr>
        <xdr:cNvPr id="31" name="Freeform 30">
          <a:extLst>
            <a:ext uri="{FF2B5EF4-FFF2-40B4-BE49-F238E27FC236}">
              <a16:creationId xmlns:a16="http://schemas.microsoft.com/office/drawing/2014/main" id="{00000000-0008-0000-0700-00001F000000}"/>
            </a:ext>
          </a:extLst>
        </xdr:cNvPr>
        <xdr:cNvSpPr/>
      </xdr:nvSpPr>
      <xdr:spPr>
        <a:xfrm>
          <a:off x="3002280" y="18054638"/>
          <a:ext cx="862965" cy="162877"/>
        </a:xfrm>
        <a:custGeom>
          <a:avLst/>
          <a:gdLst>
            <a:gd name="connsiteX0" fmla="*/ 0 w 676275"/>
            <a:gd name="connsiteY0" fmla="*/ 128587 h 157162"/>
            <a:gd name="connsiteX1" fmla="*/ 171450 w 676275"/>
            <a:gd name="connsiteY1" fmla="*/ 4762 h 157162"/>
            <a:gd name="connsiteX2" fmla="*/ 419100 w 676275"/>
            <a:gd name="connsiteY2" fmla="*/ 157162 h 157162"/>
            <a:gd name="connsiteX3" fmla="*/ 676275 w 676275"/>
            <a:gd name="connsiteY3" fmla="*/ 4762 h 157162"/>
          </a:gdLst>
          <a:ahLst/>
          <a:cxnLst>
            <a:cxn ang="0">
              <a:pos x="connsiteX0" y="connsiteY0"/>
            </a:cxn>
            <a:cxn ang="0">
              <a:pos x="connsiteX1" y="connsiteY1"/>
            </a:cxn>
            <a:cxn ang="0">
              <a:pos x="connsiteX2" y="connsiteY2"/>
            </a:cxn>
            <a:cxn ang="0">
              <a:pos x="connsiteX3" y="connsiteY3"/>
            </a:cxn>
          </a:cxnLst>
          <a:rect l="l" t="t" r="r" b="b"/>
          <a:pathLst>
            <a:path w="676275" h="157162">
              <a:moveTo>
                <a:pt x="0" y="128587"/>
              </a:moveTo>
              <a:cubicBezTo>
                <a:pt x="50800" y="64293"/>
                <a:pt x="101600" y="0"/>
                <a:pt x="171450" y="4762"/>
              </a:cubicBezTo>
              <a:cubicBezTo>
                <a:pt x="241300" y="9525"/>
                <a:pt x="334963" y="157162"/>
                <a:pt x="419100" y="157162"/>
              </a:cubicBezTo>
              <a:cubicBezTo>
                <a:pt x="503237" y="157162"/>
                <a:pt x="604838" y="12700"/>
                <a:pt x="676275" y="4762"/>
              </a:cubicBezTo>
            </a:path>
          </a:pathLst>
        </a:custGeom>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twoCellAnchor>
    <xdr:from>
      <xdr:col>2</xdr:col>
      <xdr:colOff>718456</xdr:colOff>
      <xdr:row>116</xdr:row>
      <xdr:rowOff>19707</xdr:rowOff>
    </xdr:from>
    <xdr:to>
      <xdr:col>2</xdr:col>
      <xdr:colOff>764175</xdr:colOff>
      <xdr:row>116</xdr:row>
      <xdr:rowOff>65426</xdr:rowOff>
    </xdr:to>
    <xdr:sp macro="" textlink="">
      <xdr:nvSpPr>
        <xdr:cNvPr id="32" name="Oval 31">
          <a:extLst>
            <a:ext uri="{FF2B5EF4-FFF2-40B4-BE49-F238E27FC236}">
              <a16:creationId xmlns:a16="http://schemas.microsoft.com/office/drawing/2014/main" id="{00000000-0008-0000-0700-000020000000}"/>
            </a:ext>
          </a:extLst>
        </xdr:cNvPr>
        <xdr:cNvSpPr/>
      </xdr:nvSpPr>
      <xdr:spPr>
        <a:xfrm>
          <a:off x="1739536" y="19732647"/>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3</xdr:col>
      <xdr:colOff>21770</xdr:colOff>
      <xdr:row>116</xdr:row>
      <xdr:rowOff>19707</xdr:rowOff>
    </xdr:from>
    <xdr:to>
      <xdr:col>3</xdr:col>
      <xdr:colOff>67489</xdr:colOff>
      <xdr:row>116</xdr:row>
      <xdr:rowOff>65426</xdr:rowOff>
    </xdr:to>
    <xdr:sp macro="" textlink="">
      <xdr:nvSpPr>
        <xdr:cNvPr id="33" name="Oval 32">
          <a:extLst>
            <a:ext uri="{FF2B5EF4-FFF2-40B4-BE49-F238E27FC236}">
              <a16:creationId xmlns:a16="http://schemas.microsoft.com/office/drawing/2014/main" id="{00000000-0008-0000-0700-000021000000}"/>
            </a:ext>
          </a:extLst>
        </xdr:cNvPr>
        <xdr:cNvSpPr/>
      </xdr:nvSpPr>
      <xdr:spPr>
        <a:xfrm>
          <a:off x="2528750" y="19732647"/>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2</xdr:col>
      <xdr:colOff>1072242</xdr:colOff>
      <xdr:row>116</xdr:row>
      <xdr:rowOff>19707</xdr:rowOff>
    </xdr:from>
    <xdr:to>
      <xdr:col>2</xdr:col>
      <xdr:colOff>1117961</xdr:colOff>
      <xdr:row>116</xdr:row>
      <xdr:rowOff>65426</xdr:rowOff>
    </xdr:to>
    <xdr:sp macro="" textlink="">
      <xdr:nvSpPr>
        <xdr:cNvPr id="34" name="Oval 33">
          <a:extLst>
            <a:ext uri="{FF2B5EF4-FFF2-40B4-BE49-F238E27FC236}">
              <a16:creationId xmlns:a16="http://schemas.microsoft.com/office/drawing/2014/main" id="{00000000-0008-0000-0700-000022000000}"/>
            </a:ext>
          </a:extLst>
        </xdr:cNvPr>
        <xdr:cNvSpPr/>
      </xdr:nvSpPr>
      <xdr:spPr>
        <a:xfrm>
          <a:off x="2093322" y="19732647"/>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5</xdr:col>
      <xdr:colOff>299355</xdr:colOff>
      <xdr:row>116</xdr:row>
      <xdr:rowOff>19707</xdr:rowOff>
    </xdr:from>
    <xdr:to>
      <xdr:col>5</xdr:col>
      <xdr:colOff>345074</xdr:colOff>
      <xdr:row>116</xdr:row>
      <xdr:rowOff>65426</xdr:rowOff>
    </xdr:to>
    <xdr:sp macro="" textlink="">
      <xdr:nvSpPr>
        <xdr:cNvPr id="35" name="Oval 34">
          <a:extLst>
            <a:ext uri="{FF2B5EF4-FFF2-40B4-BE49-F238E27FC236}">
              <a16:creationId xmlns:a16="http://schemas.microsoft.com/office/drawing/2014/main" id="{00000000-0008-0000-0700-000023000000}"/>
            </a:ext>
          </a:extLst>
        </xdr:cNvPr>
        <xdr:cNvSpPr/>
      </xdr:nvSpPr>
      <xdr:spPr>
        <a:xfrm>
          <a:off x="4604655" y="19732647"/>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5</xdr:col>
      <xdr:colOff>653141</xdr:colOff>
      <xdr:row>116</xdr:row>
      <xdr:rowOff>19707</xdr:rowOff>
    </xdr:from>
    <xdr:to>
      <xdr:col>5</xdr:col>
      <xdr:colOff>698860</xdr:colOff>
      <xdr:row>116</xdr:row>
      <xdr:rowOff>65426</xdr:rowOff>
    </xdr:to>
    <xdr:sp macro="" textlink="">
      <xdr:nvSpPr>
        <xdr:cNvPr id="36" name="Oval 35">
          <a:extLst>
            <a:ext uri="{FF2B5EF4-FFF2-40B4-BE49-F238E27FC236}">
              <a16:creationId xmlns:a16="http://schemas.microsoft.com/office/drawing/2014/main" id="{00000000-0008-0000-0700-000024000000}"/>
            </a:ext>
          </a:extLst>
        </xdr:cNvPr>
        <xdr:cNvSpPr/>
      </xdr:nvSpPr>
      <xdr:spPr>
        <a:xfrm>
          <a:off x="4958441" y="19732647"/>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3</xdr:col>
      <xdr:colOff>180975</xdr:colOff>
      <xdr:row>107</xdr:row>
      <xdr:rowOff>95250</xdr:rowOff>
    </xdr:from>
    <xdr:to>
      <xdr:col>4</xdr:col>
      <xdr:colOff>9525</xdr:colOff>
      <xdr:row>116</xdr:row>
      <xdr:rowOff>38100</xdr:rowOff>
    </xdr:to>
    <xdr:grpSp>
      <xdr:nvGrpSpPr>
        <xdr:cNvPr id="37" name="Group 96">
          <a:extLst>
            <a:ext uri="{FF2B5EF4-FFF2-40B4-BE49-F238E27FC236}">
              <a16:creationId xmlns:a16="http://schemas.microsoft.com/office/drawing/2014/main" id="{00000000-0008-0000-0700-000025000000}"/>
            </a:ext>
          </a:extLst>
        </xdr:cNvPr>
        <xdr:cNvGrpSpPr>
          <a:grpSpLocks/>
        </xdr:cNvGrpSpPr>
      </xdr:nvGrpSpPr>
      <xdr:grpSpPr bwMode="auto">
        <a:xfrm>
          <a:off x="2686050" y="18535650"/>
          <a:ext cx="647700" cy="1571625"/>
          <a:chOff x="2707648" y="17561072"/>
          <a:chExt cx="556793" cy="1400072"/>
        </a:xfrm>
      </xdr:grpSpPr>
      <xdr:cxnSp macro="">
        <xdr:nvCxnSpPr>
          <xdr:cNvPr id="38" name="Straight Connector 37">
            <a:extLst>
              <a:ext uri="{FF2B5EF4-FFF2-40B4-BE49-F238E27FC236}">
                <a16:creationId xmlns:a16="http://schemas.microsoft.com/office/drawing/2014/main" id="{00000000-0008-0000-0700-000026000000}"/>
              </a:ext>
            </a:extLst>
          </xdr:cNvPr>
          <xdr:cNvCxnSpPr/>
        </xdr:nvCxnSpPr>
        <xdr:spPr>
          <a:xfrm rot="5400000">
            <a:off x="2564405" y="18261108"/>
            <a:ext cx="1400072"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39" name="Straight Connector 38">
            <a:extLst>
              <a:ext uri="{FF2B5EF4-FFF2-40B4-BE49-F238E27FC236}">
                <a16:creationId xmlns:a16="http://schemas.microsoft.com/office/drawing/2014/main" id="{00000000-0008-0000-0700-000027000000}"/>
              </a:ext>
            </a:extLst>
          </xdr:cNvPr>
          <xdr:cNvCxnSpPr/>
        </xdr:nvCxnSpPr>
        <xdr:spPr>
          <a:xfrm rot="10800000">
            <a:off x="2707648" y="18961144"/>
            <a:ext cx="556793"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xdr:col>
      <xdr:colOff>323850</xdr:colOff>
      <xdr:row>107</xdr:row>
      <xdr:rowOff>95250</xdr:rowOff>
    </xdr:from>
    <xdr:to>
      <xdr:col>4</xdr:col>
      <xdr:colOff>809625</xdr:colOff>
      <xdr:row>116</xdr:row>
      <xdr:rowOff>38100</xdr:rowOff>
    </xdr:to>
    <xdr:grpSp>
      <xdr:nvGrpSpPr>
        <xdr:cNvPr id="40" name="Group 97">
          <a:extLst>
            <a:ext uri="{FF2B5EF4-FFF2-40B4-BE49-F238E27FC236}">
              <a16:creationId xmlns:a16="http://schemas.microsoft.com/office/drawing/2014/main" id="{00000000-0008-0000-0700-000028000000}"/>
            </a:ext>
          </a:extLst>
        </xdr:cNvPr>
        <xdr:cNvGrpSpPr>
          <a:grpSpLocks/>
        </xdr:cNvGrpSpPr>
      </xdr:nvGrpSpPr>
      <xdr:grpSpPr bwMode="auto">
        <a:xfrm flipH="1">
          <a:off x="3648075" y="18535650"/>
          <a:ext cx="485775" cy="1571625"/>
          <a:chOff x="2707648" y="17561072"/>
          <a:chExt cx="556793" cy="1400072"/>
        </a:xfrm>
      </xdr:grpSpPr>
      <xdr:cxnSp macro="">
        <xdr:nvCxnSpPr>
          <xdr:cNvPr id="41" name="Straight Connector 40">
            <a:extLst>
              <a:ext uri="{FF2B5EF4-FFF2-40B4-BE49-F238E27FC236}">
                <a16:creationId xmlns:a16="http://schemas.microsoft.com/office/drawing/2014/main" id="{00000000-0008-0000-0700-000029000000}"/>
              </a:ext>
            </a:extLst>
          </xdr:cNvPr>
          <xdr:cNvCxnSpPr/>
        </xdr:nvCxnSpPr>
        <xdr:spPr>
          <a:xfrm rot="5400000">
            <a:off x="2564405" y="18261108"/>
            <a:ext cx="1400072"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42" name="Straight Connector 41">
            <a:extLst>
              <a:ext uri="{FF2B5EF4-FFF2-40B4-BE49-F238E27FC236}">
                <a16:creationId xmlns:a16="http://schemas.microsoft.com/office/drawing/2014/main" id="{00000000-0008-0000-0700-00002A000000}"/>
              </a:ext>
            </a:extLst>
          </xdr:cNvPr>
          <xdr:cNvCxnSpPr/>
        </xdr:nvCxnSpPr>
        <xdr:spPr>
          <a:xfrm rot="10800000">
            <a:off x="2707648" y="18961144"/>
            <a:ext cx="556793" cy="0"/>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4</xdr:col>
      <xdr:colOff>12159</xdr:colOff>
      <xdr:row>109</xdr:row>
      <xdr:rowOff>117542</xdr:rowOff>
    </xdr:from>
    <xdr:to>
      <xdr:col>4</xdr:col>
      <xdr:colOff>316149</xdr:colOff>
      <xdr:row>109</xdr:row>
      <xdr:rowOff>119130</xdr:rowOff>
    </xdr:to>
    <xdr:cxnSp macro="">
      <xdr:nvCxnSpPr>
        <xdr:cNvPr id="43" name="Straight Connector 42">
          <a:extLst>
            <a:ext uri="{FF2B5EF4-FFF2-40B4-BE49-F238E27FC236}">
              <a16:creationId xmlns:a16="http://schemas.microsoft.com/office/drawing/2014/main" id="{00000000-0008-0000-0700-00002B000000}"/>
            </a:ext>
          </a:extLst>
        </xdr:cNvPr>
        <xdr:cNvCxnSpPr/>
      </xdr:nvCxnSpPr>
      <xdr:spPr>
        <a:xfrm>
          <a:off x="3334479" y="18565562"/>
          <a:ext cx="30399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6485</xdr:colOff>
      <xdr:row>110</xdr:row>
      <xdr:rowOff>111868</xdr:rowOff>
    </xdr:from>
    <xdr:to>
      <xdr:col>4</xdr:col>
      <xdr:colOff>310475</xdr:colOff>
      <xdr:row>110</xdr:row>
      <xdr:rowOff>113456</xdr:rowOff>
    </xdr:to>
    <xdr:cxnSp macro="">
      <xdr:nvCxnSpPr>
        <xdr:cNvPr id="44" name="Straight Connector 43">
          <a:extLst>
            <a:ext uri="{FF2B5EF4-FFF2-40B4-BE49-F238E27FC236}">
              <a16:creationId xmlns:a16="http://schemas.microsoft.com/office/drawing/2014/main" id="{00000000-0008-0000-0700-00002C000000}"/>
            </a:ext>
          </a:extLst>
        </xdr:cNvPr>
        <xdr:cNvCxnSpPr/>
      </xdr:nvCxnSpPr>
      <xdr:spPr>
        <a:xfrm>
          <a:off x="3328805" y="18727528"/>
          <a:ext cx="30399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12969</xdr:colOff>
      <xdr:row>111</xdr:row>
      <xdr:rowOff>98087</xdr:rowOff>
    </xdr:from>
    <xdr:to>
      <xdr:col>4</xdr:col>
      <xdr:colOff>316959</xdr:colOff>
      <xdr:row>111</xdr:row>
      <xdr:rowOff>99675</xdr:rowOff>
    </xdr:to>
    <xdr:cxnSp macro="">
      <xdr:nvCxnSpPr>
        <xdr:cNvPr id="45" name="Straight Connector 44">
          <a:extLst>
            <a:ext uri="{FF2B5EF4-FFF2-40B4-BE49-F238E27FC236}">
              <a16:creationId xmlns:a16="http://schemas.microsoft.com/office/drawing/2014/main" id="{00000000-0008-0000-0700-00002D000000}"/>
            </a:ext>
          </a:extLst>
        </xdr:cNvPr>
        <xdr:cNvCxnSpPr/>
      </xdr:nvCxnSpPr>
      <xdr:spPr>
        <a:xfrm>
          <a:off x="3335289" y="18881387"/>
          <a:ext cx="30399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15402</xdr:colOff>
      <xdr:row>108</xdr:row>
      <xdr:rowOff>88359</xdr:rowOff>
    </xdr:from>
    <xdr:to>
      <xdr:col>4</xdr:col>
      <xdr:colOff>319392</xdr:colOff>
      <xdr:row>108</xdr:row>
      <xdr:rowOff>89947</xdr:rowOff>
    </xdr:to>
    <xdr:cxnSp macro="">
      <xdr:nvCxnSpPr>
        <xdr:cNvPr id="46" name="Straight Connector 45">
          <a:extLst>
            <a:ext uri="{FF2B5EF4-FFF2-40B4-BE49-F238E27FC236}">
              <a16:creationId xmlns:a16="http://schemas.microsoft.com/office/drawing/2014/main" id="{00000000-0008-0000-0700-00002E000000}"/>
            </a:ext>
          </a:extLst>
        </xdr:cNvPr>
        <xdr:cNvCxnSpPr/>
      </xdr:nvCxnSpPr>
      <xdr:spPr>
        <a:xfrm>
          <a:off x="3337722" y="18368739"/>
          <a:ext cx="303990" cy="158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1012371</xdr:colOff>
      <xdr:row>115</xdr:row>
      <xdr:rowOff>119743</xdr:rowOff>
    </xdr:from>
    <xdr:to>
      <xdr:col>2</xdr:col>
      <xdr:colOff>1175657</xdr:colOff>
      <xdr:row>116</xdr:row>
      <xdr:rowOff>102852</xdr:rowOff>
    </xdr:to>
    <xdr:sp macro="" textlink="">
      <xdr:nvSpPr>
        <xdr:cNvPr id="47" name="Oval 46">
          <a:extLst>
            <a:ext uri="{FF2B5EF4-FFF2-40B4-BE49-F238E27FC236}">
              <a16:creationId xmlns:a16="http://schemas.microsoft.com/office/drawing/2014/main" id="{00000000-0008-0000-0700-00002F000000}"/>
            </a:ext>
          </a:extLst>
        </xdr:cNvPr>
        <xdr:cNvSpPr/>
      </xdr:nvSpPr>
      <xdr:spPr>
        <a:xfrm>
          <a:off x="2033451" y="19588843"/>
          <a:ext cx="163286" cy="226949"/>
        </a:xfrm>
        <a:prstGeom prst="ellipse">
          <a:avLst/>
        </a:prstGeom>
        <a:noFill/>
        <a:ln w="3175">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rtlCol="0" anchor="ctr"/>
        <a:lstStyle/>
        <a:p>
          <a:pPr algn="ctr"/>
          <a:endParaRPr lang="en-US" sz="1100"/>
        </a:p>
      </xdr:txBody>
    </xdr:sp>
    <xdr:clientData/>
  </xdr:twoCellAnchor>
  <xdr:twoCellAnchor>
    <xdr:from>
      <xdr:col>4</xdr:col>
      <xdr:colOff>522513</xdr:colOff>
      <xdr:row>116</xdr:row>
      <xdr:rowOff>19707</xdr:rowOff>
    </xdr:from>
    <xdr:to>
      <xdr:col>4</xdr:col>
      <xdr:colOff>568232</xdr:colOff>
      <xdr:row>116</xdr:row>
      <xdr:rowOff>65426</xdr:rowOff>
    </xdr:to>
    <xdr:sp macro="" textlink="">
      <xdr:nvSpPr>
        <xdr:cNvPr id="48" name="Oval 47">
          <a:extLst>
            <a:ext uri="{FF2B5EF4-FFF2-40B4-BE49-F238E27FC236}">
              <a16:creationId xmlns:a16="http://schemas.microsoft.com/office/drawing/2014/main" id="{00000000-0008-0000-0700-000030000000}"/>
            </a:ext>
          </a:extLst>
        </xdr:cNvPr>
        <xdr:cNvSpPr/>
      </xdr:nvSpPr>
      <xdr:spPr>
        <a:xfrm>
          <a:off x="3844833" y="19732647"/>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4</xdr:col>
      <xdr:colOff>898071</xdr:colOff>
      <xdr:row>116</xdr:row>
      <xdr:rowOff>19707</xdr:rowOff>
    </xdr:from>
    <xdr:to>
      <xdr:col>4</xdr:col>
      <xdr:colOff>943790</xdr:colOff>
      <xdr:row>116</xdr:row>
      <xdr:rowOff>65426</xdr:rowOff>
    </xdr:to>
    <xdr:sp macro="" textlink="">
      <xdr:nvSpPr>
        <xdr:cNvPr id="49" name="Oval 48">
          <a:extLst>
            <a:ext uri="{FF2B5EF4-FFF2-40B4-BE49-F238E27FC236}">
              <a16:creationId xmlns:a16="http://schemas.microsoft.com/office/drawing/2014/main" id="{00000000-0008-0000-0700-000031000000}"/>
            </a:ext>
          </a:extLst>
        </xdr:cNvPr>
        <xdr:cNvSpPr/>
      </xdr:nvSpPr>
      <xdr:spPr>
        <a:xfrm>
          <a:off x="4220391" y="19732647"/>
          <a:ext cx="45719" cy="45719"/>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3</xdr:col>
      <xdr:colOff>380811</xdr:colOff>
      <xdr:row>116</xdr:row>
      <xdr:rowOff>13747</xdr:rowOff>
    </xdr:from>
    <xdr:to>
      <xdr:col>3</xdr:col>
      <xdr:colOff>426530</xdr:colOff>
      <xdr:row>116</xdr:row>
      <xdr:rowOff>59795</xdr:rowOff>
    </xdr:to>
    <xdr:sp macro="" textlink="">
      <xdr:nvSpPr>
        <xdr:cNvPr id="50" name="Oval 49">
          <a:extLst>
            <a:ext uri="{FF2B5EF4-FFF2-40B4-BE49-F238E27FC236}">
              <a16:creationId xmlns:a16="http://schemas.microsoft.com/office/drawing/2014/main" id="{00000000-0008-0000-0700-000032000000}"/>
            </a:ext>
          </a:extLst>
        </xdr:cNvPr>
        <xdr:cNvSpPr/>
      </xdr:nvSpPr>
      <xdr:spPr>
        <a:xfrm>
          <a:off x="2887791" y="19726687"/>
          <a:ext cx="45719" cy="4604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4</xdr:col>
      <xdr:colOff>112798</xdr:colOff>
      <xdr:row>116</xdr:row>
      <xdr:rowOff>15061</xdr:rowOff>
    </xdr:from>
    <xdr:to>
      <xdr:col>4</xdr:col>
      <xdr:colOff>158517</xdr:colOff>
      <xdr:row>116</xdr:row>
      <xdr:rowOff>61109</xdr:rowOff>
    </xdr:to>
    <xdr:sp macro="" textlink="">
      <xdr:nvSpPr>
        <xdr:cNvPr id="51" name="Oval 50">
          <a:extLst>
            <a:ext uri="{FF2B5EF4-FFF2-40B4-BE49-F238E27FC236}">
              <a16:creationId xmlns:a16="http://schemas.microsoft.com/office/drawing/2014/main" id="{00000000-0008-0000-0700-000033000000}"/>
            </a:ext>
          </a:extLst>
        </xdr:cNvPr>
        <xdr:cNvSpPr/>
      </xdr:nvSpPr>
      <xdr:spPr>
        <a:xfrm>
          <a:off x="3435118" y="19728001"/>
          <a:ext cx="45719" cy="46048"/>
        </a:xfrm>
        <a:prstGeom prst="ellipse">
          <a:avLst/>
        </a:prstGeom>
      </xdr:spPr>
      <xdr:style>
        <a:lnRef idx="2">
          <a:schemeClr val="dk1">
            <a:shade val="50000"/>
          </a:schemeClr>
        </a:lnRef>
        <a:fillRef idx="1">
          <a:schemeClr val="dk1"/>
        </a:fillRef>
        <a:effectRef idx="0">
          <a:schemeClr val="dk1"/>
        </a:effectRef>
        <a:fontRef idx="minor">
          <a:schemeClr val="lt1"/>
        </a:fontRef>
      </xdr:style>
      <xdr:txBody>
        <a:bodyPr rtlCol="0" anchor="ctr"/>
        <a:lstStyle/>
        <a:p>
          <a:pPr algn="ctr"/>
          <a:endParaRPr lang="en-US" sz="1100"/>
        </a:p>
      </xdr:txBody>
    </xdr:sp>
    <xdr:clientData/>
  </xdr:twoCellAnchor>
  <xdr:twoCellAnchor>
    <xdr:from>
      <xdr:col>5</xdr:col>
      <xdr:colOff>438150</xdr:colOff>
      <xdr:row>115</xdr:row>
      <xdr:rowOff>219075</xdr:rowOff>
    </xdr:from>
    <xdr:to>
      <xdr:col>6</xdr:col>
      <xdr:colOff>47625</xdr:colOff>
      <xdr:row>119</xdr:row>
      <xdr:rowOff>95250</xdr:rowOff>
    </xdr:to>
    <xdr:grpSp>
      <xdr:nvGrpSpPr>
        <xdr:cNvPr id="52" name="Group 87">
          <a:extLst>
            <a:ext uri="{FF2B5EF4-FFF2-40B4-BE49-F238E27FC236}">
              <a16:creationId xmlns:a16="http://schemas.microsoft.com/office/drawing/2014/main" id="{00000000-0008-0000-0700-000034000000}"/>
            </a:ext>
          </a:extLst>
        </xdr:cNvPr>
        <xdr:cNvGrpSpPr>
          <a:grpSpLocks/>
        </xdr:cNvGrpSpPr>
      </xdr:nvGrpSpPr>
      <xdr:grpSpPr bwMode="auto">
        <a:xfrm>
          <a:off x="4743450" y="20040600"/>
          <a:ext cx="342900" cy="638175"/>
          <a:chOff x="4184430" y="20869603"/>
          <a:chExt cx="328449" cy="610914"/>
        </a:xfrm>
      </xdr:grpSpPr>
      <xdr:cxnSp macro="">
        <xdr:nvCxnSpPr>
          <xdr:cNvPr id="53" name="Straight Connector 52">
            <a:extLst>
              <a:ext uri="{FF2B5EF4-FFF2-40B4-BE49-F238E27FC236}">
                <a16:creationId xmlns:a16="http://schemas.microsoft.com/office/drawing/2014/main" id="{00000000-0008-0000-0700-000035000000}"/>
              </a:ext>
            </a:extLst>
          </xdr:cNvPr>
          <xdr:cNvCxnSpPr/>
        </xdr:nvCxnSpPr>
        <xdr:spPr>
          <a:xfrm rot="16200000" flipH="1">
            <a:off x="3883804" y="21170229"/>
            <a:ext cx="610914" cy="966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4" name="Straight Arrow Connector 53">
            <a:extLst>
              <a:ext uri="{FF2B5EF4-FFF2-40B4-BE49-F238E27FC236}">
                <a16:creationId xmlns:a16="http://schemas.microsoft.com/office/drawing/2014/main" id="{00000000-0008-0000-0700-000036000000}"/>
              </a:ext>
            </a:extLst>
          </xdr:cNvPr>
          <xdr:cNvCxnSpPr/>
        </xdr:nvCxnSpPr>
        <xdr:spPr>
          <a:xfrm>
            <a:off x="4194090" y="21470971"/>
            <a:ext cx="318789"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1095375</xdr:colOff>
      <xdr:row>116</xdr:row>
      <xdr:rowOff>95250</xdr:rowOff>
    </xdr:from>
    <xdr:to>
      <xdr:col>3</xdr:col>
      <xdr:colOff>104775</xdr:colOff>
      <xdr:row>119</xdr:row>
      <xdr:rowOff>76200</xdr:rowOff>
    </xdr:to>
    <xdr:grpSp>
      <xdr:nvGrpSpPr>
        <xdr:cNvPr id="55" name="Group 90">
          <a:extLst>
            <a:ext uri="{FF2B5EF4-FFF2-40B4-BE49-F238E27FC236}">
              <a16:creationId xmlns:a16="http://schemas.microsoft.com/office/drawing/2014/main" id="{00000000-0008-0000-0700-000037000000}"/>
            </a:ext>
          </a:extLst>
        </xdr:cNvPr>
        <xdr:cNvGrpSpPr>
          <a:grpSpLocks/>
        </xdr:cNvGrpSpPr>
      </xdr:nvGrpSpPr>
      <xdr:grpSpPr bwMode="auto">
        <a:xfrm>
          <a:off x="2114550" y="20164425"/>
          <a:ext cx="495300" cy="495300"/>
          <a:chOff x="4184430" y="20869603"/>
          <a:chExt cx="328449" cy="610914"/>
        </a:xfrm>
      </xdr:grpSpPr>
      <xdr:cxnSp macro="">
        <xdr:nvCxnSpPr>
          <xdr:cNvPr id="56" name="Straight Connector 55">
            <a:extLst>
              <a:ext uri="{FF2B5EF4-FFF2-40B4-BE49-F238E27FC236}">
                <a16:creationId xmlns:a16="http://schemas.microsoft.com/office/drawing/2014/main" id="{00000000-0008-0000-0700-000038000000}"/>
              </a:ext>
            </a:extLst>
          </xdr:cNvPr>
          <xdr:cNvCxnSpPr/>
        </xdr:nvCxnSpPr>
        <xdr:spPr>
          <a:xfrm rot="16200000" flipH="1">
            <a:off x="3882394" y="21171639"/>
            <a:ext cx="610914" cy="6843"/>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57" name="Straight Arrow Connector 56">
            <a:extLst>
              <a:ext uri="{FF2B5EF4-FFF2-40B4-BE49-F238E27FC236}">
                <a16:creationId xmlns:a16="http://schemas.microsoft.com/office/drawing/2014/main" id="{00000000-0008-0000-0700-000039000000}"/>
              </a:ext>
            </a:extLst>
          </xdr:cNvPr>
          <xdr:cNvCxnSpPr/>
        </xdr:nvCxnSpPr>
        <xdr:spPr>
          <a:xfrm>
            <a:off x="4191273" y="21468049"/>
            <a:ext cx="321606"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apa/Google%20Drive%20(ideaconsultkavre@gmail.com)/library/Design%20Program%20in%20excel/Design%20of%20foot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of footing"/>
      <sheetName val="Design of footing (2)"/>
      <sheetName val="Design of combined footing"/>
    </sheetNames>
    <sheetDataSet>
      <sheetData sheetId="0">
        <row r="4">
          <cell r="C4">
            <v>400</v>
          </cell>
        </row>
        <row r="7">
          <cell r="C7">
            <v>30</v>
          </cell>
        </row>
        <row r="8">
          <cell r="C8">
            <v>150</v>
          </cell>
        </row>
        <row r="9">
          <cell r="C9">
            <v>20</v>
          </cell>
        </row>
        <row r="10">
          <cell r="C10">
            <v>415</v>
          </cell>
        </row>
        <row r="25">
          <cell r="C25">
            <v>200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7B8F7-A0BF-4860-BF7F-F2055A30E43D}">
  <sheetPr codeName="Sheet2"/>
  <dimension ref="A1:AZ63"/>
  <sheetViews>
    <sheetView view="pageBreakPreview" topLeftCell="A13" zoomScale="90" zoomScaleNormal="100" zoomScaleSheetLayoutView="90" workbookViewId="0">
      <selection activeCell="T30" sqref="T30"/>
    </sheetView>
  </sheetViews>
  <sheetFormatPr defaultColWidth="9.109375" defaultRowHeight="10.199999999999999" x14ac:dyDescent="0.2"/>
  <cols>
    <col min="1" max="1" width="1.77734375" style="16" customWidth="1"/>
    <col min="2" max="2" width="11.33203125" style="16" customWidth="1"/>
    <col min="3" max="3" width="8.33203125" style="16" customWidth="1"/>
    <col min="4" max="4" width="8.5546875" style="16" customWidth="1"/>
    <col min="5" max="5" width="5.5546875" style="16" customWidth="1"/>
    <col min="6" max="6" width="7.33203125" style="16" customWidth="1"/>
    <col min="7" max="7" width="6" style="16" customWidth="1"/>
    <col min="8" max="8" width="9.109375" style="16"/>
    <col min="9" max="9" width="5.33203125" style="16" customWidth="1"/>
    <col min="10" max="10" width="8.6640625" style="16" customWidth="1"/>
    <col min="11" max="11" width="6" style="16" customWidth="1"/>
    <col min="12" max="12" width="7" style="16" customWidth="1"/>
    <col min="13" max="13" width="6" style="16" customWidth="1"/>
    <col min="14" max="14" width="4.6640625" style="16" customWidth="1"/>
    <col min="15" max="15" width="6.109375" style="16" customWidth="1"/>
    <col min="16" max="16" width="4.44140625" style="16" customWidth="1"/>
    <col min="17" max="17" width="6.44140625" style="16" customWidth="1"/>
    <col min="18" max="18" width="8.33203125" style="16" customWidth="1"/>
    <col min="19" max="16384" width="9.109375" style="16"/>
  </cols>
  <sheetData>
    <row r="1" spans="1:24" ht="14.4" customHeight="1" x14ac:dyDescent="0.25">
      <c r="A1" s="18"/>
      <c r="B1" s="315" t="s">
        <v>292</v>
      </c>
      <c r="C1" s="315"/>
      <c r="D1" s="315"/>
      <c r="E1" s="315"/>
      <c r="F1" s="315"/>
      <c r="G1" s="315"/>
      <c r="H1" s="315"/>
      <c r="I1" s="315"/>
      <c r="J1" s="315"/>
      <c r="K1" s="315"/>
      <c r="L1" s="315"/>
      <c r="M1" s="315"/>
      <c r="N1" s="315"/>
      <c r="O1" s="315"/>
      <c r="P1" s="315"/>
      <c r="Q1" s="315"/>
      <c r="R1" s="315"/>
      <c r="S1" s="18"/>
      <c r="T1" s="18"/>
      <c r="U1" s="18"/>
      <c r="V1" s="18"/>
      <c r="W1" s="18"/>
      <c r="X1" s="18"/>
    </row>
    <row r="2" spans="1:24" ht="10.8" customHeight="1" x14ac:dyDescent="0.2">
      <c r="A2" s="18"/>
      <c r="B2" s="20" t="s">
        <v>4</v>
      </c>
      <c r="C2" s="18"/>
      <c r="D2" s="18"/>
      <c r="E2" s="18"/>
      <c r="F2" s="18"/>
      <c r="G2" s="18"/>
      <c r="H2" s="181"/>
      <c r="I2" s="181"/>
      <c r="J2" s="181"/>
      <c r="K2" s="181"/>
      <c r="L2" s="316"/>
      <c r="M2" s="316"/>
      <c r="N2" s="316"/>
      <c r="O2" s="316"/>
      <c r="P2" s="316"/>
      <c r="Q2" s="316"/>
      <c r="R2" s="18"/>
      <c r="S2" s="18"/>
      <c r="T2" s="18"/>
      <c r="U2" s="18"/>
      <c r="V2" s="18"/>
      <c r="W2" s="18"/>
      <c r="X2" s="18"/>
    </row>
    <row r="3" spans="1:24" x14ac:dyDescent="0.2">
      <c r="A3" s="18"/>
      <c r="B3" s="313" t="s">
        <v>5</v>
      </c>
      <c r="C3" s="314"/>
      <c r="D3" s="55">
        <f>10.75*0.305</f>
        <v>3.2787500000000001</v>
      </c>
      <c r="E3" s="49" t="s">
        <v>1</v>
      </c>
      <c r="F3" s="34"/>
      <c r="G3" s="18"/>
      <c r="H3" s="308" t="s">
        <v>6</v>
      </c>
      <c r="I3" s="308"/>
      <c r="J3" s="308"/>
      <c r="K3" s="20"/>
      <c r="L3" s="20"/>
      <c r="M3" s="317" t="s">
        <v>7</v>
      </c>
      <c r="N3" s="317"/>
      <c r="O3" s="317" t="s">
        <v>8</v>
      </c>
      <c r="P3" s="317"/>
      <c r="Q3" s="317" t="s">
        <v>9</v>
      </c>
      <c r="R3" s="317"/>
      <c r="S3" s="18"/>
      <c r="T3" s="18"/>
      <c r="U3" s="18"/>
      <c r="V3" s="18"/>
      <c r="W3" s="18"/>
      <c r="X3" s="18"/>
    </row>
    <row r="4" spans="1:24" x14ac:dyDescent="0.2">
      <c r="A4" s="18"/>
      <c r="B4" s="313" t="s">
        <v>10</v>
      </c>
      <c r="C4" s="314"/>
      <c r="D4" s="55">
        <f>18.17*0.305</f>
        <v>5.5418500000000002</v>
      </c>
      <c r="E4" s="49" t="s">
        <v>1</v>
      </c>
      <c r="F4" s="34"/>
      <c r="G4" s="18"/>
      <c r="H4" s="20" t="s">
        <v>11</v>
      </c>
      <c r="I4" s="20">
        <f>25*D12/1000</f>
        <v>3.1749999999999998</v>
      </c>
      <c r="J4" s="20" t="s">
        <v>12</v>
      </c>
      <c r="K4" s="19"/>
      <c r="L4" s="20" t="s">
        <v>13</v>
      </c>
      <c r="M4" s="52" t="s">
        <v>14</v>
      </c>
      <c r="N4" s="179">
        <f>+IF(W4&gt;0,W4,IF(D5&gt;1.75,1.75,IF(D5&gt;1.5,1.5,IF(D5&gt;1.4,1.4,IF(D5&gt;1.3,1.3,IF(D5&gt;1.2,1.2,IF(D5&gt;1.1,1.1,1)))))))</f>
        <v>1.5</v>
      </c>
      <c r="O4" s="179" t="s">
        <v>14</v>
      </c>
      <c r="P4" s="179">
        <f>+IF(X4&gt;0,X4,IF(D5&gt;1.75,2,IF(D5&gt;1.5,1.75,IF(D5&gt;1.4,1.5,IF(D5&gt;1.3,1.4,IF(D5&gt;1.2,1.3,IF(D5&gt;1.1,1.2,1.1)))))))</f>
        <v>1.75</v>
      </c>
      <c r="Q4" s="52" t="s">
        <v>14</v>
      </c>
      <c r="R4" s="49">
        <f>+D5</f>
        <v>1.690232558139535</v>
      </c>
      <c r="S4" s="18"/>
      <c r="T4" s="18"/>
      <c r="U4" s="18"/>
      <c r="V4" s="18"/>
      <c r="W4" s="18"/>
      <c r="X4" s="18"/>
    </row>
    <row r="5" spans="1:24" x14ac:dyDescent="0.2">
      <c r="A5" s="18"/>
      <c r="B5" s="20" t="s">
        <v>15</v>
      </c>
      <c r="C5" s="40" t="s">
        <v>14</v>
      </c>
      <c r="D5" s="20">
        <f>+D4/D3</f>
        <v>1.690232558139535</v>
      </c>
      <c r="E5" s="54" t="str">
        <f>+IF(D5&gt;2,"sorry", "ok")</f>
        <v>ok</v>
      </c>
      <c r="F5" s="53"/>
      <c r="G5" s="18"/>
      <c r="H5" s="52" t="s">
        <v>16</v>
      </c>
      <c r="I5" s="50">
        <v>4</v>
      </c>
      <c r="J5" s="49" t="s">
        <v>12</v>
      </c>
      <c r="K5" s="19"/>
      <c r="L5" s="40" t="s">
        <v>17</v>
      </c>
      <c r="M5" s="308" t="s">
        <v>18</v>
      </c>
      <c r="N5" s="308"/>
      <c r="O5" s="308" t="s">
        <v>18</v>
      </c>
      <c r="P5" s="308"/>
      <c r="Q5" s="180" t="s">
        <v>18</v>
      </c>
      <c r="R5" s="180" t="s">
        <v>19</v>
      </c>
      <c r="S5" s="18"/>
      <c r="T5" s="18"/>
      <c r="U5" s="18"/>
      <c r="V5" s="18"/>
      <c r="W5" s="18"/>
      <c r="X5" s="18"/>
    </row>
    <row r="6" spans="1:24" x14ac:dyDescent="0.2">
      <c r="A6" s="18"/>
      <c r="B6" s="20"/>
      <c r="C6" s="20"/>
      <c r="D6" s="20"/>
      <c r="E6" s="20"/>
      <c r="F6" s="18"/>
      <c r="G6" s="18"/>
      <c r="H6" s="52" t="s">
        <v>20</v>
      </c>
      <c r="I6" s="50">
        <v>1.5</v>
      </c>
      <c r="J6" s="49" t="s">
        <v>12</v>
      </c>
      <c r="K6" s="19"/>
      <c r="L6" s="20" t="s">
        <v>21</v>
      </c>
      <c r="M6" s="308">
        <f>+IF(N$4='Table (2)'!$C$50,'Table (2)'!$C51,IF(N$4='Table (2)'!$D$50,'Table (2)'!$D51,IF(Slab!N$4='Table (2)'!$E$50,'Table (2)'!$E51,IF(Slab!N$4='Table (2)'!$F$50,'Table (2)'!$F51,IF(Slab!N$4='Table (2)'!$G$50,'Table (2)'!$G51,IF(Slab!N$4='Table (2)'!$H$50,'Table (2)'!$H51,IF(Slab!N$4='Table (2)'!$I$50,'Table (2)'!$I51,'Table (2)'!$J51)))))))</f>
        <v>7.4999999999999997E-2</v>
      </c>
      <c r="N6" s="308"/>
      <c r="O6" s="308">
        <f>+IF(P$4='Table (2)'!$C$50,'Table (2)'!$C51,IF(P$4='Table (2)'!$D$50,'Table (2)'!$D51,IF(Slab!P$4='Table (2)'!$E$50,'Table (2)'!$E51,IF(Slab!P$4='Table (2)'!$F$50,'Table (2)'!$F51,IF(Slab!P$4='Table (2)'!$G$50,'Table (2)'!$G51,IF(Slab!P$4='Table (2)'!$H$50,'Table (2)'!$H51,IF(Slab!P$4='Table (2)'!$I$50,'Table (2)'!$I51,'Table (2)'!$J51)))))))</f>
        <v>8.4000000000000005E-2</v>
      </c>
      <c r="P6" s="308"/>
      <c r="Q6" s="180">
        <f>+IF((P$4-N$4)=0,M6,(M6+(O6-M6)*(R$4-N$4)/(P$4-N$4)))</f>
        <v>8.1848372093023258E-2</v>
      </c>
      <c r="R6" s="180">
        <f>+'Table (2)'!K51</f>
        <v>4.7E-2</v>
      </c>
      <c r="S6" s="18"/>
      <c r="T6" s="18"/>
      <c r="U6" s="18"/>
      <c r="V6" s="18"/>
      <c r="W6" s="18"/>
      <c r="X6" s="18"/>
    </row>
    <row r="7" spans="1:24" x14ac:dyDescent="0.2">
      <c r="A7" s="18"/>
      <c r="B7" s="313" t="s">
        <v>22</v>
      </c>
      <c r="C7" s="314"/>
      <c r="D7" s="50">
        <v>4</v>
      </c>
      <c r="E7" s="22"/>
      <c r="F7" s="18"/>
      <c r="G7" s="18"/>
      <c r="H7" s="20"/>
      <c r="I7" s="20">
        <f>+SUM(I4:I6)</f>
        <v>8.6750000000000007</v>
      </c>
      <c r="J7" s="20"/>
      <c r="K7" s="19"/>
      <c r="L7" s="20" t="s">
        <v>23</v>
      </c>
      <c r="M7" s="308">
        <f>+IF(N$4='Table (2)'!$C$50,'Table (2)'!$C52,IF(N$4='Table (2)'!$D$50,'Table (2)'!$D52,IF(Slab!N$4='Table (2)'!$E$50,'Table (2)'!$E52,IF(Slab!N$4='Table (2)'!$F$50,'Table (2)'!$F52,IF(Slab!N$4='Table (2)'!$G$50,'Table (2)'!$G52,IF(Slab!N$4='Table (2)'!$H$50,'Table (2)'!$H52,IF(Slab!N$4='Table (2)'!$I$50,'Table (2)'!$I52,'Table (2)'!$J52)))))))</f>
        <v>5.6000000000000001E-2</v>
      </c>
      <c r="N7" s="308"/>
      <c r="O7" s="308">
        <f>+IF(P$4='Table (2)'!$C$50,'Table (2)'!$C52,IF(P$4='Table (2)'!$D$50,'Table (2)'!$D52,IF(Slab!P$4='Table (2)'!$E$50,'Table (2)'!$E52,IF(Slab!P$4='Table (2)'!$F$50,'Table (2)'!$F52,IF(Slab!P$4='Table (2)'!$G$50,'Table (2)'!$G52,IF(Slab!P$4='Table (2)'!$H$50,'Table (2)'!$H52,IF(Slab!P$4='Table (2)'!$I$50,'Table (2)'!$I52,'Table (2)'!$J52)))))))</f>
        <v>6.3E-2</v>
      </c>
      <c r="P7" s="308"/>
      <c r="Q7" s="180">
        <f>+IF((P$4-N$4)=0,M7,(M7+(O7-M7)*(R$4-N$4)/(P$4-N$4)))</f>
        <v>6.1326511627906977E-2</v>
      </c>
      <c r="R7" s="180">
        <f>+'Table (2)'!K52</f>
        <v>3.5000000000000003E-2</v>
      </c>
      <c r="S7" s="18"/>
      <c r="T7" s="18"/>
      <c r="U7" s="18"/>
      <c r="V7" s="18"/>
      <c r="W7" s="18"/>
      <c r="X7" s="18"/>
    </row>
    <row r="8" spans="1:24" x14ac:dyDescent="0.2">
      <c r="A8" s="18"/>
      <c r="B8" s="306" t="s">
        <v>199</v>
      </c>
      <c r="C8" s="307"/>
      <c r="D8" s="50">
        <v>32</v>
      </c>
      <c r="E8" s="25"/>
      <c r="F8" s="18"/>
      <c r="G8" s="31"/>
      <c r="H8" s="308" t="s">
        <v>0</v>
      </c>
      <c r="I8" s="308"/>
      <c r="J8" s="308"/>
      <c r="K8" s="19"/>
      <c r="L8" s="20"/>
      <c r="M8" s="20"/>
      <c r="N8" s="20"/>
      <c r="O8" s="20"/>
      <c r="P8" s="20"/>
      <c r="Q8" s="20"/>
      <c r="R8" s="20"/>
      <c r="S8" s="18"/>
      <c r="T8" s="18"/>
      <c r="U8" s="18"/>
      <c r="V8" s="18"/>
      <c r="W8" s="18"/>
      <c r="X8" s="18"/>
    </row>
    <row r="9" spans="1:24" ht="12.75" customHeight="1" x14ac:dyDescent="0.2">
      <c r="A9" s="18"/>
      <c r="B9" s="40"/>
      <c r="C9" s="40" t="s">
        <v>200</v>
      </c>
      <c r="D9" s="20">
        <f>+D3*1000/D8</f>
        <v>102.4609375</v>
      </c>
      <c r="E9" s="20" t="s">
        <v>2</v>
      </c>
      <c r="F9" s="18"/>
      <c r="G9" s="18"/>
      <c r="H9" s="40" t="s">
        <v>24</v>
      </c>
      <c r="I9" s="51">
        <f>1.5*(I4+I5+I6)</f>
        <v>13.012500000000001</v>
      </c>
      <c r="J9" s="20" t="s">
        <v>12</v>
      </c>
      <c r="K9" s="19"/>
      <c r="L9" s="20" t="s">
        <v>25</v>
      </c>
      <c r="M9" s="286" t="s">
        <v>36</v>
      </c>
      <c r="N9" s="287"/>
      <c r="O9" s="286" t="s">
        <v>37</v>
      </c>
      <c r="P9" s="287"/>
      <c r="Q9" s="20"/>
      <c r="R9" s="20"/>
      <c r="S9" s="18"/>
      <c r="T9" s="18"/>
      <c r="U9" s="18"/>
      <c r="V9" s="18"/>
      <c r="W9" s="18"/>
      <c r="X9" s="18"/>
    </row>
    <row r="10" spans="1:24" ht="12.75" customHeight="1" x14ac:dyDescent="0.2">
      <c r="A10" s="18"/>
      <c r="B10" s="20"/>
      <c r="C10" s="20"/>
      <c r="D10" s="20"/>
      <c r="E10" s="20"/>
      <c r="F10" s="18"/>
      <c r="G10" s="18"/>
      <c r="H10" s="309" t="s">
        <v>194</v>
      </c>
      <c r="I10" s="309"/>
      <c r="J10" s="20">
        <f>+I9*D3/3</f>
        <v>14.221578125000001</v>
      </c>
      <c r="K10" s="19" t="s">
        <v>26</v>
      </c>
      <c r="L10" s="20" t="s">
        <v>27</v>
      </c>
      <c r="M10" s="286">
        <f>-Q6*I$9*D$3*D$3</f>
        <v>-11.449523049532033</v>
      </c>
      <c r="N10" s="287"/>
      <c r="O10" s="286">
        <f>-R6*I9*D3*D3</f>
        <v>-6.5746888981054701</v>
      </c>
      <c r="P10" s="287"/>
      <c r="Q10" s="20"/>
      <c r="R10" s="20"/>
      <c r="S10" s="18"/>
      <c r="T10" s="18"/>
      <c r="U10" s="18"/>
      <c r="V10" s="18"/>
      <c r="W10" s="18"/>
      <c r="X10" s="18"/>
    </row>
    <row r="11" spans="1:24" x14ac:dyDescent="0.2">
      <c r="A11" s="18"/>
      <c r="B11" s="308" t="s">
        <v>28</v>
      </c>
      <c r="C11" s="308"/>
      <c r="D11" s="50">
        <f>D12-15-4</f>
        <v>108</v>
      </c>
      <c r="E11" s="49" t="s">
        <v>2</v>
      </c>
      <c r="F11" s="34"/>
      <c r="G11" s="18"/>
      <c r="H11" s="20"/>
      <c r="I11" s="40" t="s">
        <v>195</v>
      </c>
      <c r="J11" s="20">
        <f>0.25*I9*D3*(2-D3/D4)</f>
        <v>15.021884323833932</v>
      </c>
      <c r="K11" s="19" t="s">
        <v>26</v>
      </c>
      <c r="L11" s="20" t="s">
        <v>23</v>
      </c>
      <c r="M11" s="286">
        <f>Q7*I$9*D$3*D$3</f>
        <v>8.578781599139063</v>
      </c>
      <c r="N11" s="287"/>
      <c r="O11" s="286">
        <f>+R7*I9*D3*D3</f>
        <v>4.896044924121095</v>
      </c>
      <c r="P11" s="287"/>
      <c r="Q11" s="20"/>
      <c r="R11" s="20"/>
      <c r="S11" s="18"/>
      <c r="T11" s="18"/>
      <c r="U11" s="18"/>
      <c r="V11" s="18"/>
      <c r="W11" s="18"/>
      <c r="X11" s="18"/>
    </row>
    <row r="12" spans="1:24" ht="12.75" customHeight="1" x14ac:dyDescent="0.2">
      <c r="A12" s="18"/>
      <c r="B12" s="18"/>
      <c r="C12" s="40" t="s">
        <v>29</v>
      </c>
      <c r="D12" s="50">
        <v>127</v>
      </c>
      <c r="E12" s="49" t="s">
        <v>2</v>
      </c>
      <c r="F12" s="34"/>
      <c r="G12" s="310" t="s">
        <v>30</v>
      </c>
      <c r="H12" s="311"/>
      <c r="I12" s="48" t="s">
        <v>31</v>
      </c>
      <c r="J12" s="48">
        <f>+SQRT(1000000*MAX(ABS(M10),ABS(M11),ABS(O10),ABS(O11))/(0.138*M13)/1000)</f>
        <v>64.407902593525847</v>
      </c>
      <c r="K12" s="48" t="s">
        <v>2</v>
      </c>
      <c r="L12" s="46" t="s">
        <v>32</v>
      </c>
      <c r="M12" s="45">
        <v>500</v>
      </c>
      <c r="N12" s="182" t="s">
        <v>33</v>
      </c>
      <c r="O12" s="18"/>
      <c r="P12" s="18"/>
      <c r="Q12" s="18"/>
      <c r="R12" s="18"/>
      <c r="S12" s="18"/>
      <c r="T12" s="18"/>
      <c r="U12" s="18"/>
      <c r="V12" s="18"/>
      <c r="W12" s="18"/>
      <c r="X12" s="18"/>
    </row>
    <row r="13" spans="1:24" x14ac:dyDescent="0.2">
      <c r="A13" s="18"/>
      <c r="B13" s="18"/>
      <c r="C13" s="18"/>
      <c r="D13" s="18"/>
      <c r="E13" s="18"/>
      <c r="F13" s="18"/>
      <c r="G13" s="44"/>
      <c r="H13" s="312" t="s">
        <v>34</v>
      </c>
      <c r="I13" s="312"/>
      <c r="J13" s="47" t="str">
        <f>IF(J12&lt;=D11,"OKAY","REVISE")</f>
        <v>OKAY</v>
      </c>
      <c r="K13" s="42"/>
      <c r="L13" s="46" t="s">
        <v>35</v>
      </c>
      <c r="M13" s="45">
        <v>20</v>
      </c>
      <c r="N13" s="48" t="s">
        <v>33</v>
      </c>
      <c r="O13" s="18"/>
      <c r="P13" s="18"/>
      <c r="Q13" s="18"/>
      <c r="R13" s="18"/>
      <c r="S13" s="18"/>
      <c r="T13" s="18"/>
      <c r="U13" s="18"/>
      <c r="V13" s="18"/>
      <c r="W13" s="18"/>
      <c r="X13" s="18"/>
    </row>
    <row r="14" spans="1:24" ht="8.4" customHeight="1" x14ac:dyDescent="0.2">
      <c r="A14" s="18"/>
      <c r="B14" s="18"/>
      <c r="C14" s="18"/>
      <c r="D14" s="18"/>
      <c r="E14" s="18"/>
      <c r="F14" s="18"/>
      <c r="G14" s="44"/>
      <c r="H14" s="44"/>
      <c r="I14" s="44"/>
      <c r="J14" s="44"/>
      <c r="K14" s="42"/>
      <c r="L14" s="41"/>
      <c r="M14" s="44"/>
      <c r="N14" s="42"/>
      <c r="O14" s="18"/>
      <c r="P14" s="18"/>
      <c r="Q14" s="18"/>
      <c r="R14" s="18"/>
      <c r="S14" s="18"/>
      <c r="T14" s="18"/>
      <c r="U14" s="18"/>
      <c r="V14" s="18"/>
      <c r="W14" s="18"/>
      <c r="X14" s="18"/>
    </row>
    <row r="15" spans="1:24" ht="12" customHeight="1" x14ac:dyDescent="0.2">
      <c r="A15" s="18"/>
      <c r="B15" s="18" t="s">
        <v>38</v>
      </c>
      <c r="C15" s="18"/>
      <c r="D15" s="18"/>
      <c r="E15" s="18"/>
      <c r="F15" s="18"/>
      <c r="G15" s="44"/>
      <c r="H15" s="44"/>
      <c r="I15" s="44"/>
      <c r="J15" s="43"/>
      <c r="K15" s="42"/>
      <c r="L15" s="41"/>
      <c r="M15" s="18"/>
      <c r="N15" s="42"/>
      <c r="O15" s="18"/>
      <c r="P15" s="18"/>
      <c r="Q15" s="18"/>
      <c r="R15" s="18"/>
      <c r="S15" s="18"/>
      <c r="T15" s="18"/>
      <c r="U15" s="18"/>
      <c r="V15" s="18"/>
      <c r="W15" s="18"/>
      <c r="X15" s="18"/>
    </row>
    <row r="16" spans="1:24" ht="11.4" customHeight="1" x14ac:dyDescent="0.2">
      <c r="A16" s="18"/>
      <c r="B16" s="294" t="s">
        <v>196</v>
      </c>
      <c r="C16" s="294"/>
      <c r="D16" s="294"/>
      <c r="E16" s="294"/>
      <c r="F16" s="294"/>
      <c r="G16" s="44"/>
      <c r="H16" s="44"/>
      <c r="I16" s="44"/>
      <c r="J16" s="43"/>
      <c r="K16" s="42"/>
      <c r="L16" s="41"/>
      <c r="M16" s="18"/>
      <c r="N16" s="42"/>
      <c r="O16" s="18"/>
      <c r="P16" s="18"/>
      <c r="Q16" s="18"/>
      <c r="R16" s="18"/>
      <c r="S16" s="18"/>
      <c r="T16" s="18"/>
      <c r="U16" s="18"/>
      <c r="V16" s="18"/>
      <c r="W16" s="18"/>
      <c r="X16" s="18"/>
    </row>
    <row r="17" spans="1:24" ht="7.8" customHeight="1" x14ac:dyDescent="0.2">
      <c r="A17" s="18"/>
      <c r="B17" s="295" t="s">
        <v>39</v>
      </c>
      <c r="C17" s="292"/>
      <c r="D17" s="296"/>
      <c r="E17" s="291"/>
      <c r="F17" s="291"/>
      <c r="G17" s="291"/>
      <c r="H17" s="295" t="s">
        <v>40</v>
      </c>
      <c r="I17" s="292"/>
      <c r="J17" s="292"/>
      <c r="K17" s="296"/>
      <c r="L17" s="41"/>
      <c r="M17" s="18"/>
      <c r="N17" s="42"/>
      <c r="O17" s="18"/>
      <c r="P17" s="18"/>
      <c r="Q17" s="18"/>
      <c r="R17" s="18"/>
      <c r="S17" s="18"/>
      <c r="T17" s="18"/>
      <c r="U17" s="18"/>
      <c r="V17" s="18"/>
      <c r="W17" s="18"/>
      <c r="X17" s="18"/>
    </row>
    <row r="18" spans="1:24" ht="7.8" customHeight="1" x14ac:dyDescent="0.2">
      <c r="A18" s="18"/>
      <c r="B18" s="297"/>
      <c r="C18" s="298"/>
      <c r="D18" s="299"/>
      <c r="E18" s="18"/>
      <c r="F18" s="18"/>
      <c r="G18" s="44"/>
      <c r="H18" s="297"/>
      <c r="I18" s="298"/>
      <c r="J18" s="298"/>
      <c r="K18" s="299"/>
      <c r="L18" s="41"/>
      <c r="M18" s="18"/>
      <c r="N18" s="42"/>
      <c r="O18" s="18"/>
      <c r="P18" s="18"/>
      <c r="Q18" s="18"/>
      <c r="R18" s="18"/>
      <c r="S18" s="18"/>
      <c r="T18" s="18"/>
      <c r="U18" s="18"/>
      <c r="V18" s="18"/>
      <c r="W18" s="18"/>
      <c r="X18" s="18"/>
    </row>
    <row r="19" spans="1:24" ht="12.75" customHeight="1" x14ac:dyDescent="0.2">
      <c r="A19" s="18"/>
      <c r="B19" s="40" t="s">
        <v>41</v>
      </c>
      <c r="C19" s="20">
        <f>+J19</f>
        <v>108</v>
      </c>
      <c r="D19" s="20" t="s">
        <v>2</v>
      </c>
      <c r="E19" s="178"/>
      <c r="F19" s="178"/>
      <c r="G19" s="178"/>
      <c r="H19" s="300" t="s">
        <v>41</v>
      </c>
      <c r="I19" s="301"/>
      <c r="J19" s="22">
        <f>+D11</f>
        <v>108</v>
      </c>
      <c r="K19" s="39" t="s">
        <v>2</v>
      </c>
      <c r="L19" s="18"/>
      <c r="M19" s="18"/>
      <c r="N19" s="42"/>
      <c r="O19" s="18"/>
      <c r="P19" s="18"/>
      <c r="Q19" s="18"/>
      <c r="R19" s="18"/>
      <c r="S19" s="18"/>
      <c r="T19" s="18"/>
      <c r="U19" s="18"/>
      <c r="V19" s="18"/>
      <c r="W19" s="18"/>
      <c r="X19" s="18"/>
    </row>
    <row r="20" spans="1:24" x14ac:dyDescent="0.2">
      <c r="A20" s="18"/>
      <c r="B20" s="38" t="s">
        <v>42</v>
      </c>
      <c r="C20" s="18"/>
      <c r="D20" s="37"/>
      <c r="E20" s="18"/>
      <c r="F20" s="18"/>
      <c r="G20" s="44"/>
      <c r="H20" s="286" t="s">
        <v>43</v>
      </c>
      <c r="I20" s="291"/>
      <c r="J20" s="291"/>
      <c r="K20" s="291"/>
      <c r="L20" s="291"/>
      <c r="M20" s="291"/>
      <c r="N20" s="291"/>
      <c r="O20" s="287"/>
      <c r="P20" s="18"/>
      <c r="Q20" s="18"/>
      <c r="R20" s="18"/>
      <c r="S20" s="18"/>
      <c r="T20" s="18"/>
      <c r="U20" s="18"/>
      <c r="V20" s="18"/>
      <c r="W20" s="18"/>
      <c r="X20" s="18"/>
    </row>
    <row r="21" spans="1:24" x14ac:dyDescent="0.2">
      <c r="A21" s="18"/>
      <c r="B21" s="33" t="s">
        <v>44</v>
      </c>
      <c r="C21" s="18"/>
      <c r="D21" s="36"/>
      <c r="E21" s="18"/>
      <c r="F21" s="18"/>
      <c r="G21" s="18"/>
      <c r="H21" s="302" t="s">
        <v>45</v>
      </c>
      <c r="I21" s="303"/>
      <c r="J21" s="25">
        <f>+M11</f>
        <v>8.578781599139063</v>
      </c>
      <c r="K21" s="35" t="s">
        <v>46</v>
      </c>
      <c r="L21" s="18"/>
      <c r="M21" s="18"/>
      <c r="N21" s="18"/>
      <c r="O21" s="18"/>
      <c r="P21" s="18"/>
      <c r="Q21" s="18"/>
      <c r="R21" s="18"/>
      <c r="S21" s="18"/>
      <c r="T21" s="18"/>
      <c r="U21" s="18"/>
      <c r="V21" s="18"/>
      <c r="W21" s="18"/>
      <c r="X21" s="18"/>
    </row>
    <row r="22" spans="1:24" ht="12" customHeight="1" x14ac:dyDescent="0.2">
      <c r="A22" s="18"/>
      <c r="B22" s="304" t="s">
        <v>45</v>
      </c>
      <c r="C22" s="305"/>
      <c r="D22" s="20">
        <f>+ABS(M10)</f>
        <v>11.449523049532033</v>
      </c>
      <c r="E22" s="179" t="s">
        <v>46</v>
      </c>
      <c r="F22" s="178"/>
      <c r="G22" s="18"/>
      <c r="H22" s="304" t="s">
        <v>3</v>
      </c>
      <c r="I22" s="305"/>
      <c r="J22" s="22">
        <f>+(-(-0.87*M12*J19)-SQRT((-0.87*M12*J19)^2-(4*J21*1000000*(0.87*M12^2/(M13*1000)))))/(2*(0.87*M12^2/(M13*1000)))</f>
        <v>191.05446504495788</v>
      </c>
      <c r="K22" s="32" t="s">
        <v>47</v>
      </c>
      <c r="L22" s="34"/>
      <c r="M22" s="18"/>
      <c r="N22" s="18"/>
      <c r="O22" s="18"/>
      <c r="P22" s="18"/>
      <c r="Q22" s="18"/>
      <c r="R22" s="18"/>
      <c r="S22" s="18"/>
      <c r="T22" s="18"/>
      <c r="U22" s="18"/>
      <c r="V22" s="18"/>
      <c r="W22" s="18"/>
      <c r="X22" s="18"/>
    </row>
    <row r="23" spans="1:24" ht="12.75" customHeight="1" x14ac:dyDescent="0.2">
      <c r="A23" s="18"/>
      <c r="B23" s="33"/>
      <c r="C23" s="25" t="s">
        <v>3</v>
      </c>
      <c r="D23" s="22">
        <f>+(-(-0.87*M12*C19)-SQRT((-0.87*M12*C19)^2-(4*D22*1000000*(0.87*M12^2/(M13*1000)))))/(2*(0.87*M12^2/(M13*1000)))</f>
        <v>259.27111499406493</v>
      </c>
      <c r="E23" s="32" t="s">
        <v>47</v>
      </c>
      <c r="F23" s="178"/>
      <c r="G23" s="18"/>
      <c r="H23" s="177" t="s">
        <v>48</v>
      </c>
      <c r="I23" s="28" t="s">
        <v>3</v>
      </c>
      <c r="J23" s="27">
        <f>+J22</f>
        <v>191.05446504495788</v>
      </c>
      <c r="K23" s="179" t="s">
        <v>47</v>
      </c>
      <c r="L23" s="31"/>
      <c r="M23" s="18"/>
      <c r="N23" s="18"/>
      <c r="O23" s="31"/>
      <c r="P23" s="18"/>
      <c r="Q23" s="18"/>
      <c r="R23" s="18"/>
      <c r="S23" s="18"/>
      <c r="T23" s="18"/>
      <c r="U23" s="18"/>
      <c r="V23" s="18"/>
      <c r="W23" s="18"/>
      <c r="X23" s="18"/>
    </row>
    <row r="24" spans="1:24" x14ac:dyDescent="0.2">
      <c r="A24" s="18"/>
      <c r="B24" s="177" t="s">
        <v>48</v>
      </c>
      <c r="C24" s="28" t="s">
        <v>3</v>
      </c>
      <c r="D24" s="27">
        <f>+D23</f>
        <v>259.27111499406493</v>
      </c>
      <c r="E24" s="179" t="s">
        <v>47</v>
      </c>
      <c r="F24" s="31"/>
      <c r="G24" s="18"/>
      <c r="H24" s="295" t="s">
        <v>49</v>
      </c>
      <c r="I24" s="296"/>
      <c r="J24" s="22">
        <f>+D3*1000/J19</f>
        <v>30.358796296296298</v>
      </c>
      <c r="K24" s="30"/>
      <c r="L24" s="18"/>
      <c r="M24" s="18"/>
      <c r="N24" s="18"/>
      <c r="O24" s="18"/>
      <c r="P24" s="18"/>
      <c r="Q24" s="18"/>
      <c r="R24" s="18"/>
      <c r="S24" s="18"/>
      <c r="T24" s="18"/>
      <c r="U24" s="18"/>
      <c r="V24" s="18"/>
      <c r="W24" s="18"/>
      <c r="X24" s="18"/>
    </row>
    <row r="25" spans="1:24" x14ac:dyDescent="0.2">
      <c r="A25" s="18"/>
      <c r="B25" s="18"/>
      <c r="C25" s="18"/>
      <c r="D25" s="18"/>
      <c r="E25" s="18"/>
      <c r="F25" s="18"/>
      <c r="G25" s="18"/>
      <c r="H25" s="286" t="s">
        <v>50</v>
      </c>
      <c r="I25" s="291"/>
      <c r="J25" s="19">
        <f>+D8</f>
        <v>32</v>
      </c>
      <c r="K25" s="29" t="s">
        <v>51</v>
      </c>
      <c r="L25" s="28"/>
      <c r="M25" s="28"/>
      <c r="N25" s="18"/>
      <c r="O25" s="18"/>
      <c r="P25" s="18"/>
      <c r="Q25" s="18"/>
      <c r="R25" s="18"/>
      <c r="S25" s="18"/>
      <c r="T25" s="18"/>
      <c r="U25" s="18"/>
      <c r="V25" s="18"/>
      <c r="W25" s="18"/>
      <c r="X25" s="18"/>
    </row>
    <row r="26" spans="1:24" x14ac:dyDescent="0.2">
      <c r="A26" s="18"/>
      <c r="B26" s="19" t="s">
        <v>52</v>
      </c>
      <c r="C26" s="28"/>
      <c r="D26" s="18"/>
      <c r="E26" s="18"/>
      <c r="F26" s="18"/>
      <c r="G26" s="18"/>
      <c r="H26" s="286" t="s">
        <v>53</v>
      </c>
      <c r="I26" s="287"/>
      <c r="J26" s="20">
        <f>+J24/J25</f>
        <v>0.9487123842592593</v>
      </c>
      <c r="K26" s="288" t="str">
        <f>+IF(J26&lt;=2,"Changing steel can make safe against deflection","depth should be revised")</f>
        <v>Changing steel can make safe against deflection</v>
      </c>
      <c r="L26" s="289"/>
      <c r="M26" s="289"/>
      <c r="N26" s="289"/>
      <c r="O26" s="289"/>
      <c r="P26" s="289"/>
      <c r="Q26" s="290"/>
      <c r="R26" s="18"/>
      <c r="S26" s="18"/>
      <c r="T26" s="18"/>
      <c r="U26" s="18"/>
      <c r="V26" s="18"/>
      <c r="W26" s="18"/>
      <c r="X26" s="18"/>
    </row>
    <row r="27" spans="1:24" x14ac:dyDescent="0.2">
      <c r="A27" s="18"/>
      <c r="B27" s="56">
        <v>8</v>
      </c>
      <c r="C27" s="179" t="s">
        <v>54</v>
      </c>
      <c r="D27" s="56">
        <v>300</v>
      </c>
      <c r="E27" s="20" t="s">
        <v>55</v>
      </c>
      <c r="F27" s="28"/>
      <c r="G27" s="18"/>
      <c r="H27" s="20" t="s">
        <v>57</v>
      </c>
      <c r="I27" s="18"/>
      <c r="J27" s="18"/>
      <c r="K27" s="18"/>
      <c r="L27" s="18"/>
      <c r="M27" s="18"/>
      <c r="N27" s="18"/>
      <c r="O27" s="18"/>
      <c r="P27" s="18"/>
      <c r="Q27" s="18"/>
      <c r="R27" s="18"/>
      <c r="S27" s="18"/>
      <c r="T27" s="18"/>
      <c r="U27" s="18"/>
      <c r="V27" s="18"/>
      <c r="W27" s="18"/>
      <c r="X27" s="18"/>
    </row>
    <row r="28" spans="1:24" x14ac:dyDescent="0.2">
      <c r="A28" s="18"/>
      <c r="B28" s="238">
        <v>10</v>
      </c>
      <c r="C28" s="237" t="s">
        <v>54</v>
      </c>
      <c r="D28" s="56">
        <v>300</v>
      </c>
      <c r="E28" s="20" t="s">
        <v>55</v>
      </c>
      <c r="F28" s="37"/>
      <c r="G28" s="18"/>
      <c r="H28" s="286"/>
      <c r="I28" s="287"/>
      <c r="J28" s="57">
        <v>8</v>
      </c>
      <c r="K28" s="179" t="s">
        <v>54</v>
      </c>
      <c r="L28" s="56">
        <v>300</v>
      </c>
      <c r="M28" s="286" t="s">
        <v>55</v>
      </c>
      <c r="N28" s="291"/>
      <c r="O28" s="287"/>
      <c r="P28" s="18"/>
      <c r="Q28" s="18"/>
      <c r="R28" s="18"/>
      <c r="S28" s="18"/>
      <c r="T28" s="18"/>
      <c r="U28" s="18"/>
      <c r="V28" s="18"/>
      <c r="W28" s="18"/>
      <c r="X28" s="18"/>
    </row>
    <row r="29" spans="1:24" ht="10.8" customHeight="1" x14ac:dyDescent="0.2">
      <c r="A29" s="18"/>
      <c r="B29" s="286" t="s">
        <v>56</v>
      </c>
      <c r="C29" s="287"/>
      <c r="D29" s="27">
        <f>0.25*3.14*(1000/D27*B27^2+1000/D28*B28^2)</f>
        <v>429.13333333333338</v>
      </c>
      <c r="E29" s="280" t="s">
        <v>193</v>
      </c>
      <c r="F29" s="282"/>
      <c r="G29" s="18"/>
      <c r="H29" s="286"/>
      <c r="I29" s="287"/>
      <c r="J29" s="57">
        <v>10</v>
      </c>
      <c r="K29" s="179" t="s">
        <v>54</v>
      </c>
      <c r="L29" s="56">
        <v>300</v>
      </c>
      <c r="M29" s="286" t="s">
        <v>55</v>
      </c>
      <c r="N29" s="291"/>
      <c r="O29" s="287"/>
      <c r="P29" s="18"/>
      <c r="Q29" s="18"/>
      <c r="R29" s="18"/>
      <c r="S29" s="18"/>
      <c r="T29" s="18"/>
      <c r="U29" s="18"/>
      <c r="V29" s="18"/>
      <c r="W29" s="18"/>
      <c r="X29" s="18"/>
    </row>
    <row r="30" spans="1:24" ht="10.199999999999999" customHeight="1" x14ac:dyDescent="0.2">
      <c r="A30" s="18"/>
      <c r="B30" s="292" t="s">
        <v>58</v>
      </c>
      <c r="C30" s="292"/>
      <c r="D30" s="26">
        <f>+(D29*100/(1000*C19))</f>
        <v>0.39734567901234569</v>
      </c>
      <c r="E30" s="283"/>
      <c r="F30" s="285"/>
      <c r="G30" s="25"/>
      <c r="H30" s="20" t="s">
        <v>56</v>
      </c>
      <c r="I30" s="20"/>
      <c r="J30" s="27">
        <f>0.25*3.14*(1000/L28*J28^2+1000/L29*J29^2)</f>
        <v>429.13333333333338</v>
      </c>
      <c r="K30" s="24" t="s">
        <v>193</v>
      </c>
      <c r="L30" s="286" t="s">
        <v>58</v>
      </c>
      <c r="M30" s="291"/>
      <c r="N30" s="287"/>
      <c r="O30" s="20">
        <f>+J30*100/(1000*J19)</f>
        <v>0.39734567901234569</v>
      </c>
      <c r="P30" s="18"/>
      <c r="Q30" s="18"/>
      <c r="R30" s="18"/>
      <c r="S30" s="18"/>
      <c r="T30" s="18"/>
      <c r="U30" s="18"/>
      <c r="V30" s="18"/>
      <c r="W30" s="18"/>
      <c r="X30" s="18"/>
    </row>
    <row r="31" spans="1:24" ht="12.75" customHeight="1" x14ac:dyDescent="0.2">
      <c r="A31" s="18"/>
      <c r="B31" s="18"/>
      <c r="C31" s="18"/>
      <c r="D31" s="18"/>
      <c r="E31" s="18"/>
      <c r="F31" s="18"/>
      <c r="G31" s="18"/>
      <c r="H31" s="20"/>
      <c r="I31" s="23" t="s">
        <v>59</v>
      </c>
      <c r="J31" s="22">
        <f>0.58*M12*J23/J30</f>
        <v>129.11090926605044</v>
      </c>
      <c r="K31" s="21"/>
      <c r="L31" s="280" t="str">
        <f>+IF(K32&lt;J26,"Revise",IF(K30="Revise","Revise","Ok and Finished"))</f>
        <v>Ok and Finished</v>
      </c>
      <c r="M31" s="281"/>
      <c r="N31" s="281"/>
      <c r="O31" s="282"/>
      <c r="P31" s="18"/>
      <c r="Q31" s="18"/>
      <c r="R31" s="18"/>
      <c r="S31" s="18"/>
      <c r="T31" s="18"/>
      <c r="U31" s="18"/>
      <c r="V31" s="18"/>
      <c r="W31" s="18"/>
      <c r="X31" s="18"/>
    </row>
    <row r="32" spans="1:24" x14ac:dyDescent="0.2">
      <c r="A32" s="18"/>
      <c r="B32" s="18"/>
      <c r="C32" s="18"/>
      <c r="D32" s="18"/>
      <c r="E32" s="18"/>
      <c r="F32" s="18"/>
      <c r="G32" s="18"/>
      <c r="H32" s="20" t="s">
        <v>60</v>
      </c>
      <c r="I32" s="20"/>
      <c r="J32" s="20"/>
      <c r="K32" s="19">
        <f>+IF(1/(0.225+0.00322*J31-0.625*LOG(1/O30))&gt;2,2,(1/(0.225+0.00322*J31-0.625*LOG(1/O30))))</f>
        <v>2</v>
      </c>
      <c r="L32" s="283"/>
      <c r="M32" s="284"/>
      <c r="N32" s="284"/>
      <c r="O32" s="285"/>
      <c r="P32" s="18"/>
      <c r="Q32" s="18"/>
      <c r="R32" s="18"/>
      <c r="S32" s="18"/>
      <c r="T32" s="18"/>
      <c r="U32" s="18"/>
      <c r="V32" s="18"/>
      <c r="W32" s="18"/>
      <c r="X32" s="18"/>
    </row>
    <row r="33" spans="1:52" ht="8.4" customHeight="1" x14ac:dyDescent="0.2">
      <c r="A33" s="18"/>
      <c r="B33" s="293" t="s">
        <v>197</v>
      </c>
      <c r="C33" s="293"/>
      <c r="D33" s="293"/>
      <c r="E33" s="293"/>
      <c r="F33" s="293"/>
      <c r="G33" s="18"/>
      <c r="H33" s="18"/>
      <c r="I33" s="18"/>
      <c r="J33" s="18"/>
      <c r="K33" s="18"/>
      <c r="L33" s="18"/>
      <c r="M33" s="18"/>
      <c r="N33" s="18"/>
      <c r="O33" s="18"/>
      <c r="P33" s="18"/>
      <c r="Q33" s="18"/>
      <c r="R33" s="18"/>
      <c r="S33" s="18"/>
      <c r="T33" s="18"/>
      <c r="U33" s="18"/>
      <c r="V33" s="18"/>
      <c r="W33" s="18"/>
      <c r="X33" s="18"/>
    </row>
    <row r="34" spans="1:52" x14ac:dyDescent="0.2">
      <c r="A34" s="18"/>
      <c r="B34" s="294"/>
      <c r="C34" s="294"/>
      <c r="D34" s="294"/>
      <c r="E34" s="294"/>
      <c r="F34" s="294"/>
      <c r="G34" s="18"/>
      <c r="H34" s="18"/>
      <c r="I34" s="18"/>
      <c r="J34" s="18"/>
      <c r="K34" s="18"/>
      <c r="L34" s="18"/>
      <c r="M34" s="18"/>
      <c r="N34" s="18"/>
      <c r="O34" s="18"/>
      <c r="P34" s="18"/>
      <c r="Q34" s="18"/>
      <c r="R34" s="18"/>
      <c r="S34" s="18"/>
      <c r="T34" s="18"/>
      <c r="U34" s="18"/>
      <c r="V34" s="18"/>
      <c r="W34" s="18"/>
      <c r="X34" s="18"/>
    </row>
    <row r="35" spans="1:52" x14ac:dyDescent="0.2">
      <c r="A35" s="18"/>
      <c r="B35" s="295" t="s">
        <v>39</v>
      </c>
      <c r="C35" s="292"/>
      <c r="D35" s="296"/>
      <c r="E35" s="291"/>
      <c r="F35" s="291"/>
      <c r="G35" s="291"/>
      <c r="H35" s="295" t="s">
        <v>40</v>
      </c>
      <c r="I35" s="292"/>
      <c r="J35" s="292"/>
      <c r="K35" s="296"/>
      <c r="L35" s="41"/>
      <c r="M35" s="18"/>
      <c r="N35" s="42"/>
      <c r="O35" s="18"/>
      <c r="P35" s="18"/>
      <c r="Q35" s="18"/>
      <c r="R35" s="18"/>
      <c r="S35" s="18"/>
      <c r="T35" s="18"/>
      <c r="U35" s="18"/>
      <c r="V35" s="18"/>
      <c r="W35" s="18"/>
      <c r="X35" s="18"/>
    </row>
    <row r="36" spans="1:52" x14ac:dyDescent="0.2">
      <c r="A36" s="18"/>
      <c r="B36" s="297"/>
      <c r="C36" s="298"/>
      <c r="D36" s="299"/>
      <c r="E36" s="18"/>
      <c r="F36" s="18"/>
      <c r="G36" s="44"/>
      <c r="H36" s="297"/>
      <c r="I36" s="298"/>
      <c r="J36" s="298"/>
      <c r="K36" s="299"/>
      <c r="L36" s="41"/>
      <c r="M36" s="18"/>
      <c r="N36" s="42"/>
      <c r="O36" s="18"/>
      <c r="P36" s="18"/>
      <c r="Q36" s="18"/>
      <c r="R36" s="18"/>
      <c r="S36" s="18"/>
      <c r="T36" s="18"/>
      <c r="U36" s="18"/>
      <c r="V36" s="18"/>
      <c r="W36" s="18"/>
      <c r="X36" s="18"/>
    </row>
    <row r="37" spans="1:52" x14ac:dyDescent="0.2">
      <c r="A37" s="18"/>
      <c r="B37" s="40" t="s">
        <v>41</v>
      </c>
      <c r="C37" s="20">
        <f>+J37</f>
        <v>99</v>
      </c>
      <c r="D37" s="20" t="s">
        <v>2</v>
      </c>
      <c r="E37" s="178"/>
      <c r="F37" s="178"/>
      <c r="G37" s="178"/>
      <c r="H37" s="300" t="s">
        <v>41</v>
      </c>
      <c r="I37" s="301"/>
      <c r="J37" s="22">
        <f>+J19-5-4</f>
        <v>99</v>
      </c>
      <c r="K37" s="39" t="s">
        <v>2</v>
      </c>
      <c r="L37" s="18"/>
      <c r="M37" s="18"/>
      <c r="N37" s="42"/>
      <c r="O37" s="18"/>
      <c r="P37" s="18"/>
      <c r="Q37" s="18"/>
      <c r="R37" s="18"/>
      <c r="S37" s="18"/>
      <c r="T37" s="18"/>
      <c r="U37" s="18"/>
      <c r="V37" s="18"/>
      <c r="W37" s="18"/>
      <c r="X37" s="18"/>
    </row>
    <row r="38" spans="1:52" x14ac:dyDescent="0.2">
      <c r="A38" s="18"/>
      <c r="B38" s="38" t="s">
        <v>42</v>
      </c>
      <c r="C38" s="18"/>
      <c r="D38" s="37"/>
      <c r="E38" s="18"/>
      <c r="F38" s="18"/>
      <c r="G38" s="44"/>
      <c r="H38" s="286" t="s">
        <v>43</v>
      </c>
      <c r="I38" s="291"/>
      <c r="J38" s="291"/>
      <c r="K38" s="291"/>
      <c r="L38" s="291"/>
      <c r="M38" s="291"/>
      <c r="N38" s="291"/>
      <c r="O38" s="287"/>
      <c r="P38" s="18"/>
      <c r="Q38" s="18"/>
      <c r="R38" s="18"/>
      <c r="S38" s="18"/>
      <c r="T38" s="18"/>
      <c r="U38" s="18"/>
      <c r="V38" s="18"/>
      <c r="W38" s="18"/>
      <c r="X38" s="18"/>
    </row>
    <row r="39" spans="1:52" x14ac:dyDescent="0.2">
      <c r="A39" s="18"/>
      <c r="B39" s="33" t="s">
        <v>44</v>
      </c>
      <c r="C39" s="18"/>
      <c r="D39" s="36"/>
      <c r="E39" s="18"/>
      <c r="F39" s="18"/>
      <c r="G39" s="18"/>
      <c r="H39" s="302" t="s">
        <v>45</v>
      </c>
      <c r="I39" s="303"/>
      <c r="J39" s="25">
        <f>+O11</f>
        <v>4.896044924121095</v>
      </c>
      <c r="K39" s="35" t="s">
        <v>46</v>
      </c>
      <c r="L39" s="18"/>
      <c r="M39" s="18"/>
      <c r="N39" s="18"/>
      <c r="O39" s="18"/>
      <c r="P39" s="18"/>
      <c r="Q39" s="18"/>
      <c r="R39" s="18"/>
      <c r="S39" s="18"/>
      <c r="T39" s="18"/>
      <c r="U39" s="18"/>
      <c r="V39" s="18"/>
      <c r="W39" s="18"/>
      <c r="X39" s="18"/>
    </row>
    <row r="40" spans="1:52" x14ac:dyDescent="0.2">
      <c r="A40" s="18"/>
      <c r="B40" s="304" t="s">
        <v>45</v>
      </c>
      <c r="C40" s="305"/>
      <c r="D40" s="20">
        <f>+O10</f>
        <v>-6.5746888981054701</v>
      </c>
      <c r="E40" s="179" t="s">
        <v>46</v>
      </c>
      <c r="F40" s="178"/>
      <c r="G40" s="18"/>
      <c r="H40" s="304" t="s">
        <v>3</v>
      </c>
      <c r="I40" s="305"/>
      <c r="J40" s="22">
        <f>+(-(-0.87*M12*J37)-SQRT((-0.87*M12*J37)^2-(4*J39*1000000*(0.87*M12^2/(M13*1000)))))/(2*(0.87*M12^2/(M13*1000)))</f>
        <v>117.15567679566648</v>
      </c>
      <c r="K40" s="32" t="s">
        <v>47</v>
      </c>
      <c r="L40" s="34"/>
      <c r="M40" s="18"/>
      <c r="N40" s="18"/>
      <c r="O40" s="18"/>
      <c r="P40" s="18"/>
      <c r="Q40" s="18"/>
      <c r="R40" s="18"/>
      <c r="S40" s="18"/>
      <c r="T40" s="18"/>
      <c r="U40" s="18"/>
      <c r="V40" s="18"/>
      <c r="W40" s="18"/>
      <c r="X40" s="18"/>
    </row>
    <row r="41" spans="1:52" x14ac:dyDescent="0.2">
      <c r="A41" s="18"/>
      <c r="B41" s="33"/>
      <c r="C41" s="25" t="s">
        <v>3</v>
      </c>
      <c r="D41" s="22">
        <f>+(-(-0.87*M12*C37)-SQRT((-0.87*M12*C37)^2-(4*D40*1000000*(0.87*M12^2/(M13*1000)))))/(2*(0.87*M12^2/(M13*1000)))</f>
        <v>-147.19747416140549</v>
      </c>
      <c r="E41" s="32" t="s">
        <v>47</v>
      </c>
      <c r="F41" s="178"/>
      <c r="G41" s="18"/>
      <c r="H41" s="177" t="s">
        <v>48</v>
      </c>
      <c r="I41" s="28" t="s">
        <v>3</v>
      </c>
      <c r="J41" s="27">
        <f>+J40</f>
        <v>117.15567679566648</v>
      </c>
      <c r="K41" s="179" t="s">
        <v>47</v>
      </c>
      <c r="L41" s="31"/>
      <c r="M41" s="18"/>
      <c r="N41" s="18"/>
      <c r="O41" s="18"/>
      <c r="P41" s="18"/>
      <c r="Q41" s="18"/>
      <c r="R41" s="18"/>
      <c r="S41" s="18"/>
      <c r="T41" s="18"/>
      <c r="U41" s="18"/>
      <c r="V41" s="18"/>
      <c r="W41" s="18"/>
      <c r="X41" s="18"/>
    </row>
    <row r="42" spans="1:52" x14ac:dyDescent="0.2">
      <c r="A42" s="18"/>
      <c r="B42" s="177" t="s">
        <v>48</v>
      </c>
      <c r="C42" s="28" t="s">
        <v>3</v>
      </c>
      <c r="D42" s="27">
        <f>+D41</f>
        <v>-147.19747416140549</v>
      </c>
      <c r="E42" s="179" t="s">
        <v>47</v>
      </c>
      <c r="F42" s="178"/>
      <c r="G42" s="18"/>
      <c r="H42" s="295" t="s">
        <v>49</v>
      </c>
      <c r="I42" s="296"/>
      <c r="J42" s="22">
        <f>+D3*1000/J37</f>
        <v>33.118686868686872</v>
      </c>
      <c r="K42" s="30"/>
      <c r="L42" s="18"/>
      <c r="M42" s="18"/>
      <c r="N42" s="18"/>
      <c r="O42" s="18"/>
      <c r="P42" s="18"/>
      <c r="Q42" s="18"/>
      <c r="R42" s="18"/>
      <c r="S42" s="18"/>
      <c r="T42" s="18"/>
      <c r="U42" s="18"/>
      <c r="V42" s="18"/>
      <c r="W42" s="18"/>
      <c r="X42" s="18"/>
      <c r="Y42" s="16">
        <f>125/25</f>
        <v>5</v>
      </c>
    </row>
    <row r="43" spans="1:52" x14ac:dyDescent="0.2">
      <c r="A43" s="18"/>
      <c r="B43" s="18"/>
      <c r="C43" s="18"/>
      <c r="D43" s="18"/>
      <c r="E43" s="18"/>
      <c r="F43" s="18"/>
      <c r="G43" s="18"/>
      <c r="H43" s="286" t="s">
        <v>50</v>
      </c>
      <c r="I43" s="291"/>
      <c r="J43" s="19">
        <f>+D8</f>
        <v>32</v>
      </c>
      <c r="K43" s="29" t="s">
        <v>51</v>
      </c>
      <c r="L43" s="28"/>
      <c r="M43" s="28"/>
      <c r="N43" s="18"/>
      <c r="O43" s="18"/>
      <c r="P43" s="18"/>
      <c r="Q43" s="18"/>
      <c r="R43" s="18"/>
      <c r="S43" s="18"/>
      <c r="T43" s="18"/>
      <c r="U43" s="18"/>
      <c r="V43" s="18"/>
      <c r="W43" s="18"/>
      <c r="X43" s="18"/>
    </row>
    <row r="44" spans="1:52" x14ac:dyDescent="0.2">
      <c r="A44" s="18"/>
      <c r="B44" s="19" t="s">
        <v>52</v>
      </c>
      <c r="C44" s="28"/>
      <c r="D44" s="18"/>
      <c r="E44" s="18"/>
      <c r="F44" s="18"/>
      <c r="G44" s="18"/>
      <c r="H44" s="286" t="s">
        <v>53</v>
      </c>
      <c r="I44" s="287"/>
      <c r="J44" s="20">
        <f>+J42/J43</f>
        <v>1.0349589646464648</v>
      </c>
      <c r="K44" s="288" t="str">
        <f>+IF(J44&lt;=2,"Changing steel can make safe against deflection","depth should be revised")</f>
        <v>Changing steel can make safe against deflection</v>
      </c>
      <c r="L44" s="289"/>
      <c r="M44" s="289"/>
      <c r="N44" s="289"/>
      <c r="O44" s="289"/>
      <c r="P44" s="289"/>
      <c r="Q44" s="290"/>
      <c r="R44" s="18"/>
      <c r="S44" s="18"/>
      <c r="T44" s="18"/>
      <c r="U44" s="18"/>
      <c r="V44" s="18"/>
      <c r="W44" s="18"/>
      <c r="X44" s="18"/>
    </row>
    <row r="45" spans="1:52" x14ac:dyDescent="0.2">
      <c r="A45" s="18"/>
      <c r="B45" s="56">
        <v>8</v>
      </c>
      <c r="C45" s="179" t="s">
        <v>54</v>
      </c>
      <c r="D45" s="56">
        <v>300</v>
      </c>
      <c r="E45" s="20" t="s">
        <v>55</v>
      </c>
      <c r="F45" s="28"/>
      <c r="G45" s="18"/>
      <c r="H45" s="20" t="s">
        <v>57</v>
      </c>
      <c r="I45" s="18"/>
      <c r="J45" s="18"/>
      <c r="K45" s="18"/>
      <c r="L45" s="18"/>
      <c r="M45" s="18"/>
      <c r="N45" s="18"/>
      <c r="O45" s="18"/>
      <c r="P45" s="18"/>
      <c r="Q45" s="18"/>
      <c r="R45" s="18"/>
      <c r="S45" s="18"/>
      <c r="T45" s="18"/>
      <c r="U45" s="18"/>
      <c r="V45" s="18"/>
      <c r="W45" s="18"/>
      <c r="X45" s="18"/>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row>
    <row r="46" spans="1:52" x14ac:dyDescent="0.2">
      <c r="A46" s="18"/>
      <c r="B46" s="238">
        <v>10</v>
      </c>
      <c r="C46" s="237" t="s">
        <v>54</v>
      </c>
      <c r="D46" s="56">
        <v>300</v>
      </c>
      <c r="E46" s="20" t="s">
        <v>55</v>
      </c>
      <c r="F46" s="37"/>
      <c r="G46" s="18"/>
      <c r="H46" s="19"/>
      <c r="I46" s="18"/>
      <c r="J46" s="57">
        <v>8</v>
      </c>
      <c r="K46" s="179" t="s">
        <v>54</v>
      </c>
      <c r="L46" s="56">
        <v>300</v>
      </c>
      <c r="M46" s="286" t="s">
        <v>55</v>
      </c>
      <c r="N46" s="291"/>
      <c r="O46" s="287"/>
      <c r="P46" s="18"/>
      <c r="Q46" s="18"/>
      <c r="R46" s="18"/>
      <c r="S46" s="18"/>
      <c r="T46" s="18"/>
      <c r="U46" s="18"/>
      <c r="V46" s="18"/>
      <c r="W46" s="18"/>
      <c r="X46" s="18"/>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row>
    <row r="47" spans="1:52" x14ac:dyDescent="0.2">
      <c r="A47" s="18"/>
      <c r="B47" s="286" t="s">
        <v>56</v>
      </c>
      <c r="C47" s="287"/>
      <c r="D47" s="27">
        <f>0.25*3.14*(1000/D45*B45^2+1000/D46*B46^2)</f>
        <v>429.13333333333338</v>
      </c>
      <c r="E47" s="280" t="s">
        <v>193</v>
      </c>
      <c r="F47" s="282"/>
      <c r="G47" s="18"/>
      <c r="H47" s="286"/>
      <c r="I47" s="287"/>
      <c r="J47" s="57">
        <v>10</v>
      </c>
      <c r="K47" s="179" t="s">
        <v>54</v>
      </c>
      <c r="L47" s="56">
        <v>300</v>
      </c>
      <c r="M47" s="286" t="s">
        <v>55</v>
      </c>
      <c r="N47" s="291"/>
      <c r="O47" s="287"/>
      <c r="P47" s="18"/>
      <c r="Q47" s="18"/>
      <c r="R47" s="18"/>
      <c r="S47" s="18"/>
      <c r="T47" s="18"/>
      <c r="U47" s="18"/>
      <c r="V47" s="18"/>
      <c r="W47" s="18"/>
      <c r="X47" s="18"/>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row>
    <row r="48" spans="1:52" x14ac:dyDescent="0.2">
      <c r="A48" s="18"/>
      <c r="B48" s="292" t="s">
        <v>58</v>
      </c>
      <c r="C48" s="292"/>
      <c r="D48" s="26">
        <f>+(D47*100/(1000*C37))</f>
        <v>0.4334680134680135</v>
      </c>
      <c r="E48" s="283"/>
      <c r="F48" s="285"/>
      <c r="G48" s="25"/>
      <c r="H48" s="20" t="s">
        <v>56</v>
      </c>
      <c r="I48" s="20"/>
      <c r="J48" s="27">
        <f>0.25*3.14*(1000/L46*J46^2+1000/L47*J47^2)</f>
        <v>429.13333333333338</v>
      </c>
      <c r="K48" s="24" t="s">
        <v>193</v>
      </c>
      <c r="L48" s="286" t="s">
        <v>58</v>
      </c>
      <c r="M48" s="291"/>
      <c r="N48" s="287"/>
      <c r="O48" s="20">
        <f>+J48*100/(1000*J37)</f>
        <v>0.4334680134680135</v>
      </c>
      <c r="P48" s="18"/>
      <c r="Q48" s="18"/>
      <c r="R48" s="18"/>
      <c r="S48" s="18"/>
      <c r="T48" s="18"/>
      <c r="U48" s="18"/>
      <c r="V48" s="18"/>
      <c r="W48" s="18"/>
      <c r="X48" s="18"/>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row>
    <row r="49" spans="1:52" x14ac:dyDescent="0.2">
      <c r="A49" s="18"/>
      <c r="B49" s="18"/>
      <c r="C49" s="18"/>
      <c r="D49" s="18"/>
      <c r="E49" s="18"/>
      <c r="F49" s="18"/>
      <c r="G49" s="18"/>
      <c r="H49" s="20"/>
      <c r="I49" s="23" t="s">
        <v>59</v>
      </c>
      <c r="J49" s="22">
        <f>0.58*M12*J41/J48</f>
        <v>79.171538614439825</v>
      </c>
      <c r="K49" s="21"/>
      <c r="L49" s="280" t="str">
        <f>+IF(K50&lt;J44,"Revise",IF(K48="Revise","Revise","Ok and Finished"))</f>
        <v>Ok and Finished</v>
      </c>
      <c r="M49" s="281"/>
      <c r="N49" s="281"/>
      <c r="O49" s="282"/>
      <c r="P49" s="18"/>
      <c r="Q49" s="18"/>
      <c r="R49" s="18"/>
      <c r="S49" s="18"/>
      <c r="T49" s="18"/>
      <c r="U49" s="18"/>
      <c r="V49" s="18"/>
      <c r="W49" s="18"/>
      <c r="X49" s="18"/>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row>
    <row r="50" spans="1:52" x14ac:dyDescent="0.2">
      <c r="A50" s="18"/>
      <c r="B50" s="18"/>
      <c r="C50" s="18"/>
      <c r="D50" s="18"/>
      <c r="E50" s="18"/>
      <c r="F50" s="18"/>
      <c r="G50" s="18"/>
      <c r="H50" s="20" t="s">
        <v>60</v>
      </c>
      <c r="I50" s="20"/>
      <c r="J50" s="20"/>
      <c r="K50" s="19">
        <f>+IF(1/(0.225+0.00322*J49-0.625*LOG(1/O48))&gt;2,2,(1/(0.225+0.00322*J49-0.625*LOG(1/O48))))</f>
        <v>2</v>
      </c>
      <c r="L50" s="283"/>
      <c r="M50" s="284"/>
      <c r="N50" s="284"/>
      <c r="O50" s="285"/>
      <c r="P50" s="18"/>
      <c r="Q50" s="18"/>
      <c r="R50" s="18"/>
      <c r="S50" s="18"/>
      <c r="T50" s="18"/>
      <c r="U50" s="18"/>
      <c r="V50" s="18"/>
      <c r="W50" s="18"/>
      <c r="X50" s="18"/>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row>
    <row r="59" spans="1:52" x14ac:dyDescent="0.2">
      <c r="B59" s="16" t="s">
        <v>287</v>
      </c>
      <c r="F59" s="16">
        <f>14*0.305/32</f>
        <v>0.13343749999999999</v>
      </c>
    </row>
    <row r="60" spans="1:52" x14ac:dyDescent="0.2">
      <c r="B60" s="16" t="s">
        <v>289</v>
      </c>
      <c r="C60" s="16">
        <f>F59-0.125</f>
        <v>8.4374999999999867E-3</v>
      </c>
    </row>
    <row r="61" spans="1:52" x14ac:dyDescent="0.2">
      <c r="B61" s="16" t="s">
        <v>288</v>
      </c>
      <c r="C61" s="16">
        <f>0.015*25*4.26*4.57</f>
        <v>7.3005750000000003</v>
      </c>
      <c r="D61" s="16" t="s">
        <v>103</v>
      </c>
    </row>
    <row r="63" spans="1:52" x14ac:dyDescent="0.2">
      <c r="B63" s="16" t="s">
        <v>290</v>
      </c>
      <c r="C63" s="16">
        <f>0.23*0.3*4.26*25</f>
        <v>7.3485000000000005</v>
      </c>
      <c r="D63" s="16" t="s">
        <v>103</v>
      </c>
    </row>
  </sheetData>
  <mergeCells count="70">
    <mergeCell ref="B7:C7"/>
    <mergeCell ref="M7:N7"/>
    <mergeCell ref="O7:P7"/>
    <mergeCell ref="B1:R1"/>
    <mergeCell ref="L2:Q2"/>
    <mergeCell ref="B3:C3"/>
    <mergeCell ref="H3:J3"/>
    <mergeCell ref="M3:N3"/>
    <mergeCell ref="O3:P3"/>
    <mergeCell ref="Q3:R3"/>
    <mergeCell ref="B4:C4"/>
    <mergeCell ref="M5:N5"/>
    <mergeCell ref="O5:P5"/>
    <mergeCell ref="M6:N6"/>
    <mergeCell ref="O6:P6"/>
    <mergeCell ref="B16:F16"/>
    <mergeCell ref="B8:C8"/>
    <mergeCell ref="H8:J8"/>
    <mergeCell ref="M9:N9"/>
    <mergeCell ref="O9:P9"/>
    <mergeCell ref="H10:I10"/>
    <mergeCell ref="M10:N10"/>
    <mergeCell ref="O10:P10"/>
    <mergeCell ref="B11:C11"/>
    <mergeCell ref="M11:N11"/>
    <mergeCell ref="O11:P11"/>
    <mergeCell ref="G12:H12"/>
    <mergeCell ref="H13:I13"/>
    <mergeCell ref="K26:Q26"/>
    <mergeCell ref="B17:D18"/>
    <mergeCell ref="E17:G17"/>
    <mergeCell ref="H17:K18"/>
    <mergeCell ref="H19:I19"/>
    <mergeCell ref="H20:O20"/>
    <mergeCell ref="H21:I21"/>
    <mergeCell ref="B22:C22"/>
    <mergeCell ref="H22:I22"/>
    <mergeCell ref="H24:I24"/>
    <mergeCell ref="H25:I25"/>
    <mergeCell ref="H26:I26"/>
    <mergeCell ref="H28:I28"/>
    <mergeCell ref="M28:O28"/>
    <mergeCell ref="B29:C29"/>
    <mergeCell ref="E29:F30"/>
    <mergeCell ref="H29:I29"/>
    <mergeCell ref="M29:O29"/>
    <mergeCell ref="B30:C30"/>
    <mergeCell ref="L30:N30"/>
    <mergeCell ref="H43:I43"/>
    <mergeCell ref="L31:O32"/>
    <mergeCell ref="B33:F34"/>
    <mergeCell ref="B35:D36"/>
    <mergeCell ref="E35:G35"/>
    <mergeCell ref="H35:K36"/>
    <mergeCell ref="H37:I37"/>
    <mergeCell ref="H38:O38"/>
    <mergeCell ref="H39:I39"/>
    <mergeCell ref="B40:C40"/>
    <mergeCell ref="H40:I40"/>
    <mergeCell ref="H42:I42"/>
    <mergeCell ref="L49:O50"/>
    <mergeCell ref="H44:I44"/>
    <mergeCell ref="K44:Q44"/>
    <mergeCell ref="M46:O46"/>
    <mergeCell ref="B47:C47"/>
    <mergeCell ref="E47:F48"/>
    <mergeCell ref="H47:I47"/>
    <mergeCell ref="M47:O47"/>
    <mergeCell ref="B48:C48"/>
    <mergeCell ref="L48:N48"/>
  </mergeCells>
  <pageMargins left="0.75" right="0.75" top="1" bottom="1" header="0.5" footer="0.5"/>
  <pageSetup paperSize="9" fitToWidth="0" orientation="landscape" r:id="rId1"/>
  <headerFooter alignWithMargins="0">
    <oddHeader xml:space="preserve">&amp;R4.1 Design of Slab </oddHeader>
  </headerFooter>
  <rowBreaks count="1" manualBreakCount="1">
    <brk id="32" max="17"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7957-9032-4025-B78A-90ED2C2E7DB5}">
  <sheetPr codeName="Sheet3">
    <tabColor rgb="FFFFFF00"/>
  </sheetPr>
  <dimension ref="A1:N190"/>
  <sheetViews>
    <sheetView topLeftCell="A10" workbookViewId="0">
      <selection activeCell="A51" sqref="A51:A52"/>
    </sheetView>
  </sheetViews>
  <sheetFormatPr defaultColWidth="9.109375" defaultRowHeight="13.2" x14ac:dyDescent="0.25"/>
  <cols>
    <col min="1" max="1" width="4.6640625" style="1" customWidth="1"/>
    <col min="2" max="2" width="23.6640625" style="1" customWidth="1"/>
    <col min="3" max="3" width="6.109375" style="1" customWidth="1"/>
    <col min="4" max="4" width="6.88671875" style="1" customWidth="1"/>
    <col min="5" max="5" width="6" style="1" customWidth="1"/>
    <col min="6" max="7" width="6.5546875" style="1" customWidth="1"/>
    <col min="8" max="8" width="6" style="1" customWidth="1"/>
    <col min="9" max="9" width="6.6640625" style="1" customWidth="1"/>
    <col min="10" max="10" width="5.5546875" style="1" customWidth="1"/>
    <col min="11" max="16384" width="9.109375" style="1"/>
  </cols>
  <sheetData>
    <row r="1" spans="1:13" x14ac:dyDescent="0.25">
      <c r="A1" s="319" t="s">
        <v>91</v>
      </c>
      <c r="B1" s="319"/>
      <c r="C1" s="319"/>
      <c r="D1" s="319"/>
      <c r="E1" s="319"/>
      <c r="F1" s="319"/>
      <c r="G1" s="319"/>
      <c r="H1" s="319"/>
      <c r="I1" s="319"/>
      <c r="J1" s="319"/>
      <c r="K1" s="319"/>
    </row>
    <row r="2" spans="1:13" x14ac:dyDescent="0.25">
      <c r="A2" s="319" t="s">
        <v>90</v>
      </c>
      <c r="B2" s="319"/>
      <c r="C2" s="319"/>
      <c r="D2" s="319"/>
      <c r="E2" s="319"/>
      <c r="F2" s="319"/>
      <c r="G2" s="319"/>
      <c r="H2" s="319"/>
      <c r="I2" s="319"/>
      <c r="J2" s="319"/>
      <c r="K2" s="319"/>
    </row>
    <row r="3" spans="1:13" x14ac:dyDescent="0.25">
      <c r="A3" s="319" t="s">
        <v>89</v>
      </c>
      <c r="B3" s="319"/>
      <c r="C3" s="319"/>
      <c r="D3" s="319"/>
      <c r="E3" s="319"/>
      <c r="F3" s="319"/>
      <c r="G3" s="319"/>
      <c r="H3" s="319"/>
      <c r="I3" s="319"/>
      <c r="J3" s="319"/>
      <c r="K3" s="319"/>
    </row>
    <row r="4" spans="1:13" x14ac:dyDescent="0.25">
      <c r="A4" s="15"/>
      <c r="B4" s="15"/>
      <c r="C4" s="15"/>
      <c r="D4" s="15"/>
      <c r="E4" s="15"/>
      <c r="F4" s="15"/>
      <c r="G4" s="15"/>
      <c r="H4" s="15"/>
      <c r="I4" s="15"/>
      <c r="J4" s="15"/>
      <c r="K4" s="14" t="s">
        <v>88</v>
      </c>
    </row>
    <row r="5" spans="1:13" x14ac:dyDescent="0.25">
      <c r="A5" s="320" t="s">
        <v>67</v>
      </c>
      <c r="B5" s="8" t="s">
        <v>70</v>
      </c>
      <c r="C5" s="321" t="s">
        <v>87</v>
      </c>
      <c r="D5" s="321"/>
      <c r="E5" s="321"/>
      <c r="F5" s="321"/>
      <c r="G5" s="321"/>
      <c r="H5" s="321"/>
      <c r="I5" s="321"/>
      <c r="J5" s="321"/>
      <c r="K5" s="322" t="s">
        <v>86</v>
      </c>
      <c r="L5" s="3"/>
      <c r="M5" s="2"/>
    </row>
    <row r="6" spans="1:13" x14ac:dyDescent="0.25">
      <c r="A6" s="320"/>
      <c r="B6" s="8" t="s">
        <v>66</v>
      </c>
      <c r="C6" s="321" t="s">
        <v>85</v>
      </c>
      <c r="D6" s="321"/>
      <c r="E6" s="321"/>
      <c r="F6" s="321"/>
      <c r="G6" s="321"/>
      <c r="H6" s="321"/>
      <c r="I6" s="321"/>
      <c r="J6" s="321"/>
      <c r="K6" s="322"/>
      <c r="L6" s="3"/>
      <c r="M6" s="2"/>
    </row>
    <row r="7" spans="1:13" x14ac:dyDescent="0.25">
      <c r="A7" s="8"/>
      <c r="B7" s="8"/>
      <c r="C7" s="8">
        <v>1</v>
      </c>
      <c r="D7" s="8">
        <v>1.1000000000000001</v>
      </c>
      <c r="E7" s="8">
        <v>1.2</v>
      </c>
      <c r="F7" s="8">
        <v>1.3</v>
      </c>
      <c r="G7" s="8">
        <v>1.4</v>
      </c>
      <c r="H7" s="8">
        <v>1.5</v>
      </c>
      <c r="I7" s="8">
        <v>1.75</v>
      </c>
      <c r="J7" s="8">
        <v>2</v>
      </c>
      <c r="K7" s="13" t="s">
        <v>84</v>
      </c>
      <c r="L7" s="3"/>
      <c r="M7" s="2"/>
    </row>
    <row r="8" spans="1:13" x14ac:dyDescent="0.25">
      <c r="A8" s="8">
        <v>1</v>
      </c>
      <c r="B8" s="8">
        <v>2</v>
      </c>
      <c r="C8" s="8">
        <v>3</v>
      </c>
      <c r="D8" s="8">
        <v>4</v>
      </c>
      <c r="E8" s="8">
        <v>5</v>
      </c>
      <c r="F8" s="8">
        <v>6</v>
      </c>
      <c r="G8" s="8">
        <v>7</v>
      </c>
      <c r="H8" s="8">
        <v>8</v>
      </c>
      <c r="I8" s="8">
        <v>9</v>
      </c>
      <c r="J8" s="8">
        <v>10</v>
      </c>
      <c r="K8" s="8">
        <v>11</v>
      </c>
      <c r="L8" s="3"/>
      <c r="M8" s="2"/>
    </row>
    <row r="9" spans="1:13" x14ac:dyDescent="0.25">
      <c r="A9" s="8">
        <v>1</v>
      </c>
      <c r="B9" s="10" t="s">
        <v>83</v>
      </c>
      <c r="C9" s="8"/>
      <c r="D9" s="8"/>
      <c r="E9" s="8"/>
      <c r="F9" s="8"/>
      <c r="G9" s="8"/>
      <c r="H9" s="8"/>
      <c r="I9" s="8"/>
      <c r="J9" s="8"/>
      <c r="K9" s="8"/>
      <c r="L9" s="3"/>
      <c r="M9" s="2"/>
    </row>
    <row r="10" spans="1:13" x14ac:dyDescent="0.25">
      <c r="A10" s="8"/>
      <c r="B10" s="9" t="s">
        <v>62</v>
      </c>
      <c r="C10" s="8">
        <v>3.2000000000000001E-2</v>
      </c>
      <c r="D10" s="8">
        <v>3.6999999999999998E-2</v>
      </c>
      <c r="E10" s="8">
        <v>4.2999999999999997E-2</v>
      </c>
      <c r="F10" s="8">
        <v>4.7E-2</v>
      </c>
      <c r="G10" s="8">
        <v>5.0999999999999997E-2</v>
      </c>
      <c r="H10" s="8">
        <v>5.2999999999999999E-2</v>
      </c>
      <c r="I10" s="8">
        <v>0.06</v>
      </c>
      <c r="J10" s="8">
        <v>6.5000000000000002E-2</v>
      </c>
      <c r="K10" s="8">
        <v>3.2000000000000001E-2</v>
      </c>
      <c r="L10" s="3"/>
      <c r="M10" s="2"/>
    </row>
    <row r="11" spans="1:13" x14ac:dyDescent="0.25">
      <c r="A11" s="8">
        <v>26</v>
      </c>
      <c r="B11" s="9" t="s">
        <v>61</v>
      </c>
      <c r="C11" s="8">
        <v>2.4E-2</v>
      </c>
      <c r="D11" s="8">
        <v>2.8000000000000001E-2</v>
      </c>
      <c r="E11" s="8">
        <v>3.2000000000000001E-2</v>
      </c>
      <c r="F11" s="8">
        <v>3.5999999999999997E-2</v>
      </c>
      <c r="G11" s="8">
        <v>3.9E-2</v>
      </c>
      <c r="H11" s="8">
        <v>4.1000000000000002E-2</v>
      </c>
      <c r="I11" s="8">
        <v>4.4999999999999998E-2</v>
      </c>
      <c r="J11" s="8">
        <v>4.9000000000000002E-2</v>
      </c>
      <c r="K11" s="8">
        <v>2.4E-2</v>
      </c>
      <c r="L11" s="3"/>
      <c r="M11" s="2"/>
    </row>
    <row r="12" spans="1:13" x14ac:dyDescent="0.25">
      <c r="A12" s="8"/>
      <c r="B12" s="11"/>
      <c r="C12" s="8"/>
      <c r="D12" s="8"/>
      <c r="E12" s="8"/>
      <c r="F12" s="8"/>
      <c r="G12" s="8"/>
      <c r="H12" s="8"/>
      <c r="I12" s="8"/>
      <c r="J12" s="8"/>
      <c r="K12" s="8"/>
      <c r="L12" s="3"/>
      <c r="M12" s="2"/>
    </row>
    <row r="13" spans="1:13" x14ac:dyDescent="0.25">
      <c r="A13" s="8">
        <v>2</v>
      </c>
      <c r="B13" s="10" t="s">
        <v>82</v>
      </c>
      <c r="C13" s="12"/>
      <c r="D13" s="12"/>
      <c r="E13" s="12"/>
      <c r="F13" s="12"/>
      <c r="G13" s="12"/>
      <c r="H13" s="12"/>
      <c r="I13" s="12"/>
      <c r="J13" s="8"/>
      <c r="K13" s="8"/>
      <c r="L13" s="3"/>
      <c r="M13" s="2"/>
    </row>
    <row r="14" spans="1:13" x14ac:dyDescent="0.25">
      <c r="A14" s="8"/>
      <c r="B14" s="9" t="s">
        <v>62</v>
      </c>
      <c r="C14" s="8">
        <v>3.6999999999999998E-2</v>
      </c>
      <c r="D14" s="8">
        <v>4.2999999999999997E-2</v>
      </c>
      <c r="E14" s="8">
        <v>4.8000000000000001E-2</v>
      </c>
      <c r="F14" s="8">
        <v>5.0999999999999997E-2</v>
      </c>
      <c r="G14" s="8">
        <v>5.5E-2</v>
      </c>
      <c r="H14" s="8">
        <v>5.7000000000000002E-2</v>
      </c>
      <c r="I14" s="8">
        <v>6.4000000000000001E-2</v>
      </c>
      <c r="J14" s="8">
        <v>6.8000000000000005E-2</v>
      </c>
      <c r="K14" s="8">
        <v>3.6999999999999998E-2</v>
      </c>
      <c r="L14" s="3"/>
      <c r="M14" s="2"/>
    </row>
    <row r="15" spans="1:13" x14ac:dyDescent="0.25">
      <c r="A15" s="8">
        <v>20</v>
      </c>
      <c r="B15" s="9" t="s">
        <v>61</v>
      </c>
      <c r="C15" s="8">
        <v>2.8000000000000001E-2</v>
      </c>
      <c r="D15" s="8">
        <v>3.2000000000000001E-2</v>
      </c>
      <c r="E15" s="8">
        <v>3.5999999999999997E-2</v>
      </c>
      <c r="F15" s="8">
        <v>3.9E-2</v>
      </c>
      <c r="G15" s="8">
        <v>4.1000000000000002E-2</v>
      </c>
      <c r="H15" s="8">
        <v>4.3999999999999997E-2</v>
      </c>
      <c r="I15" s="8">
        <v>4.8000000000000001E-2</v>
      </c>
      <c r="J15" s="8">
        <v>5.1999999999999998E-2</v>
      </c>
      <c r="K15" s="8">
        <v>2.8000000000000001E-2</v>
      </c>
      <c r="L15" s="3"/>
      <c r="M15" s="2"/>
    </row>
    <row r="16" spans="1:13" x14ac:dyDescent="0.25">
      <c r="A16" s="8"/>
      <c r="B16" s="11"/>
      <c r="C16" s="8"/>
      <c r="D16" s="8"/>
      <c r="E16" s="8"/>
      <c r="F16" s="8"/>
      <c r="G16" s="8"/>
      <c r="H16" s="8"/>
      <c r="I16" s="8"/>
      <c r="J16" s="8"/>
      <c r="K16" s="8"/>
      <c r="L16" s="3"/>
      <c r="M16" s="2"/>
    </row>
    <row r="17" spans="1:13" x14ac:dyDescent="0.25">
      <c r="A17" s="8">
        <v>3</v>
      </c>
      <c r="B17" s="10" t="s">
        <v>81</v>
      </c>
      <c r="C17" s="8"/>
      <c r="D17" s="8"/>
      <c r="E17" s="8"/>
      <c r="F17" s="8"/>
      <c r="G17" s="8"/>
      <c r="H17" s="8"/>
      <c r="I17" s="8"/>
      <c r="J17" s="8"/>
      <c r="K17" s="8"/>
      <c r="L17" s="3"/>
      <c r="M17" s="2"/>
    </row>
    <row r="18" spans="1:13" x14ac:dyDescent="0.25">
      <c r="A18" s="8"/>
      <c r="B18" s="9" t="s">
        <v>62</v>
      </c>
      <c r="C18" s="8">
        <v>3.6999999999999998E-2</v>
      </c>
      <c r="D18" s="8">
        <v>4.3999999999999997E-2</v>
      </c>
      <c r="E18" s="8">
        <v>5.1999999999999998E-2</v>
      </c>
      <c r="F18" s="8">
        <v>5.7000000000000002E-2</v>
      </c>
      <c r="G18" s="8">
        <v>6.3E-2</v>
      </c>
      <c r="H18" s="8">
        <v>6.7000000000000004E-2</v>
      </c>
      <c r="I18" s="8">
        <v>7.6999999999999999E-2</v>
      </c>
      <c r="J18" s="8">
        <v>8.5000000000000006E-2</v>
      </c>
      <c r="K18" s="8">
        <v>3.6999999999999998E-2</v>
      </c>
      <c r="L18" s="3"/>
      <c r="M18" s="2"/>
    </row>
    <row r="19" spans="1:13" x14ac:dyDescent="0.25">
      <c r="A19" s="8">
        <v>23</v>
      </c>
      <c r="B19" s="9" t="s">
        <v>61</v>
      </c>
      <c r="C19" s="8">
        <v>2.8000000000000001E-2</v>
      </c>
      <c r="D19" s="8">
        <v>3.3000000000000002E-2</v>
      </c>
      <c r="E19" s="8">
        <v>3.9E-2</v>
      </c>
      <c r="F19" s="8">
        <v>4.3999999999999997E-2</v>
      </c>
      <c r="G19" s="8">
        <v>4.7E-2</v>
      </c>
      <c r="H19" s="8">
        <v>5.0999999999999997E-2</v>
      </c>
      <c r="I19" s="8">
        <v>5.8999999999999997E-2</v>
      </c>
      <c r="J19" s="8">
        <v>6.5000000000000002E-2</v>
      </c>
      <c r="K19" s="8">
        <v>2.8000000000000001E-2</v>
      </c>
      <c r="L19" s="3"/>
      <c r="M19" s="2"/>
    </row>
    <row r="20" spans="1:13" x14ac:dyDescent="0.25">
      <c r="A20" s="8"/>
      <c r="B20" s="11"/>
      <c r="C20" s="8"/>
      <c r="D20" s="8"/>
      <c r="E20" s="8"/>
      <c r="F20" s="8"/>
      <c r="G20" s="8"/>
      <c r="H20" s="8"/>
      <c r="I20" s="8"/>
      <c r="J20" s="8"/>
      <c r="K20" s="8"/>
      <c r="L20" s="3"/>
      <c r="M20" s="2"/>
    </row>
    <row r="21" spans="1:13" x14ac:dyDescent="0.25">
      <c r="A21" s="8">
        <v>4</v>
      </c>
      <c r="B21" s="10" t="s">
        <v>80</v>
      </c>
      <c r="C21" s="8"/>
      <c r="D21" s="8"/>
      <c r="E21" s="8"/>
      <c r="F21" s="8"/>
      <c r="G21" s="8"/>
      <c r="H21" s="8"/>
      <c r="I21" s="8"/>
      <c r="J21" s="8"/>
      <c r="K21" s="8"/>
      <c r="L21" s="3"/>
      <c r="M21" s="2"/>
    </row>
    <row r="22" spans="1:13" x14ac:dyDescent="0.25">
      <c r="A22" s="8"/>
      <c r="B22" s="9" t="s">
        <v>62</v>
      </c>
      <c r="C22" s="8">
        <v>4.7E-2</v>
      </c>
      <c r="D22" s="8">
        <v>5.2999999999999999E-2</v>
      </c>
      <c r="E22" s="8">
        <v>0.06</v>
      </c>
      <c r="F22" s="8">
        <v>6.5000000000000002E-2</v>
      </c>
      <c r="G22" s="8">
        <v>7.0999999999999994E-2</v>
      </c>
      <c r="H22" s="8">
        <v>7.4999999999999997E-2</v>
      </c>
      <c r="I22" s="8">
        <v>8.4000000000000005E-2</v>
      </c>
      <c r="J22" s="8">
        <v>9.0999999999999998E-2</v>
      </c>
      <c r="K22" s="8">
        <v>4.7E-2</v>
      </c>
      <c r="L22" s="3"/>
      <c r="M22" s="2"/>
    </row>
    <row r="23" spans="1:13" x14ac:dyDescent="0.25">
      <c r="A23" s="8">
        <v>23</v>
      </c>
      <c r="B23" s="9" t="s">
        <v>61</v>
      </c>
      <c r="C23" s="8">
        <v>3.5000000000000003E-2</v>
      </c>
      <c r="D23" s="8">
        <v>0.04</v>
      </c>
      <c r="E23" s="8">
        <v>4.4999999999999998E-2</v>
      </c>
      <c r="F23" s="8">
        <v>4.9000000000000002E-2</v>
      </c>
      <c r="G23" s="8">
        <v>5.2999999999999999E-2</v>
      </c>
      <c r="H23" s="8">
        <v>5.6000000000000001E-2</v>
      </c>
      <c r="I23" s="8">
        <v>6.3E-2</v>
      </c>
      <c r="J23" s="8">
        <v>6.9000000000000006E-2</v>
      </c>
      <c r="K23" s="8">
        <v>3.5000000000000003E-2</v>
      </c>
      <c r="L23" s="3"/>
      <c r="M23" s="2"/>
    </row>
    <row r="24" spans="1:13" x14ac:dyDescent="0.25">
      <c r="A24" s="8"/>
      <c r="B24" s="11"/>
      <c r="C24" s="8"/>
      <c r="D24" s="8"/>
      <c r="E24" s="8"/>
      <c r="F24" s="8"/>
      <c r="G24" s="8"/>
      <c r="H24" s="8"/>
      <c r="I24" s="8"/>
      <c r="J24" s="8"/>
      <c r="K24" s="8"/>
      <c r="L24" s="3"/>
      <c r="M24" s="2"/>
    </row>
    <row r="25" spans="1:13" x14ac:dyDescent="0.25">
      <c r="A25" s="8">
        <v>5</v>
      </c>
      <c r="B25" s="10" t="s">
        <v>79</v>
      </c>
      <c r="C25" s="8"/>
      <c r="D25" s="8"/>
      <c r="E25" s="8"/>
      <c r="F25" s="8"/>
      <c r="G25" s="8"/>
      <c r="H25" s="8"/>
      <c r="I25" s="8"/>
      <c r="J25" s="8"/>
      <c r="K25" s="8"/>
      <c r="L25" s="3"/>
      <c r="M25" s="2"/>
    </row>
    <row r="26" spans="1:13" x14ac:dyDescent="0.25">
      <c r="A26" s="8"/>
      <c r="B26" s="9" t="s">
        <v>62</v>
      </c>
      <c r="C26" s="8">
        <v>4.4999999999999998E-2</v>
      </c>
      <c r="D26" s="8">
        <v>4.9000000000000002E-2</v>
      </c>
      <c r="E26" s="8">
        <v>5.1999999999999998E-2</v>
      </c>
      <c r="F26" s="8">
        <v>5.6000000000000001E-2</v>
      </c>
      <c r="G26" s="8">
        <v>5.8999999999999997E-2</v>
      </c>
      <c r="H26" s="8">
        <v>0.06</v>
      </c>
      <c r="I26" s="8">
        <v>6.5000000000000002E-2</v>
      </c>
      <c r="J26" s="8">
        <v>6.9000000000000006E-2</v>
      </c>
      <c r="K26" s="8" t="s">
        <v>74</v>
      </c>
      <c r="L26" s="3"/>
      <c r="M26" s="2"/>
    </row>
    <row r="27" spans="1:13" x14ac:dyDescent="0.25">
      <c r="A27" s="8"/>
      <c r="B27" s="9" t="s">
        <v>61</v>
      </c>
      <c r="C27" s="8">
        <v>3.5000000000000003E-2</v>
      </c>
      <c r="D27" s="8">
        <v>3.6999999999999998E-2</v>
      </c>
      <c r="E27" s="8">
        <v>0.04</v>
      </c>
      <c r="F27" s="8">
        <v>4.2999999999999997E-2</v>
      </c>
      <c r="G27" s="8">
        <v>4.3999999999999997E-2</v>
      </c>
      <c r="H27" s="8">
        <v>4.4999999999999998E-2</v>
      </c>
      <c r="I27" s="8">
        <v>4.9000000000000002E-2</v>
      </c>
      <c r="J27" s="8">
        <v>5.1999999999999998E-2</v>
      </c>
      <c r="K27" s="8">
        <v>3.5000000000000003E-2</v>
      </c>
      <c r="L27" s="3"/>
      <c r="M27" s="2"/>
    </row>
    <row r="28" spans="1:13" x14ac:dyDescent="0.25">
      <c r="A28" s="8"/>
      <c r="B28" s="11"/>
      <c r="C28" s="8"/>
      <c r="D28" s="8"/>
      <c r="E28" s="8"/>
      <c r="F28" s="8"/>
      <c r="G28" s="8"/>
      <c r="H28" s="8"/>
      <c r="I28" s="8"/>
      <c r="J28" s="8"/>
      <c r="K28" s="8"/>
      <c r="L28" s="3"/>
      <c r="M28" s="2"/>
    </row>
    <row r="29" spans="1:13" x14ac:dyDescent="0.25">
      <c r="A29" s="8">
        <v>6</v>
      </c>
      <c r="B29" s="11" t="s">
        <v>78</v>
      </c>
      <c r="C29" s="8"/>
      <c r="D29" s="8"/>
      <c r="E29" s="8"/>
      <c r="F29" s="8"/>
      <c r="G29" s="8"/>
      <c r="H29" s="8"/>
      <c r="I29" s="8"/>
      <c r="J29" s="8"/>
      <c r="K29" s="8"/>
      <c r="L29" s="3"/>
      <c r="M29" s="2"/>
    </row>
    <row r="30" spans="1:13" x14ac:dyDescent="0.25">
      <c r="A30" s="8"/>
      <c r="B30" s="9" t="s">
        <v>62</v>
      </c>
      <c r="C30" s="8" t="s">
        <v>74</v>
      </c>
      <c r="D30" s="8" t="str">
        <f>+C30</f>
        <v>-</v>
      </c>
      <c r="E30" s="8" t="s">
        <v>74</v>
      </c>
      <c r="F30" s="8" t="s">
        <v>74</v>
      </c>
      <c r="G30" s="8" t="s">
        <v>74</v>
      </c>
      <c r="H30" s="8" t="s">
        <v>74</v>
      </c>
      <c r="I30" s="8" t="s">
        <v>74</v>
      </c>
      <c r="J30" s="8" t="s">
        <v>74</v>
      </c>
      <c r="K30" s="8">
        <v>4.4999999999999998E-2</v>
      </c>
      <c r="L30" s="3"/>
      <c r="M30" s="2"/>
    </row>
    <row r="31" spans="1:13" x14ac:dyDescent="0.25">
      <c r="A31" s="8">
        <v>20</v>
      </c>
      <c r="B31" s="9" t="s">
        <v>61</v>
      </c>
      <c r="C31" s="8">
        <v>3.5000000000000003E-2</v>
      </c>
      <c r="D31" s="8">
        <v>4.2999999999999997E-2</v>
      </c>
      <c r="E31" s="8">
        <v>5.0999999999999997E-2</v>
      </c>
      <c r="F31" s="8">
        <v>5.7000000000000002E-2</v>
      </c>
      <c r="G31" s="8">
        <v>6.3E-2</v>
      </c>
      <c r="H31" s="8">
        <v>6.8000000000000005E-2</v>
      </c>
      <c r="I31" s="8">
        <v>0.08</v>
      </c>
      <c r="J31" s="8">
        <v>8.7999999999999995E-2</v>
      </c>
      <c r="K31" s="8">
        <v>3.5000000000000003E-2</v>
      </c>
      <c r="L31" s="3"/>
      <c r="M31" s="2"/>
    </row>
    <row r="32" spans="1:13" x14ac:dyDescent="0.25">
      <c r="A32" s="8"/>
      <c r="B32" s="11"/>
      <c r="C32" s="8"/>
      <c r="D32" s="8"/>
      <c r="E32" s="8"/>
      <c r="F32" s="8"/>
      <c r="G32" s="8"/>
      <c r="H32" s="8"/>
      <c r="I32" s="8"/>
      <c r="J32" s="8"/>
      <c r="K32" s="8"/>
      <c r="L32" s="3"/>
      <c r="M32" s="2"/>
    </row>
    <row r="33" spans="1:13" x14ac:dyDescent="0.25">
      <c r="A33" s="8">
        <v>7</v>
      </c>
      <c r="B33" s="10" t="s">
        <v>76</v>
      </c>
      <c r="C33" s="8"/>
      <c r="D33" s="8"/>
      <c r="E33" s="8"/>
      <c r="F33" s="8"/>
      <c r="G33" s="8"/>
      <c r="H33" s="8"/>
      <c r="I33" s="8"/>
      <c r="J33" s="8"/>
      <c r="K33" s="8"/>
      <c r="L33" s="3"/>
      <c r="M33" s="2"/>
    </row>
    <row r="34" spans="1:13" x14ac:dyDescent="0.25">
      <c r="A34" s="8"/>
      <c r="B34" s="10" t="s">
        <v>77</v>
      </c>
      <c r="C34" s="8"/>
      <c r="D34" s="8"/>
      <c r="E34" s="8"/>
      <c r="F34" s="8"/>
      <c r="G34" s="8"/>
      <c r="H34" s="8"/>
      <c r="I34" s="8"/>
      <c r="J34" s="8"/>
      <c r="K34" s="8"/>
      <c r="L34" s="3"/>
      <c r="M34" s="2"/>
    </row>
    <row r="35" spans="1:13" x14ac:dyDescent="0.25">
      <c r="A35" s="8"/>
      <c r="B35" s="9" t="s">
        <v>62</v>
      </c>
      <c r="C35" s="8">
        <v>5.7000000000000002E-2</v>
      </c>
      <c r="D35" s="8">
        <v>6.4000000000000001E-2</v>
      </c>
      <c r="E35" s="8">
        <v>7.0999999999999994E-2</v>
      </c>
      <c r="F35" s="8">
        <v>7.5999999999999998E-2</v>
      </c>
      <c r="G35" s="8">
        <v>0.08</v>
      </c>
      <c r="H35" s="8">
        <v>8.4000000000000005E-2</v>
      </c>
      <c r="I35" s="8">
        <v>9.0999999999999998E-2</v>
      </c>
      <c r="J35" s="8">
        <v>9.7000000000000003E-2</v>
      </c>
      <c r="K35" s="8" t="s">
        <v>74</v>
      </c>
      <c r="L35" s="3"/>
      <c r="M35" s="2"/>
    </row>
    <row r="36" spans="1:13" x14ac:dyDescent="0.25">
      <c r="A36" s="8"/>
      <c r="B36" s="9" t="s">
        <v>61</v>
      </c>
      <c r="C36" s="8">
        <v>4.2999999999999997E-2</v>
      </c>
      <c r="D36" s="8">
        <v>4.8000000000000001E-2</v>
      </c>
      <c r="E36" s="8">
        <v>5.2999999999999999E-2</v>
      </c>
      <c r="F36" s="8">
        <v>5.7000000000000002E-2</v>
      </c>
      <c r="G36" s="8">
        <v>0.06</v>
      </c>
      <c r="H36" s="8">
        <v>6.4000000000000001E-2</v>
      </c>
      <c r="I36" s="8">
        <v>6.9000000000000006E-2</v>
      </c>
      <c r="J36" s="8">
        <v>7.2999999999999995E-2</v>
      </c>
      <c r="K36" s="8">
        <v>4.2999999999999997E-2</v>
      </c>
      <c r="L36" s="3"/>
      <c r="M36" s="2"/>
    </row>
    <row r="37" spans="1:13" x14ac:dyDescent="0.25">
      <c r="A37" s="8"/>
      <c r="B37" s="11"/>
      <c r="C37" s="8"/>
      <c r="D37" s="8"/>
      <c r="E37" s="8"/>
      <c r="F37" s="8"/>
      <c r="G37" s="8"/>
      <c r="H37" s="8"/>
      <c r="I37" s="8"/>
      <c r="J37" s="8"/>
      <c r="K37" s="8"/>
      <c r="L37" s="3"/>
      <c r="M37" s="2"/>
    </row>
    <row r="38" spans="1:13" x14ac:dyDescent="0.25">
      <c r="A38" s="8">
        <v>8</v>
      </c>
      <c r="B38" s="10" t="s">
        <v>76</v>
      </c>
      <c r="C38" s="8"/>
      <c r="D38" s="8"/>
      <c r="E38" s="8"/>
      <c r="F38" s="8"/>
      <c r="G38" s="8"/>
      <c r="H38" s="8"/>
      <c r="I38" s="8"/>
      <c r="J38" s="8"/>
      <c r="K38" s="8"/>
      <c r="L38" s="3"/>
      <c r="M38" s="2"/>
    </row>
    <row r="39" spans="1:13" x14ac:dyDescent="0.25">
      <c r="A39" s="8"/>
      <c r="B39" s="10" t="s">
        <v>75</v>
      </c>
      <c r="C39" s="8"/>
      <c r="D39" s="8"/>
      <c r="E39" s="8"/>
      <c r="F39" s="8"/>
      <c r="G39" s="8"/>
      <c r="H39" s="8"/>
      <c r="I39" s="8"/>
      <c r="J39" s="8"/>
      <c r="K39" s="8"/>
      <c r="L39" s="3"/>
      <c r="M39" s="2"/>
    </row>
    <row r="40" spans="1:13" x14ac:dyDescent="0.25">
      <c r="A40" s="8"/>
      <c r="B40" s="9" t="s">
        <v>62</v>
      </c>
      <c r="C40" s="8" t="s">
        <v>74</v>
      </c>
      <c r="D40" s="8" t="s">
        <v>74</v>
      </c>
      <c r="E40" s="8" t="s">
        <v>74</v>
      </c>
      <c r="F40" s="8" t="s">
        <v>74</v>
      </c>
      <c r="G40" s="8" t="s">
        <v>74</v>
      </c>
      <c r="H40" s="8" t="s">
        <v>74</v>
      </c>
      <c r="I40" s="8" t="s">
        <v>74</v>
      </c>
      <c r="J40" s="8" t="s">
        <v>74</v>
      </c>
      <c r="K40" s="8">
        <v>5.7000000000000002E-2</v>
      </c>
      <c r="L40" s="3"/>
      <c r="M40" s="2"/>
    </row>
    <row r="41" spans="1:13" x14ac:dyDescent="0.25">
      <c r="A41" s="8"/>
      <c r="B41" s="9" t="s">
        <v>61</v>
      </c>
      <c r="C41" s="8">
        <v>4.2999999999999997E-2</v>
      </c>
      <c r="D41" s="8">
        <v>5.0999999999999997E-2</v>
      </c>
      <c r="E41" s="8">
        <v>5.8999999999999997E-2</v>
      </c>
      <c r="F41" s="8">
        <v>6.5000000000000002E-2</v>
      </c>
      <c r="G41" s="8">
        <v>7.0999999999999994E-2</v>
      </c>
      <c r="H41" s="8">
        <v>7.5999999999999998E-2</v>
      </c>
      <c r="I41" s="8">
        <v>8.6999999999999994E-2</v>
      </c>
      <c r="J41" s="8">
        <v>9.6000000000000002E-2</v>
      </c>
      <c r="K41" s="8">
        <v>4.2999999999999997E-2</v>
      </c>
      <c r="L41" s="3"/>
      <c r="M41" s="2"/>
    </row>
    <row r="42" spans="1:13" x14ac:dyDescent="0.25">
      <c r="A42" s="8"/>
      <c r="B42" s="8"/>
      <c r="C42" s="8"/>
      <c r="D42" s="8"/>
      <c r="E42" s="8"/>
      <c r="F42" s="8"/>
      <c r="G42" s="8"/>
      <c r="H42" s="8"/>
      <c r="I42" s="8"/>
      <c r="J42" s="8"/>
      <c r="K42" s="8"/>
      <c r="L42" s="3"/>
      <c r="M42" s="2"/>
    </row>
    <row r="43" spans="1:13" x14ac:dyDescent="0.25">
      <c r="A43" s="8">
        <v>9</v>
      </c>
      <c r="B43" s="10" t="s">
        <v>73</v>
      </c>
      <c r="C43" s="8"/>
      <c r="D43" s="8"/>
      <c r="E43" s="8"/>
      <c r="F43" s="8"/>
      <c r="G43" s="8"/>
      <c r="H43" s="8"/>
      <c r="I43" s="8"/>
      <c r="J43" s="8"/>
      <c r="K43" s="8"/>
      <c r="L43" s="3"/>
      <c r="M43" s="2"/>
    </row>
    <row r="44" spans="1:13" x14ac:dyDescent="0.25">
      <c r="A44" s="8">
        <v>20</v>
      </c>
      <c r="B44" s="9" t="s">
        <v>72</v>
      </c>
      <c r="C44" s="8">
        <v>5.6000000000000001E-2</v>
      </c>
      <c r="D44" s="8">
        <v>6.4000000000000001E-2</v>
      </c>
      <c r="E44" s="8">
        <v>7.1999999999999995E-2</v>
      </c>
      <c r="F44" s="8">
        <v>7.9000000000000001E-2</v>
      </c>
      <c r="G44" s="8">
        <v>8.5000000000000006E-2</v>
      </c>
      <c r="H44" s="8">
        <v>8.8999999999999996E-2</v>
      </c>
      <c r="I44" s="8">
        <v>0.1</v>
      </c>
      <c r="J44" s="8">
        <v>0.107</v>
      </c>
      <c r="K44" s="8">
        <v>5.6000000000000001E-2</v>
      </c>
      <c r="L44" s="3"/>
      <c r="M44" s="2"/>
    </row>
    <row r="45" spans="1:13" x14ac:dyDescent="0.25">
      <c r="A45" s="3"/>
      <c r="B45" s="3"/>
      <c r="C45" s="3"/>
      <c r="D45" s="3"/>
      <c r="E45" s="3"/>
      <c r="F45" s="3"/>
      <c r="G45" s="3"/>
      <c r="H45" s="3"/>
      <c r="I45" s="3"/>
      <c r="J45" s="3"/>
      <c r="K45" s="3"/>
      <c r="L45" s="3"/>
      <c r="M45" s="2"/>
    </row>
    <row r="46" spans="1:13" x14ac:dyDescent="0.25">
      <c r="A46" s="3"/>
      <c r="B46" s="3"/>
      <c r="C46" s="3"/>
      <c r="D46" s="3"/>
      <c r="E46" s="3"/>
      <c r="F46" s="3"/>
      <c r="G46" s="3"/>
      <c r="H46" s="3"/>
      <c r="I46" s="3"/>
      <c r="J46" s="3"/>
      <c r="K46" s="3"/>
      <c r="L46" s="3"/>
      <c r="M46" s="2"/>
    </row>
    <row r="47" spans="1:13" x14ac:dyDescent="0.25">
      <c r="A47" s="3"/>
      <c r="B47" s="3"/>
      <c r="C47" s="3"/>
      <c r="D47" s="3"/>
      <c r="E47" s="3"/>
      <c r="F47" s="3"/>
      <c r="G47" s="3"/>
      <c r="H47" s="3"/>
      <c r="I47" s="3"/>
      <c r="J47" s="3"/>
      <c r="K47" s="3"/>
      <c r="L47" s="3"/>
      <c r="M47" s="2"/>
    </row>
    <row r="48" spans="1:13" ht="12.75" customHeight="1" x14ac:dyDescent="0.25">
      <c r="A48" s="7" t="s">
        <v>71</v>
      </c>
      <c r="B48" s="7" t="s">
        <v>70</v>
      </c>
      <c r="C48" s="323" t="s">
        <v>69</v>
      </c>
      <c r="D48" s="324"/>
      <c r="E48" s="324"/>
      <c r="F48" s="324"/>
      <c r="G48" s="324"/>
      <c r="H48" s="324"/>
      <c r="I48" s="324"/>
      <c r="J48" s="325"/>
      <c r="K48" s="326" t="s">
        <v>68</v>
      </c>
      <c r="L48" s="3"/>
      <c r="M48" s="2"/>
    </row>
    <row r="49" spans="1:13" x14ac:dyDescent="0.25">
      <c r="A49" s="328" t="s">
        <v>67</v>
      </c>
      <c r="B49" s="7" t="s">
        <v>66</v>
      </c>
      <c r="C49" s="323" t="s">
        <v>65</v>
      </c>
      <c r="D49" s="324"/>
      <c r="E49" s="324"/>
      <c r="F49" s="324"/>
      <c r="G49" s="324"/>
      <c r="H49" s="324"/>
      <c r="I49" s="324"/>
      <c r="J49" s="325"/>
      <c r="K49" s="327"/>
      <c r="L49" s="3"/>
      <c r="M49" s="2"/>
    </row>
    <row r="50" spans="1:13" x14ac:dyDescent="0.25">
      <c r="A50" s="329"/>
      <c r="B50" s="7" t="s">
        <v>64</v>
      </c>
      <c r="C50" s="7">
        <v>1</v>
      </c>
      <c r="D50" s="7">
        <v>1.1000000000000001</v>
      </c>
      <c r="E50" s="7">
        <v>1.2</v>
      </c>
      <c r="F50" s="7">
        <v>1.3</v>
      </c>
      <c r="G50" s="7">
        <v>1.4</v>
      </c>
      <c r="H50" s="7">
        <v>1.5</v>
      </c>
      <c r="I50" s="7">
        <v>1.75</v>
      </c>
      <c r="J50" s="7">
        <v>2</v>
      </c>
      <c r="K50" s="7" t="s">
        <v>63</v>
      </c>
      <c r="L50" s="3"/>
      <c r="M50" s="2"/>
    </row>
    <row r="51" spans="1:13" x14ac:dyDescent="0.25">
      <c r="A51" s="330">
        <f>+Slab!D7</f>
        <v>4</v>
      </c>
      <c r="B51" s="6" t="s">
        <v>62</v>
      </c>
      <c r="C51" s="5">
        <f t="shared" ref="C51:K52" si="0">+IF($A$51=1,C10,IF($A$51=2,C14,IF($A$51=3,C18,IF($A$51=4,C22,IF($A$51=5,C26,IF($A$51=6,C30,IF($A$51=7,C35,IF($A$51=8,C40,"check panel no."))))))))</f>
        <v>4.7E-2</v>
      </c>
      <c r="D51" s="5">
        <f t="shared" si="0"/>
        <v>5.2999999999999999E-2</v>
      </c>
      <c r="E51" s="5">
        <f t="shared" si="0"/>
        <v>0.06</v>
      </c>
      <c r="F51" s="5">
        <f t="shared" si="0"/>
        <v>6.5000000000000002E-2</v>
      </c>
      <c r="G51" s="5">
        <f t="shared" si="0"/>
        <v>7.0999999999999994E-2</v>
      </c>
      <c r="H51" s="5">
        <f t="shared" si="0"/>
        <v>7.4999999999999997E-2</v>
      </c>
      <c r="I51" s="5">
        <f t="shared" si="0"/>
        <v>8.4000000000000005E-2</v>
      </c>
      <c r="J51" s="5">
        <f t="shared" si="0"/>
        <v>9.0999999999999998E-2</v>
      </c>
      <c r="K51" s="5">
        <f t="shared" si="0"/>
        <v>4.7E-2</v>
      </c>
      <c r="L51" s="3"/>
      <c r="M51" s="2"/>
    </row>
    <row r="52" spans="1:13" x14ac:dyDescent="0.25">
      <c r="A52" s="331"/>
      <c r="B52" s="6" t="s">
        <v>61</v>
      </c>
      <c r="C52" s="5">
        <f t="shared" si="0"/>
        <v>3.5000000000000003E-2</v>
      </c>
      <c r="D52" s="5">
        <f t="shared" si="0"/>
        <v>0.04</v>
      </c>
      <c r="E52" s="5">
        <f t="shared" si="0"/>
        <v>4.4999999999999998E-2</v>
      </c>
      <c r="F52" s="5">
        <f t="shared" si="0"/>
        <v>4.9000000000000002E-2</v>
      </c>
      <c r="G52" s="5">
        <f t="shared" si="0"/>
        <v>5.2999999999999999E-2</v>
      </c>
      <c r="H52" s="5">
        <f t="shared" si="0"/>
        <v>5.6000000000000001E-2</v>
      </c>
      <c r="I52" s="5">
        <f t="shared" si="0"/>
        <v>6.3E-2</v>
      </c>
      <c r="J52" s="5">
        <f t="shared" si="0"/>
        <v>6.9000000000000006E-2</v>
      </c>
      <c r="K52" s="5">
        <f t="shared" si="0"/>
        <v>3.5000000000000003E-2</v>
      </c>
      <c r="L52" s="3"/>
      <c r="M52" s="2"/>
    </row>
    <row r="53" spans="1:13" x14ac:dyDescent="0.25">
      <c r="A53" s="3"/>
      <c r="B53" s="3"/>
      <c r="C53" s="3"/>
      <c r="D53" s="3"/>
      <c r="E53" s="3"/>
      <c r="F53" s="3"/>
      <c r="G53" s="3"/>
      <c r="H53" s="3"/>
      <c r="I53" s="3"/>
      <c r="J53" s="3"/>
      <c r="K53" s="3"/>
      <c r="L53" s="3"/>
      <c r="M53" s="3"/>
    </row>
    <row r="54" spans="1:13" x14ac:dyDescent="0.25">
      <c r="A54" s="3"/>
      <c r="B54" s="3"/>
      <c r="C54" s="3"/>
      <c r="D54" s="3"/>
      <c r="E54" s="3"/>
      <c r="F54" s="3"/>
      <c r="G54" s="3"/>
      <c r="H54" s="3"/>
      <c r="I54" s="3"/>
      <c r="J54" s="3"/>
      <c r="K54" s="3"/>
      <c r="L54" s="3"/>
      <c r="M54" s="2"/>
    </row>
    <row r="55" spans="1:13" x14ac:dyDescent="0.25">
      <c r="A55" s="3"/>
      <c r="B55" s="3"/>
      <c r="C55" s="3"/>
      <c r="D55" s="3"/>
      <c r="E55" s="3"/>
      <c r="F55" s="3"/>
      <c r="G55" s="3"/>
      <c r="H55" s="3"/>
      <c r="I55" s="3"/>
      <c r="J55" s="3"/>
      <c r="K55" s="3"/>
      <c r="L55" s="3"/>
      <c r="M55" s="2"/>
    </row>
    <row r="56" spans="1:13" x14ac:dyDescent="0.25">
      <c r="A56" s="3"/>
      <c r="B56" s="3"/>
      <c r="C56" s="3"/>
      <c r="D56" s="3"/>
      <c r="E56" s="3"/>
      <c r="F56" s="3"/>
      <c r="G56" s="3"/>
      <c r="H56" s="3"/>
      <c r="I56" s="3"/>
      <c r="J56" s="3"/>
      <c r="K56" s="3"/>
      <c r="L56" s="3"/>
      <c r="M56" s="2"/>
    </row>
    <row r="57" spans="1:13" x14ac:dyDescent="0.25">
      <c r="A57" s="318"/>
      <c r="B57" s="4"/>
      <c r="C57" s="3"/>
      <c r="D57" s="3"/>
      <c r="E57" s="3"/>
      <c r="F57" s="3"/>
      <c r="G57" s="3"/>
      <c r="H57" s="3"/>
      <c r="I57" s="3"/>
      <c r="J57" s="3"/>
      <c r="K57" s="3"/>
      <c r="L57" s="3"/>
      <c r="M57" s="2"/>
    </row>
    <row r="58" spans="1:13" x14ac:dyDescent="0.25">
      <c r="A58" s="318"/>
      <c r="B58" s="4"/>
      <c r="C58" s="3"/>
      <c r="D58" s="3"/>
      <c r="E58" s="3"/>
      <c r="F58" s="3"/>
      <c r="G58" s="3"/>
      <c r="H58" s="3"/>
      <c r="I58" s="3"/>
      <c r="J58" s="3"/>
      <c r="K58" s="3"/>
      <c r="L58" s="3"/>
      <c r="M58" s="2"/>
    </row>
    <row r="59" spans="1:13" x14ac:dyDescent="0.25">
      <c r="A59" s="3"/>
      <c r="B59" s="3"/>
      <c r="C59" s="3"/>
      <c r="D59" s="3"/>
      <c r="E59" s="3"/>
      <c r="F59" s="3"/>
      <c r="H59" s="3"/>
      <c r="I59" s="3"/>
      <c r="J59" s="3"/>
      <c r="K59" s="3"/>
      <c r="L59" s="3"/>
      <c r="M59" s="2"/>
    </row>
    <row r="60" spans="1:13" x14ac:dyDescent="0.25">
      <c r="A60" s="3"/>
      <c r="B60" s="3"/>
      <c r="C60" s="3"/>
      <c r="D60" s="3"/>
      <c r="E60" s="3"/>
      <c r="F60" s="3"/>
      <c r="G60" s="3"/>
      <c r="H60" s="3"/>
      <c r="I60" s="3"/>
      <c r="J60" s="3"/>
      <c r="K60" s="3"/>
      <c r="L60" s="3"/>
      <c r="M60" s="2"/>
    </row>
    <row r="61" spans="1:13" x14ac:dyDescent="0.25">
      <c r="A61" s="3"/>
      <c r="B61" s="3"/>
      <c r="C61" s="3"/>
      <c r="D61" s="3"/>
      <c r="E61" s="3"/>
      <c r="F61" s="3"/>
      <c r="G61" s="3"/>
      <c r="H61" s="3"/>
      <c r="I61" s="3"/>
      <c r="J61" s="3"/>
      <c r="K61" s="3"/>
      <c r="L61" s="3"/>
      <c r="M61" s="2"/>
    </row>
    <row r="62" spans="1:13" x14ac:dyDescent="0.25">
      <c r="A62" s="3"/>
      <c r="B62" s="3"/>
      <c r="C62" s="3"/>
      <c r="D62" s="3"/>
      <c r="E62" s="3"/>
      <c r="F62" s="3"/>
      <c r="G62" s="3"/>
      <c r="H62" s="3"/>
      <c r="I62" s="3"/>
      <c r="J62" s="3"/>
      <c r="K62" s="3"/>
      <c r="L62" s="3"/>
      <c r="M62" s="2"/>
    </row>
    <row r="63" spans="1:13" x14ac:dyDescent="0.25">
      <c r="A63" s="3"/>
      <c r="B63" s="3"/>
      <c r="C63" s="3"/>
      <c r="D63" s="3"/>
      <c r="E63" s="3"/>
      <c r="F63" s="3"/>
      <c r="G63" s="3"/>
      <c r="H63" s="3"/>
      <c r="I63" s="3"/>
      <c r="J63" s="3"/>
      <c r="K63" s="3"/>
      <c r="L63" s="3"/>
      <c r="M63" s="2"/>
    </row>
    <row r="64" spans="1:13" x14ac:dyDescent="0.25">
      <c r="A64" s="3"/>
      <c r="B64" s="3"/>
      <c r="C64" s="3"/>
      <c r="D64" s="3"/>
      <c r="E64" s="3"/>
      <c r="F64" s="3"/>
      <c r="G64" s="3"/>
      <c r="H64" s="3"/>
      <c r="I64" s="3"/>
      <c r="J64" s="3"/>
      <c r="K64" s="3"/>
      <c r="L64" s="3"/>
      <c r="M64" s="2"/>
    </row>
    <row r="65" spans="1:14" x14ac:dyDescent="0.25">
      <c r="A65" s="3"/>
      <c r="B65" s="3"/>
      <c r="C65" s="3"/>
      <c r="D65" s="3"/>
      <c r="E65" s="3"/>
      <c r="F65" s="3"/>
      <c r="G65" s="3"/>
      <c r="H65" s="3"/>
      <c r="I65" s="3"/>
      <c r="J65" s="3"/>
      <c r="K65" s="3"/>
      <c r="L65" s="3"/>
      <c r="M65" s="2"/>
    </row>
    <row r="66" spans="1:14" x14ac:dyDescent="0.25">
      <c r="A66" s="3"/>
      <c r="B66" s="3"/>
      <c r="C66" s="3"/>
      <c r="D66" s="3"/>
      <c r="E66" s="3"/>
      <c r="F66" s="3"/>
      <c r="G66" s="3"/>
      <c r="H66" s="3"/>
      <c r="I66" s="3"/>
      <c r="J66" s="3"/>
      <c r="K66" s="3"/>
      <c r="L66" s="3"/>
      <c r="M66" s="2"/>
    </row>
    <row r="67" spans="1:14" x14ac:dyDescent="0.25">
      <c r="A67" s="3"/>
      <c r="B67" s="3"/>
      <c r="C67" s="3"/>
      <c r="D67" s="3"/>
      <c r="E67" s="3"/>
      <c r="F67" s="3"/>
      <c r="G67" s="3"/>
      <c r="H67" s="3"/>
      <c r="I67" s="3"/>
      <c r="J67" s="3"/>
      <c r="K67" s="3"/>
      <c r="L67" s="3"/>
      <c r="M67" s="2"/>
    </row>
    <row r="68" spans="1:14" x14ac:dyDescent="0.25">
      <c r="A68" s="3"/>
      <c r="B68" s="3"/>
      <c r="C68" s="3"/>
      <c r="D68" s="3"/>
      <c r="E68" s="3"/>
      <c r="F68" s="3"/>
      <c r="G68" s="3"/>
      <c r="H68" s="3"/>
      <c r="I68" s="3"/>
      <c r="J68" s="3"/>
      <c r="K68" s="3"/>
      <c r="L68" s="3"/>
      <c r="M68" s="2"/>
    </row>
    <row r="69" spans="1:14" x14ac:dyDescent="0.25">
      <c r="A69" s="3"/>
      <c r="B69" s="3"/>
      <c r="C69" s="3"/>
      <c r="D69" s="3"/>
      <c r="E69" s="3"/>
      <c r="F69" s="3"/>
      <c r="G69" s="3"/>
      <c r="H69" s="3"/>
      <c r="I69" s="3"/>
      <c r="J69" s="3"/>
      <c r="K69" s="3"/>
      <c r="L69" s="3"/>
      <c r="M69" s="3"/>
      <c r="N69" s="3"/>
    </row>
    <row r="70" spans="1:14" x14ac:dyDescent="0.25">
      <c r="A70" s="3"/>
      <c r="B70" s="3"/>
      <c r="C70" s="3"/>
      <c r="D70" s="3"/>
      <c r="E70" s="3"/>
      <c r="F70" s="3"/>
      <c r="G70" s="3"/>
      <c r="H70" s="3"/>
      <c r="I70" s="3"/>
      <c r="J70" s="3"/>
      <c r="K70" s="3"/>
      <c r="L70" s="3"/>
      <c r="M70" s="3"/>
      <c r="N70" s="3"/>
    </row>
    <row r="71" spans="1:14" x14ac:dyDescent="0.25">
      <c r="A71" s="3"/>
      <c r="B71" s="3"/>
      <c r="C71" s="3"/>
      <c r="D71" s="3"/>
      <c r="E71" s="3"/>
      <c r="F71" s="3"/>
      <c r="G71" s="3"/>
      <c r="H71" s="3"/>
      <c r="I71" s="3"/>
      <c r="J71" s="3"/>
      <c r="K71" s="3"/>
      <c r="L71" s="3"/>
      <c r="M71" s="3"/>
      <c r="N71" s="3"/>
    </row>
    <row r="72" spans="1:14" x14ac:dyDescent="0.25">
      <c r="A72" s="3"/>
      <c r="B72" s="3"/>
      <c r="C72" s="3"/>
      <c r="D72" s="3"/>
      <c r="E72" s="3"/>
      <c r="F72" s="3"/>
      <c r="G72" s="3"/>
      <c r="H72" s="3"/>
      <c r="I72" s="3"/>
      <c r="J72" s="3"/>
      <c r="K72" s="3"/>
      <c r="L72" s="3"/>
      <c r="M72" s="3"/>
      <c r="N72" s="3"/>
    </row>
    <row r="73" spans="1:14" x14ac:dyDescent="0.25">
      <c r="A73" s="3"/>
      <c r="B73" s="3"/>
      <c r="C73" s="3"/>
      <c r="D73" s="3"/>
      <c r="E73" s="3"/>
      <c r="F73" s="3"/>
      <c r="G73" s="3"/>
      <c r="H73" s="3"/>
      <c r="I73" s="3"/>
      <c r="J73" s="3"/>
      <c r="K73" s="3"/>
      <c r="L73" s="3"/>
      <c r="M73" s="3"/>
      <c r="N73" s="3"/>
    </row>
    <row r="74" spans="1:14" x14ac:dyDescent="0.25">
      <c r="A74" s="2"/>
      <c r="B74" s="3"/>
      <c r="C74" s="3"/>
      <c r="D74" s="3"/>
      <c r="E74" s="3"/>
      <c r="F74" s="3"/>
      <c r="G74" s="3"/>
      <c r="H74" s="3"/>
      <c r="I74" s="3"/>
      <c r="J74" s="3"/>
      <c r="K74" s="3"/>
      <c r="L74" s="3"/>
      <c r="M74" s="3"/>
      <c r="N74" s="3"/>
    </row>
    <row r="75" spans="1:14" x14ac:dyDescent="0.25">
      <c r="A75" s="2"/>
      <c r="B75" s="3"/>
      <c r="C75" s="3"/>
      <c r="D75" s="3"/>
      <c r="E75" s="3"/>
      <c r="F75" s="3"/>
      <c r="G75" s="3"/>
      <c r="H75" s="3"/>
      <c r="I75" s="3"/>
      <c r="J75" s="3"/>
      <c r="K75" s="3"/>
      <c r="L75" s="3"/>
      <c r="M75" s="3"/>
      <c r="N75" s="3"/>
    </row>
    <row r="76" spans="1:14" x14ac:dyDescent="0.25">
      <c r="A76" s="2"/>
      <c r="B76" s="3"/>
      <c r="C76" s="3"/>
      <c r="D76" s="3"/>
      <c r="E76" s="3"/>
      <c r="F76" s="3"/>
      <c r="G76" s="3"/>
      <c r="H76" s="3"/>
      <c r="I76" s="3"/>
      <c r="J76" s="3"/>
      <c r="K76" s="3"/>
      <c r="L76" s="3"/>
      <c r="M76" s="3"/>
      <c r="N76" s="3"/>
    </row>
    <row r="77" spans="1:14" x14ac:dyDescent="0.25">
      <c r="A77" s="2"/>
      <c r="B77" s="3"/>
      <c r="C77" s="3"/>
      <c r="D77" s="3"/>
      <c r="E77" s="3"/>
      <c r="F77" s="3"/>
      <c r="G77" s="3"/>
      <c r="H77" s="3"/>
      <c r="I77" s="3"/>
      <c r="J77" s="3"/>
      <c r="K77" s="3"/>
      <c r="L77" s="3"/>
      <c r="M77" s="3"/>
      <c r="N77" s="3"/>
    </row>
    <row r="78" spans="1:14" x14ac:dyDescent="0.25">
      <c r="A78" s="2"/>
      <c r="B78" s="3"/>
      <c r="C78" s="3"/>
      <c r="D78" s="3"/>
      <c r="E78" s="3"/>
      <c r="F78" s="3"/>
      <c r="G78" s="3"/>
      <c r="H78" s="3"/>
      <c r="I78" s="3"/>
      <c r="J78" s="3"/>
      <c r="K78" s="3"/>
      <c r="L78" s="3"/>
      <c r="M78" s="3"/>
      <c r="N78" s="3"/>
    </row>
    <row r="79" spans="1:14" x14ac:dyDescent="0.25">
      <c r="A79" s="2"/>
      <c r="B79" s="3"/>
      <c r="C79" s="3"/>
      <c r="D79" s="3"/>
      <c r="E79" s="3"/>
      <c r="F79" s="3"/>
      <c r="G79" s="3"/>
      <c r="H79" s="3"/>
      <c r="I79" s="3"/>
      <c r="J79" s="3"/>
      <c r="K79" s="3"/>
      <c r="L79" s="3"/>
      <c r="M79" s="3"/>
      <c r="N79" s="3"/>
    </row>
    <row r="80" spans="1:14" x14ac:dyDescent="0.25">
      <c r="A80" s="2"/>
      <c r="B80" s="3"/>
      <c r="C80" s="3"/>
      <c r="D80" s="3"/>
      <c r="E80" s="3"/>
      <c r="F80" s="3"/>
      <c r="G80" s="3"/>
      <c r="H80" s="3"/>
      <c r="I80" s="3"/>
      <c r="J80" s="3"/>
      <c r="K80" s="3"/>
      <c r="L80" s="3"/>
      <c r="M80" s="3"/>
      <c r="N80" s="3"/>
    </row>
    <row r="81" spans="1:14" x14ac:dyDescent="0.25">
      <c r="A81" s="2"/>
      <c r="B81" s="3"/>
      <c r="C81" s="3"/>
      <c r="D81" s="3"/>
      <c r="E81" s="3"/>
      <c r="F81" s="3"/>
      <c r="G81" s="3"/>
      <c r="H81" s="3"/>
      <c r="I81" s="3"/>
      <c r="J81" s="3"/>
      <c r="K81" s="3"/>
      <c r="L81" s="3"/>
      <c r="M81" s="3"/>
      <c r="N81" s="3"/>
    </row>
    <row r="82" spans="1:14" x14ac:dyDescent="0.25">
      <c r="A82" s="2"/>
      <c r="B82" s="3"/>
      <c r="C82" s="3"/>
      <c r="D82" s="3"/>
      <c r="E82" s="3"/>
      <c r="F82" s="3"/>
      <c r="G82" s="3"/>
      <c r="H82" s="3"/>
      <c r="I82" s="3"/>
      <c r="J82" s="3"/>
      <c r="K82" s="3"/>
      <c r="L82" s="3"/>
      <c r="M82" s="3"/>
      <c r="N82" s="3"/>
    </row>
    <row r="83" spans="1:14" x14ac:dyDescent="0.25">
      <c r="A83" s="2"/>
      <c r="B83" s="3"/>
      <c r="C83" s="3"/>
      <c r="D83" s="3"/>
      <c r="E83" s="3"/>
      <c r="F83" s="3"/>
      <c r="G83" s="3"/>
      <c r="H83" s="3"/>
      <c r="I83" s="3"/>
      <c r="J83" s="3"/>
      <c r="K83" s="3"/>
      <c r="L83" s="3"/>
      <c r="M83" s="3"/>
      <c r="N83" s="3"/>
    </row>
    <row r="84" spans="1:14" x14ac:dyDescent="0.25">
      <c r="A84" s="2"/>
      <c r="B84" s="3"/>
      <c r="C84" s="3"/>
      <c r="D84" s="3"/>
      <c r="E84" s="3"/>
      <c r="F84" s="3"/>
      <c r="G84" s="3"/>
      <c r="H84" s="3"/>
      <c r="I84" s="3"/>
      <c r="J84" s="3"/>
      <c r="K84" s="3"/>
      <c r="L84" s="3"/>
      <c r="M84" s="3"/>
      <c r="N84" s="3"/>
    </row>
    <row r="85" spans="1:14" x14ac:dyDescent="0.25">
      <c r="A85" s="2"/>
      <c r="B85" s="3"/>
      <c r="C85" s="3"/>
      <c r="D85" s="3"/>
      <c r="E85" s="3"/>
      <c r="F85" s="3"/>
      <c r="G85" s="3"/>
      <c r="H85" s="3"/>
      <c r="I85" s="3"/>
      <c r="J85" s="3"/>
      <c r="K85" s="3"/>
      <c r="L85" s="3"/>
      <c r="M85" s="3"/>
      <c r="N85" s="3"/>
    </row>
    <row r="86" spans="1:14" x14ac:dyDescent="0.25">
      <c r="A86" s="2"/>
      <c r="B86" s="2"/>
      <c r="C86" s="2"/>
      <c r="D86" s="2"/>
      <c r="E86" s="2"/>
      <c r="F86" s="2"/>
      <c r="G86" s="2"/>
      <c r="H86" s="2"/>
      <c r="I86" s="2"/>
      <c r="J86" s="2"/>
      <c r="K86" s="2"/>
      <c r="L86" s="2"/>
      <c r="M86" s="2"/>
    </row>
    <row r="87" spans="1:14" x14ac:dyDescent="0.25">
      <c r="A87" s="2"/>
      <c r="B87" s="2"/>
      <c r="C87" s="2"/>
      <c r="D87" s="2"/>
      <c r="E87" s="2"/>
      <c r="F87" s="2"/>
      <c r="G87" s="2"/>
      <c r="H87" s="2"/>
      <c r="I87" s="2"/>
      <c r="J87" s="2"/>
      <c r="K87" s="2"/>
      <c r="L87" s="2"/>
      <c r="M87" s="2"/>
    </row>
    <row r="88" spans="1:14" x14ac:dyDescent="0.25">
      <c r="A88" s="2"/>
      <c r="B88" s="2"/>
      <c r="C88" s="2"/>
      <c r="D88" s="2"/>
      <c r="E88" s="2"/>
      <c r="F88" s="2"/>
      <c r="G88" s="2"/>
      <c r="H88" s="2"/>
      <c r="I88" s="2"/>
      <c r="J88" s="2"/>
      <c r="K88" s="2"/>
      <c r="L88" s="2"/>
      <c r="M88" s="2"/>
    </row>
    <row r="89" spans="1:14" x14ac:dyDescent="0.25">
      <c r="A89" s="2"/>
      <c r="B89" s="2"/>
      <c r="C89" s="2"/>
      <c r="D89" s="2"/>
      <c r="E89" s="2"/>
      <c r="F89" s="2"/>
      <c r="G89" s="2"/>
      <c r="H89" s="2"/>
      <c r="I89" s="2"/>
      <c r="J89" s="2"/>
      <c r="K89" s="2"/>
      <c r="L89" s="2"/>
      <c r="M89" s="2"/>
    </row>
    <row r="90" spans="1:14" x14ac:dyDescent="0.25">
      <c r="A90" s="2"/>
      <c r="B90" s="2"/>
      <c r="C90" s="2"/>
      <c r="D90" s="2"/>
      <c r="E90" s="2"/>
      <c r="F90" s="2"/>
      <c r="G90" s="2"/>
      <c r="H90" s="2"/>
      <c r="I90" s="2"/>
      <c r="J90" s="2"/>
      <c r="K90" s="2"/>
      <c r="L90" s="2"/>
      <c r="M90" s="2"/>
    </row>
    <row r="91" spans="1:14" x14ac:dyDescent="0.25">
      <c r="A91" s="2"/>
      <c r="B91" s="2"/>
      <c r="C91" s="2"/>
      <c r="D91" s="2"/>
      <c r="E91" s="2"/>
      <c r="F91" s="2"/>
      <c r="G91" s="2"/>
      <c r="H91" s="2"/>
      <c r="I91" s="2"/>
      <c r="J91" s="2"/>
      <c r="K91" s="2"/>
      <c r="L91" s="2"/>
      <c r="M91" s="2"/>
    </row>
    <row r="92" spans="1:14" x14ac:dyDescent="0.25">
      <c r="A92" s="2"/>
      <c r="B92" s="2"/>
      <c r="C92" s="2"/>
      <c r="D92" s="2"/>
      <c r="E92" s="2"/>
      <c r="F92" s="2"/>
      <c r="G92" s="2"/>
      <c r="H92" s="2"/>
      <c r="I92" s="2"/>
      <c r="J92" s="2"/>
      <c r="K92" s="2"/>
      <c r="L92" s="2"/>
      <c r="M92" s="2"/>
    </row>
    <row r="93" spans="1:14" x14ac:dyDescent="0.25">
      <c r="A93" s="2"/>
      <c r="B93" s="2"/>
      <c r="C93" s="2"/>
      <c r="D93" s="2"/>
      <c r="E93" s="2"/>
      <c r="F93" s="2"/>
      <c r="G93" s="2"/>
      <c r="H93" s="2"/>
      <c r="I93" s="2"/>
      <c r="J93" s="2"/>
      <c r="K93" s="2"/>
      <c r="L93" s="2"/>
      <c r="M93" s="2"/>
    </row>
    <row r="94" spans="1:14" x14ac:dyDescent="0.25">
      <c r="A94" s="2"/>
      <c r="B94" s="2"/>
      <c r="C94" s="2"/>
      <c r="D94" s="2"/>
      <c r="E94" s="2"/>
      <c r="F94" s="2"/>
      <c r="G94" s="2"/>
      <c r="H94" s="2"/>
      <c r="I94" s="2"/>
      <c r="J94" s="2"/>
      <c r="K94" s="2"/>
      <c r="L94" s="2"/>
      <c r="M94" s="2"/>
    </row>
    <row r="95" spans="1:14" x14ac:dyDescent="0.25">
      <c r="A95" s="2"/>
      <c r="B95" s="2"/>
      <c r="C95" s="2"/>
      <c r="D95" s="2"/>
      <c r="E95" s="2"/>
      <c r="F95" s="2"/>
      <c r="G95" s="2"/>
      <c r="H95" s="2"/>
      <c r="I95" s="2"/>
      <c r="J95" s="2"/>
      <c r="K95" s="2"/>
      <c r="L95" s="2"/>
      <c r="M95" s="2"/>
    </row>
    <row r="96" spans="1:14" x14ac:dyDescent="0.25">
      <c r="A96" s="2"/>
      <c r="B96" s="2"/>
      <c r="C96" s="2"/>
      <c r="D96" s="2"/>
      <c r="E96" s="2"/>
      <c r="F96" s="2"/>
      <c r="G96" s="2"/>
      <c r="H96" s="2"/>
      <c r="I96" s="2"/>
      <c r="J96" s="2"/>
      <c r="K96" s="2"/>
      <c r="L96" s="2"/>
      <c r="M96" s="2"/>
    </row>
    <row r="97" spans="1:13" x14ac:dyDescent="0.25">
      <c r="A97" s="2"/>
      <c r="B97" s="2"/>
      <c r="C97" s="2"/>
      <c r="D97" s="2"/>
      <c r="E97" s="2"/>
      <c r="F97" s="2"/>
      <c r="G97" s="2"/>
      <c r="H97" s="2"/>
      <c r="I97" s="2"/>
      <c r="J97" s="2"/>
      <c r="K97" s="2"/>
      <c r="L97" s="2"/>
      <c r="M97" s="2"/>
    </row>
    <row r="98" spans="1:13" x14ac:dyDescent="0.25">
      <c r="A98" s="2"/>
      <c r="B98" s="2"/>
      <c r="C98" s="2"/>
      <c r="D98" s="2"/>
      <c r="E98" s="2"/>
      <c r="F98" s="2"/>
      <c r="G98" s="2"/>
      <c r="H98" s="2"/>
      <c r="I98" s="2"/>
      <c r="J98" s="2"/>
      <c r="K98" s="2"/>
      <c r="L98" s="2"/>
      <c r="M98" s="2"/>
    </row>
    <row r="99" spans="1:13" x14ac:dyDescent="0.25">
      <c r="A99" s="2"/>
      <c r="B99" s="2"/>
      <c r="C99" s="2"/>
      <c r="D99" s="2"/>
      <c r="E99" s="2"/>
      <c r="F99" s="2"/>
      <c r="G99" s="2"/>
      <c r="H99" s="2"/>
      <c r="I99" s="2"/>
      <c r="J99" s="2"/>
      <c r="K99" s="2"/>
      <c r="L99" s="2"/>
      <c r="M99" s="2"/>
    </row>
    <row r="100" spans="1:13" x14ac:dyDescent="0.25">
      <c r="A100" s="2"/>
      <c r="B100" s="2"/>
      <c r="C100" s="2"/>
      <c r="D100" s="2"/>
      <c r="E100" s="2"/>
      <c r="F100" s="2"/>
      <c r="G100" s="2"/>
      <c r="H100" s="2"/>
      <c r="I100" s="2"/>
      <c r="J100" s="2"/>
      <c r="K100" s="2"/>
      <c r="L100" s="2"/>
      <c r="M100" s="2"/>
    </row>
    <row r="101" spans="1:13" x14ac:dyDescent="0.25">
      <c r="A101" s="2"/>
      <c r="B101" s="2"/>
      <c r="C101" s="2"/>
      <c r="D101" s="2"/>
      <c r="E101" s="2"/>
      <c r="F101" s="2"/>
      <c r="G101" s="2"/>
      <c r="H101" s="2"/>
      <c r="I101" s="2"/>
      <c r="J101" s="2"/>
      <c r="K101" s="2"/>
      <c r="L101" s="2"/>
      <c r="M101" s="2"/>
    </row>
    <row r="102" spans="1:13" x14ac:dyDescent="0.25">
      <c r="A102" s="2"/>
      <c r="B102" s="2"/>
      <c r="C102" s="2"/>
      <c r="D102" s="2"/>
      <c r="E102" s="2"/>
      <c r="F102" s="2"/>
      <c r="G102" s="2"/>
      <c r="H102" s="2"/>
      <c r="I102" s="2"/>
      <c r="J102" s="2"/>
      <c r="K102" s="2"/>
      <c r="L102" s="2"/>
      <c r="M102" s="2"/>
    </row>
    <row r="103" spans="1:13" x14ac:dyDescent="0.25">
      <c r="A103" s="2"/>
      <c r="B103" s="2"/>
      <c r="C103" s="2"/>
      <c r="D103" s="2"/>
      <c r="E103" s="2"/>
      <c r="F103" s="2"/>
      <c r="G103" s="2"/>
      <c r="H103" s="2"/>
      <c r="I103" s="2"/>
      <c r="J103" s="2"/>
      <c r="K103" s="2"/>
      <c r="L103" s="2"/>
      <c r="M103" s="2"/>
    </row>
    <row r="104" spans="1:13" x14ac:dyDescent="0.25">
      <c r="A104" s="2"/>
      <c r="B104" s="2"/>
      <c r="C104" s="2"/>
      <c r="D104" s="2"/>
      <c r="E104" s="2"/>
      <c r="F104" s="2"/>
      <c r="G104" s="2"/>
      <c r="H104" s="2"/>
      <c r="I104" s="2"/>
      <c r="J104" s="2"/>
      <c r="K104" s="2"/>
      <c r="L104" s="2"/>
      <c r="M104" s="2"/>
    </row>
    <row r="105" spans="1:13" x14ac:dyDescent="0.25">
      <c r="A105" s="2"/>
      <c r="B105" s="2"/>
      <c r="C105" s="2"/>
      <c r="D105" s="2"/>
      <c r="E105" s="2"/>
      <c r="F105" s="2"/>
      <c r="G105" s="2"/>
      <c r="H105" s="2"/>
      <c r="I105" s="2"/>
      <c r="J105" s="2"/>
      <c r="K105" s="2"/>
      <c r="L105" s="2"/>
      <c r="M105" s="2"/>
    </row>
    <row r="106" spans="1:13" x14ac:dyDescent="0.25">
      <c r="A106" s="2"/>
      <c r="B106" s="2"/>
      <c r="C106" s="2"/>
      <c r="D106" s="2"/>
      <c r="E106" s="2"/>
      <c r="F106" s="2"/>
      <c r="G106" s="2"/>
      <c r="H106" s="2"/>
      <c r="I106" s="2"/>
      <c r="J106" s="2"/>
      <c r="K106" s="2"/>
      <c r="L106" s="2"/>
      <c r="M106" s="2"/>
    </row>
    <row r="107" spans="1:13" x14ac:dyDescent="0.25">
      <c r="A107" s="2"/>
      <c r="B107" s="2"/>
      <c r="C107" s="2"/>
      <c r="D107" s="2"/>
      <c r="E107" s="2"/>
      <c r="F107" s="2"/>
      <c r="G107" s="2"/>
      <c r="H107" s="2"/>
      <c r="I107" s="2"/>
      <c r="J107" s="2"/>
      <c r="K107" s="2"/>
      <c r="L107" s="2"/>
      <c r="M107" s="2"/>
    </row>
    <row r="108" spans="1:13" x14ac:dyDescent="0.25">
      <c r="A108" s="2"/>
      <c r="B108" s="2"/>
      <c r="C108" s="2"/>
      <c r="D108" s="2"/>
      <c r="E108" s="2"/>
      <c r="F108" s="2"/>
      <c r="G108" s="2"/>
      <c r="H108" s="2"/>
      <c r="I108" s="2"/>
      <c r="J108" s="2"/>
      <c r="K108" s="2"/>
      <c r="L108" s="2"/>
      <c r="M108" s="2"/>
    </row>
    <row r="109" spans="1:13" x14ac:dyDescent="0.25">
      <c r="A109" s="2"/>
      <c r="B109" s="2"/>
      <c r="C109" s="2"/>
      <c r="D109" s="2"/>
      <c r="E109" s="2"/>
      <c r="F109" s="2"/>
      <c r="G109" s="2"/>
      <c r="H109" s="2"/>
      <c r="I109" s="2"/>
      <c r="J109" s="2"/>
      <c r="K109" s="2"/>
      <c r="L109" s="2"/>
      <c r="M109" s="2"/>
    </row>
    <row r="110" spans="1:13" x14ac:dyDescent="0.25">
      <c r="A110" s="2"/>
      <c r="B110" s="2"/>
      <c r="C110" s="2"/>
      <c r="D110" s="2"/>
      <c r="E110" s="2"/>
      <c r="F110" s="2"/>
      <c r="G110" s="2"/>
      <c r="H110" s="2"/>
      <c r="I110" s="2"/>
      <c r="J110" s="2"/>
      <c r="K110" s="2"/>
      <c r="L110" s="2"/>
      <c r="M110" s="2"/>
    </row>
    <row r="111" spans="1:13" x14ac:dyDescent="0.25">
      <c r="A111" s="2"/>
      <c r="B111" s="2"/>
      <c r="C111" s="2"/>
      <c r="D111" s="2"/>
      <c r="E111" s="2"/>
      <c r="F111" s="2"/>
      <c r="G111" s="2"/>
      <c r="H111" s="2"/>
      <c r="I111" s="2"/>
      <c r="J111" s="2"/>
      <c r="K111" s="2"/>
      <c r="L111" s="2"/>
      <c r="M111" s="2"/>
    </row>
    <row r="112" spans="1:13" x14ac:dyDescent="0.25">
      <c r="A112" s="2"/>
      <c r="B112" s="2"/>
      <c r="C112" s="2"/>
      <c r="D112" s="2"/>
      <c r="E112" s="2"/>
      <c r="F112" s="2"/>
      <c r="G112" s="2"/>
      <c r="H112" s="2"/>
      <c r="I112" s="2"/>
      <c r="J112" s="2"/>
      <c r="K112" s="2"/>
      <c r="L112" s="2"/>
      <c r="M112" s="2"/>
    </row>
    <row r="113" spans="1:13" x14ac:dyDescent="0.25">
      <c r="A113" s="2"/>
      <c r="B113" s="2"/>
      <c r="C113" s="2"/>
      <c r="D113" s="2"/>
      <c r="E113" s="2"/>
      <c r="F113" s="2"/>
      <c r="G113" s="2"/>
      <c r="H113" s="2"/>
      <c r="I113" s="2"/>
      <c r="J113" s="2"/>
      <c r="K113" s="2"/>
      <c r="L113" s="2"/>
      <c r="M113" s="2"/>
    </row>
    <row r="114" spans="1:13" x14ac:dyDescent="0.25">
      <c r="A114" s="2"/>
      <c r="B114" s="2"/>
      <c r="C114" s="2"/>
      <c r="D114" s="2"/>
      <c r="E114" s="2"/>
      <c r="F114" s="2"/>
      <c r="G114" s="2"/>
      <c r="H114" s="2"/>
      <c r="I114" s="2"/>
      <c r="J114" s="2"/>
      <c r="K114" s="2"/>
      <c r="L114" s="2"/>
      <c r="M114" s="2"/>
    </row>
    <row r="115" spans="1:13" x14ac:dyDescent="0.25">
      <c r="A115" s="2"/>
      <c r="B115" s="2"/>
      <c r="C115" s="2"/>
      <c r="D115" s="2"/>
      <c r="E115" s="2"/>
      <c r="F115" s="2"/>
      <c r="G115" s="2"/>
      <c r="H115" s="2"/>
      <c r="I115" s="2"/>
      <c r="J115" s="2"/>
      <c r="K115" s="2"/>
      <c r="L115" s="2"/>
      <c r="M115" s="2"/>
    </row>
    <row r="116" spans="1:13" x14ac:dyDescent="0.25">
      <c r="A116" s="2"/>
      <c r="B116" s="2"/>
      <c r="C116" s="2"/>
      <c r="D116" s="2"/>
      <c r="E116" s="2"/>
      <c r="F116" s="2"/>
      <c r="G116" s="2"/>
      <c r="H116" s="2"/>
      <c r="I116" s="2"/>
      <c r="J116" s="2"/>
      <c r="K116" s="2"/>
      <c r="L116" s="2"/>
      <c r="M116" s="2"/>
    </row>
    <row r="117" spans="1:13" x14ac:dyDescent="0.25">
      <c r="A117" s="2"/>
      <c r="B117" s="2"/>
      <c r="C117" s="2"/>
      <c r="D117" s="2"/>
      <c r="E117" s="2"/>
      <c r="F117" s="2"/>
      <c r="G117" s="2"/>
      <c r="H117" s="2"/>
      <c r="I117" s="2"/>
      <c r="J117" s="2"/>
      <c r="K117" s="2"/>
      <c r="L117" s="2"/>
      <c r="M117" s="2"/>
    </row>
    <row r="118" spans="1:13" x14ac:dyDescent="0.25">
      <c r="A118" s="2"/>
      <c r="B118" s="2"/>
      <c r="C118" s="2"/>
      <c r="D118" s="2"/>
      <c r="E118" s="2"/>
      <c r="F118" s="2"/>
      <c r="G118" s="2"/>
      <c r="H118" s="2"/>
      <c r="I118" s="2"/>
      <c r="J118" s="2"/>
      <c r="K118" s="2"/>
      <c r="L118" s="2"/>
      <c r="M118" s="2"/>
    </row>
    <row r="119" spans="1:13" x14ac:dyDescent="0.25">
      <c r="A119" s="2"/>
      <c r="B119" s="2"/>
      <c r="C119" s="2"/>
      <c r="D119" s="2"/>
      <c r="E119" s="2"/>
      <c r="F119" s="2"/>
      <c r="G119" s="2"/>
      <c r="H119" s="2"/>
      <c r="I119" s="2"/>
      <c r="J119" s="2"/>
      <c r="K119" s="2"/>
      <c r="L119" s="2"/>
      <c r="M119" s="2"/>
    </row>
    <row r="120" spans="1:13" x14ac:dyDescent="0.25">
      <c r="A120" s="2"/>
      <c r="B120" s="2"/>
      <c r="C120" s="2"/>
      <c r="D120" s="2"/>
      <c r="E120" s="2"/>
      <c r="F120" s="2"/>
      <c r="G120" s="2"/>
      <c r="H120" s="2"/>
      <c r="I120" s="2"/>
      <c r="J120" s="2"/>
      <c r="K120" s="2"/>
      <c r="L120" s="2"/>
      <c r="M120" s="2"/>
    </row>
    <row r="121" spans="1:13" x14ac:dyDescent="0.25">
      <c r="A121" s="2"/>
      <c r="B121" s="2"/>
      <c r="C121" s="2"/>
      <c r="D121" s="2"/>
      <c r="E121" s="2"/>
      <c r="F121" s="2"/>
      <c r="G121" s="2"/>
      <c r="H121" s="2"/>
      <c r="I121" s="2"/>
      <c r="J121" s="2"/>
      <c r="K121" s="2"/>
      <c r="L121" s="2"/>
      <c r="M121" s="2"/>
    </row>
    <row r="122" spans="1:13" x14ac:dyDescent="0.25">
      <c r="A122" s="2"/>
      <c r="B122" s="2"/>
      <c r="C122" s="2"/>
      <c r="D122" s="2"/>
      <c r="E122" s="2"/>
      <c r="F122" s="2"/>
      <c r="G122" s="2"/>
      <c r="H122" s="2"/>
      <c r="I122" s="2"/>
      <c r="J122" s="2"/>
      <c r="K122" s="2"/>
      <c r="L122" s="2"/>
      <c r="M122" s="2"/>
    </row>
    <row r="123" spans="1:13" x14ac:dyDescent="0.25">
      <c r="A123" s="2"/>
      <c r="B123" s="2"/>
      <c r="C123" s="2"/>
      <c r="D123" s="2"/>
      <c r="E123" s="2"/>
      <c r="F123" s="2"/>
      <c r="G123" s="2"/>
      <c r="H123" s="2"/>
      <c r="I123" s="2"/>
      <c r="J123" s="2"/>
      <c r="K123" s="2"/>
      <c r="L123" s="2"/>
      <c r="M123" s="2"/>
    </row>
    <row r="124" spans="1:13" x14ac:dyDescent="0.25">
      <c r="A124" s="2"/>
      <c r="B124" s="2"/>
      <c r="C124" s="2"/>
      <c r="D124" s="2"/>
      <c r="E124" s="2"/>
      <c r="F124" s="2"/>
      <c r="G124" s="2"/>
      <c r="H124" s="2"/>
      <c r="I124" s="2"/>
      <c r="J124" s="2"/>
      <c r="K124" s="2"/>
      <c r="L124" s="2"/>
      <c r="M124" s="2"/>
    </row>
    <row r="125" spans="1:13" x14ac:dyDescent="0.25">
      <c r="A125" s="2"/>
      <c r="B125" s="2"/>
      <c r="C125" s="2"/>
      <c r="D125" s="2"/>
      <c r="E125" s="2"/>
      <c r="F125" s="2"/>
      <c r="G125" s="2"/>
      <c r="H125" s="2"/>
      <c r="I125" s="2"/>
      <c r="J125" s="2"/>
      <c r="K125" s="2"/>
      <c r="L125" s="2"/>
      <c r="M125" s="2"/>
    </row>
    <row r="126" spans="1:13" x14ac:dyDescent="0.25">
      <c r="A126" s="2"/>
      <c r="B126" s="2"/>
      <c r="C126" s="2"/>
      <c r="D126" s="2"/>
      <c r="E126" s="2"/>
      <c r="F126" s="2"/>
      <c r="G126" s="2"/>
      <c r="H126" s="2"/>
      <c r="I126" s="2"/>
      <c r="J126" s="2"/>
      <c r="K126" s="2"/>
      <c r="L126" s="2"/>
      <c r="M126" s="2"/>
    </row>
    <row r="127" spans="1:13" x14ac:dyDescent="0.25">
      <c r="A127" s="2"/>
      <c r="B127" s="2"/>
      <c r="C127" s="2"/>
      <c r="D127" s="2"/>
      <c r="E127" s="2"/>
      <c r="F127" s="2"/>
      <c r="G127" s="2"/>
      <c r="H127" s="2"/>
      <c r="I127" s="2"/>
      <c r="J127" s="2"/>
      <c r="K127" s="2"/>
      <c r="L127" s="2"/>
      <c r="M127" s="2"/>
    </row>
    <row r="128" spans="1:13" x14ac:dyDescent="0.25">
      <c r="A128" s="2"/>
      <c r="B128" s="2"/>
      <c r="C128" s="2"/>
      <c r="D128" s="2"/>
      <c r="E128" s="2"/>
      <c r="F128" s="2"/>
      <c r="G128" s="2"/>
      <c r="H128" s="2"/>
      <c r="I128" s="2"/>
      <c r="J128" s="2"/>
      <c r="K128" s="2"/>
      <c r="L128" s="2"/>
      <c r="M128" s="2"/>
    </row>
    <row r="129" spans="1:13" x14ac:dyDescent="0.25">
      <c r="A129" s="2"/>
      <c r="B129" s="2"/>
      <c r="C129" s="2"/>
      <c r="D129" s="2"/>
      <c r="E129" s="2"/>
      <c r="F129" s="2"/>
      <c r="G129" s="2"/>
      <c r="H129" s="2"/>
      <c r="I129" s="2"/>
      <c r="J129" s="2"/>
      <c r="K129" s="2"/>
      <c r="L129" s="2"/>
      <c r="M129" s="2"/>
    </row>
    <row r="130" spans="1:13" x14ac:dyDescent="0.25">
      <c r="A130" s="2"/>
      <c r="B130" s="2"/>
      <c r="C130" s="2"/>
      <c r="D130" s="2"/>
      <c r="E130" s="2"/>
      <c r="F130" s="2"/>
      <c r="G130" s="2"/>
      <c r="H130" s="2"/>
      <c r="I130" s="2"/>
      <c r="J130" s="2"/>
      <c r="K130" s="2"/>
      <c r="L130" s="2"/>
      <c r="M130" s="2"/>
    </row>
    <row r="131" spans="1:13" x14ac:dyDescent="0.25">
      <c r="A131" s="2"/>
      <c r="B131" s="2"/>
      <c r="C131" s="2"/>
      <c r="D131" s="2"/>
      <c r="E131" s="2"/>
      <c r="F131" s="2"/>
      <c r="G131" s="2"/>
      <c r="H131" s="2"/>
      <c r="I131" s="2"/>
      <c r="J131" s="2"/>
      <c r="K131" s="2"/>
      <c r="L131" s="2"/>
      <c r="M131" s="2"/>
    </row>
    <row r="132" spans="1:13" x14ac:dyDescent="0.25">
      <c r="A132" s="2"/>
      <c r="B132" s="2"/>
      <c r="C132" s="2"/>
      <c r="D132" s="2"/>
      <c r="E132" s="2"/>
      <c r="F132" s="2"/>
      <c r="G132" s="2"/>
      <c r="H132" s="2"/>
      <c r="I132" s="2"/>
      <c r="J132" s="2"/>
      <c r="K132" s="2"/>
      <c r="L132" s="2"/>
      <c r="M132" s="2"/>
    </row>
    <row r="133" spans="1:13" x14ac:dyDescent="0.25">
      <c r="A133" s="2"/>
      <c r="B133" s="2"/>
      <c r="C133" s="2"/>
      <c r="D133" s="2"/>
      <c r="E133" s="2"/>
      <c r="F133" s="2"/>
      <c r="G133" s="2"/>
      <c r="H133" s="2"/>
      <c r="I133" s="2"/>
      <c r="J133" s="2"/>
      <c r="K133" s="2"/>
      <c r="L133" s="2"/>
      <c r="M133" s="2"/>
    </row>
    <row r="134" spans="1:13" x14ac:dyDescent="0.25">
      <c r="A134" s="2"/>
      <c r="B134" s="2"/>
      <c r="C134" s="2"/>
      <c r="D134" s="2"/>
      <c r="E134" s="2"/>
      <c r="F134" s="2"/>
      <c r="G134" s="2"/>
      <c r="H134" s="2"/>
      <c r="I134" s="2"/>
      <c r="J134" s="2"/>
      <c r="K134" s="2"/>
      <c r="L134" s="2"/>
      <c r="M134" s="2"/>
    </row>
    <row r="135" spans="1:13" x14ac:dyDescent="0.25">
      <c r="A135" s="2"/>
      <c r="B135" s="2"/>
      <c r="C135" s="2"/>
      <c r="D135" s="2"/>
      <c r="E135" s="2"/>
      <c r="F135" s="2"/>
      <c r="G135" s="2"/>
      <c r="H135" s="2"/>
      <c r="I135" s="2"/>
      <c r="J135" s="2"/>
      <c r="K135" s="2"/>
      <c r="L135" s="2"/>
      <c r="M135" s="2"/>
    </row>
    <row r="136" spans="1:13" x14ac:dyDescent="0.25">
      <c r="A136" s="2"/>
      <c r="B136" s="2"/>
      <c r="C136" s="2"/>
      <c r="D136" s="2"/>
      <c r="E136" s="2"/>
      <c r="F136" s="2"/>
      <c r="G136" s="2"/>
      <c r="H136" s="2"/>
      <c r="I136" s="2"/>
      <c r="J136" s="2"/>
      <c r="K136" s="2"/>
      <c r="L136" s="2"/>
      <c r="M136" s="2"/>
    </row>
    <row r="137" spans="1:13" x14ac:dyDescent="0.25">
      <c r="A137" s="2"/>
      <c r="B137" s="2"/>
      <c r="C137" s="2"/>
      <c r="D137" s="2"/>
      <c r="E137" s="2"/>
      <c r="F137" s="2"/>
      <c r="G137" s="2"/>
      <c r="H137" s="2"/>
      <c r="I137" s="2"/>
      <c r="J137" s="2"/>
      <c r="K137" s="2"/>
      <c r="L137" s="2"/>
      <c r="M137" s="2"/>
    </row>
    <row r="138" spans="1:13" x14ac:dyDescent="0.25">
      <c r="A138" s="2"/>
      <c r="B138" s="2"/>
      <c r="C138" s="2"/>
      <c r="D138" s="2"/>
      <c r="E138" s="2"/>
      <c r="F138" s="2"/>
      <c r="G138" s="2"/>
      <c r="H138" s="2"/>
      <c r="I138" s="2"/>
      <c r="J138" s="2"/>
      <c r="K138" s="2"/>
      <c r="L138" s="2"/>
      <c r="M138" s="2"/>
    </row>
    <row r="139" spans="1:13" x14ac:dyDescent="0.25">
      <c r="A139" s="2"/>
      <c r="B139" s="2"/>
      <c r="C139" s="2"/>
      <c r="D139" s="2"/>
      <c r="E139" s="2"/>
      <c r="F139" s="2"/>
      <c r="G139" s="2"/>
      <c r="H139" s="2"/>
      <c r="I139" s="2"/>
      <c r="J139" s="2"/>
      <c r="K139" s="2"/>
      <c r="L139" s="2"/>
      <c r="M139" s="2"/>
    </row>
    <row r="140" spans="1:13" x14ac:dyDescent="0.25">
      <c r="A140" s="2"/>
      <c r="B140" s="2"/>
      <c r="C140" s="2"/>
      <c r="D140" s="2"/>
      <c r="E140" s="2"/>
      <c r="F140" s="2"/>
      <c r="G140" s="2"/>
      <c r="H140" s="2"/>
      <c r="I140" s="2"/>
      <c r="J140" s="2"/>
      <c r="K140" s="2"/>
      <c r="L140" s="2"/>
      <c r="M140" s="2"/>
    </row>
    <row r="141" spans="1:13" x14ac:dyDescent="0.25">
      <c r="A141" s="2"/>
      <c r="B141" s="2"/>
      <c r="C141" s="2"/>
      <c r="D141" s="2"/>
      <c r="E141" s="2"/>
      <c r="F141" s="2"/>
      <c r="G141" s="2"/>
      <c r="H141" s="2"/>
      <c r="I141" s="2"/>
      <c r="J141" s="2"/>
      <c r="K141" s="2"/>
      <c r="L141" s="2"/>
      <c r="M141" s="2"/>
    </row>
    <row r="142" spans="1:13" x14ac:dyDescent="0.25">
      <c r="A142" s="2"/>
      <c r="B142" s="2"/>
      <c r="C142" s="2"/>
      <c r="D142" s="2"/>
      <c r="E142" s="2"/>
      <c r="F142" s="2"/>
      <c r="G142" s="2"/>
      <c r="H142" s="2"/>
      <c r="I142" s="2"/>
      <c r="J142" s="2"/>
      <c r="K142" s="2"/>
      <c r="L142" s="2"/>
      <c r="M142" s="2"/>
    </row>
    <row r="143" spans="1:13" x14ac:dyDescent="0.25">
      <c r="A143" s="2"/>
      <c r="B143" s="2"/>
      <c r="C143" s="2"/>
      <c r="D143" s="2"/>
      <c r="E143" s="2"/>
      <c r="F143" s="2"/>
      <c r="G143" s="2"/>
      <c r="H143" s="2"/>
      <c r="I143" s="2"/>
      <c r="J143" s="2"/>
      <c r="K143" s="2"/>
      <c r="L143" s="2"/>
      <c r="M143" s="2"/>
    </row>
    <row r="144" spans="1:13" x14ac:dyDescent="0.25">
      <c r="A144" s="2"/>
      <c r="B144" s="2"/>
      <c r="C144" s="2"/>
      <c r="D144" s="2"/>
      <c r="E144" s="2"/>
      <c r="F144" s="2"/>
      <c r="G144" s="2"/>
      <c r="H144" s="2"/>
      <c r="I144" s="2"/>
      <c r="J144" s="2"/>
      <c r="K144" s="2"/>
      <c r="L144" s="2"/>
      <c r="M144" s="2"/>
    </row>
    <row r="145" spans="1:13" x14ac:dyDescent="0.25">
      <c r="A145" s="2"/>
      <c r="B145" s="2"/>
      <c r="C145" s="2"/>
      <c r="D145" s="2"/>
      <c r="E145" s="2"/>
      <c r="F145" s="2"/>
      <c r="G145" s="2"/>
      <c r="H145" s="2"/>
      <c r="I145" s="2"/>
      <c r="J145" s="2"/>
      <c r="K145" s="2"/>
      <c r="L145" s="2"/>
      <c r="M145" s="2"/>
    </row>
    <row r="146" spans="1:13" x14ac:dyDescent="0.25">
      <c r="A146" s="2"/>
      <c r="B146" s="2"/>
      <c r="C146" s="2"/>
      <c r="D146" s="2"/>
      <c r="E146" s="2"/>
      <c r="F146" s="2"/>
      <c r="G146" s="2"/>
      <c r="H146" s="2"/>
      <c r="I146" s="2"/>
      <c r="J146" s="2"/>
      <c r="K146" s="2"/>
      <c r="L146" s="2"/>
      <c r="M146" s="2"/>
    </row>
    <row r="147" spans="1:13" x14ac:dyDescent="0.25">
      <c r="A147" s="2"/>
      <c r="B147" s="2"/>
      <c r="C147" s="2"/>
      <c r="D147" s="2"/>
      <c r="E147" s="2"/>
      <c r="F147" s="2"/>
      <c r="G147" s="2"/>
      <c r="H147" s="2"/>
      <c r="I147" s="2"/>
      <c r="J147" s="2"/>
      <c r="K147" s="2"/>
      <c r="L147" s="2"/>
      <c r="M147" s="2"/>
    </row>
    <row r="148" spans="1:13" x14ac:dyDescent="0.25">
      <c r="A148" s="2"/>
      <c r="B148" s="2"/>
      <c r="C148" s="2"/>
      <c r="D148" s="2"/>
      <c r="E148" s="2"/>
      <c r="F148" s="2"/>
      <c r="G148" s="2"/>
      <c r="H148" s="2"/>
      <c r="I148" s="2"/>
      <c r="J148" s="2"/>
      <c r="K148" s="2"/>
      <c r="L148" s="2"/>
      <c r="M148" s="2"/>
    </row>
    <row r="149" spans="1:13" x14ac:dyDescent="0.25">
      <c r="A149" s="2"/>
      <c r="B149" s="2"/>
      <c r="C149" s="2"/>
      <c r="D149" s="2"/>
      <c r="E149" s="2"/>
      <c r="F149" s="2"/>
      <c r="G149" s="2"/>
      <c r="H149" s="2"/>
      <c r="I149" s="2"/>
      <c r="J149" s="2"/>
      <c r="K149" s="2"/>
      <c r="L149" s="2"/>
      <c r="M149" s="2"/>
    </row>
    <row r="150" spans="1:13" x14ac:dyDescent="0.25">
      <c r="A150" s="2"/>
      <c r="B150" s="2"/>
      <c r="C150" s="2"/>
      <c r="D150" s="2"/>
      <c r="E150" s="2"/>
      <c r="F150" s="2"/>
      <c r="G150" s="2"/>
      <c r="H150" s="2"/>
      <c r="I150" s="2"/>
      <c r="J150" s="2"/>
      <c r="K150" s="2"/>
      <c r="L150" s="2"/>
      <c r="M150" s="2"/>
    </row>
    <row r="151" spans="1:13" x14ac:dyDescent="0.25">
      <c r="A151" s="2"/>
      <c r="B151" s="2"/>
      <c r="C151" s="2"/>
      <c r="D151" s="2"/>
      <c r="E151" s="2"/>
      <c r="F151" s="2"/>
      <c r="G151" s="2"/>
      <c r="H151" s="2"/>
      <c r="I151" s="2"/>
      <c r="J151" s="2"/>
      <c r="K151" s="2"/>
      <c r="L151" s="2"/>
      <c r="M151" s="2"/>
    </row>
    <row r="152" spans="1:13" x14ac:dyDescent="0.25">
      <c r="A152" s="2"/>
      <c r="B152" s="2"/>
      <c r="C152" s="2"/>
      <c r="D152" s="2"/>
      <c r="E152" s="2"/>
      <c r="F152" s="2"/>
      <c r="G152" s="2"/>
      <c r="H152" s="2"/>
      <c r="I152" s="2"/>
      <c r="J152" s="2"/>
      <c r="K152" s="2"/>
      <c r="L152" s="2"/>
      <c r="M152" s="2"/>
    </row>
    <row r="153" spans="1:13" x14ac:dyDescent="0.25">
      <c r="A153" s="2"/>
      <c r="B153" s="2"/>
      <c r="C153" s="2"/>
      <c r="D153" s="2"/>
      <c r="E153" s="2"/>
      <c r="F153" s="2"/>
      <c r="G153" s="2"/>
      <c r="H153" s="2"/>
      <c r="I153" s="2"/>
      <c r="J153" s="2"/>
      <c r="K153" s="2"/>
      <c r="L153" s="2"/>
      <c r="M153" s="2"/>
    </row>
    <row r="154" spans="1:13" x14ac:dyDescent="0.25">
      <c r="A154" s="2"/>
      <c r="B154" s="2"/>
      <c r="C154" s="2"/>
      <c r="D154" s="2"/>
      <c r="E154" s="2"/>
      <c r="F154" s="2"/>
      <c r="G154" s="2"/>
      <c r="H154" s="2"/>
      <c r="I154" s="2"/>
      <c r="J154" s="2"/>
      <c r="K154" s="2"/>
      <c r="L154" s="2"/>
      <c r="M154" s="2"/>
    </row>
    <row r="155" spans="1:13" x14ac:dyDescent="0.25">
      <c r="A155" s="2"/>
      <c r="B155" s="2"/>
      <c r="C155" s="2"/>
      <c r="D155" s="2"/>
      <c r="E155" s="2"/>
      <c r="F155" s="2"/>
      <c r="G155" s="2"/>
      <c r="H155" s="2"/>
      <c r="I155" s="2"/>
      <c r="J155" s="2"/>
      <c r="K155" s="2"/>
      <c r="L155" s="2"/>
      <c r="M155" s="2"/>
    </row>
    <row r="156" spans="1:13" x14ac:dyDescent="0.25">
      <c r="A156" s="2"/>
      <c r="B156" s="2"/>
      <c r="C156" s="2"/>
      <c r="D156" s="2"/>
      <c r="E156" s="2"/>
      <c r="F156" s="2"/>
      <c r="G156" s="2"/>
      <c r="H156" s="2"/>
      <c r="I156" s="2"/>
      <c r="J156" s="2"/>
      <c r="K156" s="2"/>
      <c r="L156" s="2"/>
      <c r="M156" s="2"/>
    </row>
    <row r="157" spans="1:13" x14ac:dyDescent="0.25">
      <c r="A157" s="2"/>
      <c r="B157" s="2"/>
      <c r="C157" s="2"/>
      <c r="D157" s="2"/>
      <c r="E157" s="2"/>
      <c r="F157" s="2"/>
      <c r="G157" s="2"/>
      <c r="H157" s="2"/>
      <c r="I157" s="2"/>
      <c r="J157" s="2"/>
      <c r="K157" s="2"/>
      <c r="L157" s="2"/>
      <c r="M157" s="2"/>
    </row>
    <row r="158" spans="1:13" x14ac:dyDescent="0.25">
      <c r="A158" s="2"/>
      <c r="B158" s="2"/>
      <c r="C158" s="2"/>
      <c r="D158" s="2"/>
      <c r="E158" s="2"/>
      <c r="F158" s="2"/>
      <c r="G158" s="2"/>
      <c r="H158" s="2"/>
      <c r="I158" s="2"/>
      <c r="J158" s="2"/>
      <c r="K158" s="2"/>
      <c r="L158" s="2"/>
      <c r="M158" s="2"/>
    </row>
    <row r="159" spans="1:13" x14ac:dyDescent="0.25">
      <c r="A159" s="2"/>
      <c r="B159" s="2"/>
      <c r="C159" s="2"/>
      <c r="D159" s="2"/>
      <c r="E159" s="2"/>
      <c r="F159" s="2"/>
      <c r="G159" s="2"/>
      <c r="H159" s="2"/>
      <c r="I159" s="2"/>
      <c r="J159" s="2"/>
      <c r="K159" s="2"/>
      <c r="L159" s="2"/>
      <c r="M159" s="2"/>
    </row>
    <row r="160" spans="1:13" x14ac:dyDescent="0.25">
      <c r="A160" s="2"/>
      <c r="B160" s="2"/>
      <c r="C160" s="2"/>
      <c r="D160" s="2"/>
      <c r="E160" s="2"/>
      <c r="F160" s="2"/>
      <c r="G160" s="2"/>
      <c r="H160" s="2"/>
      <c r="I160" s="2"/>
      <c r="J160" s="2"/>
      <c r="K160" s="2"/>
      <c r="L160" s="2"/>
      <c r="M160" s="2"/>
    </row>
    <row r="161" spans="1:13" x14ac:dyDescent="0.25">
      <c r="A161" s="2"/>
      <c r="B161" s="2"/>
      <c r="C161" s="2"/>
      <c r="D161" s="2"/>
      <c r="E161" s="2"/>
      <c r="F161" s="2"/>
      <c r="G161" s="2"/>
      <c r="H161" s="2"/>
      <c r="I161" s="2"/>
      <c r="J161" s="2"/>
      <c r="K161" s="2"/>
      <c r="L161" s="2"/>
      <c r="M161" s="2"/>
    </row>
    <row r="162" spans="1:13" x14ac:dyDescent="0.25">
      <c r="A162" s="2"/>
      <c r="B162" s="2"/>
      <c r="C162" s="2"/>
      <c r="D162" s="2"/>
      <c r="E162" s="2"/>
      <c r="F162" s="2"/>
      <c r="G162" s="2"/>
      <c r="H162" s="2"/>
      <c r="I162" s="2"/>
      <c r="J162" s="2"/>
      <c r="K162" s="2"/>
      <c r="L162" s="2"/>
      <c r="M162" s="2"/>
    </row>
    <row r="163" spans="1:13" x14ac:dyDescent="0.25">
      <c r="A163" s="2"/>
      <c r="B163" s="2"/>
      <c r="C163" s="2"/>
      <c r="D163" s="2"/>
      <c r="E163" s="2"/>
      <c r="F163" s="2"/>
      <c r="G163" s="2"/>
      <c r="H163" s="2"/>
      <c r="I163" s="2"/>
      <c r="J163" s="2"/>
      <c r="K163" s="2"/>
      <c r="L163" s="2"/>
      <c r="M163" s="2"/>
    </row>
    <row r="164" spans="1:13" x14ac:dyDescent="0.25">
      <c r="A164" s="2"/>
      <c r="B164" s="2"/>
      <c r="C164" s="2"/>
      <c r="D164" s="2"/>
      <c r="E164" s="2"/>
      <c r="F164" s="2"/>
      <c r="G164" s="2"/>
      <c r="H164" s="2"/>
      <c r="I164" s="2"/>
      <c r="J164" s="2"/>
      <c r="K164" s="2"/>
      <c r="L164" s="2"/>
      <c r="M164" s="2"/>
    </row>
    <row r="165" spans="1:13" x14ac:dyDescent="0.25">
      <c r="A165" s="2"/>
      <c r="B165" s="2"/>
      <c r="C165" s="2"/>
      <c r="D165" s="2"/>
      <c r="E165" s="2"/>
      <c r="F165" s="2"/>
      <c r="G165" s="2"/>
      <c r="H165" s="2"/>
      <c r="I165" s="2"/>
      <c r="J165" s="2"/>
      <c r="K165" s="2"/>
      <c r="L165" s="2"/>
      <c r="M165" s="2"/>
    </row>
    <row r="166" spans="1:13" x14ac:dyDescent="0.25">
      <c r="A166" s="2"/>
      <c r="B166" s="2"/>
      <c r="C166" s="2"/>
      <c r="D166" s="2"/>
      <c r="E166" s="2"/>
      <c r="F166" s="2"/>
      <c r="G166" s="2"/>
      <c r="H166" s="2"/>
      <c r="I166" s="2"/>
      <c r="J166" s="2"/>
      <c r="K166" s="2"/>
      <c r="L166" s="2"/>
      <c r="M166" s="2"/>
    </row>
    <row r="167" spans="1:13" x14ac:dyDescent="0.25">
      <c r="A167" s="2"/>
      <c r="B167" s="2"/>
      <c r="C167" s="2"/>
      <c r="D167" s="2"/>
      <c r="E167" s="2"/>
      <c r="F167" s="2"/>
      <c r="G167" s="2"/>
      <c r="H167" s="2"/>
      <c r="I167" s="2"/>
      <c r="J167" s="2"/>
      <c r="K167" s="2"/>
      <c r="L167" s="2"/>
      <c r="M167" s="2"/>
    </row>
    <row r="168" spans="1:13" x14ac:dyDescent="0.25">
      <c r="A168" s="2"/>
      <c r="B168" s="2"/>
      <c r="C168" s="2"/>
      <c r="D168" s="2"/>
      <c r="E168" s="2"/>
      <c r="F168" s="2"/>
      <c r="G168" s="2"/>
      <c r="H168" s="2"/>
      <c r="I168" s="2"/>
      <c r="J168" s="2"/>
      <c r="K168" s="2"/>
      <c r="L168" s="2"/>
      <c r="M168" s="2"/>
    </row>
    <row r="169" spans="1:13" x14ac:dyDescent="0.25">
      <c r="A169" s="2"/>
      <c r="B169" s="2"/>
      <c r="C169" s="2"/>
      <c r="D169" s="2"/>
      <c r="E169" s="2"/>
      <c r="F169" s="2"/>
      <c r="G169" s="2"/>
      <c r="H169" s="2"/>
      <c r="I169" s="2"/>
      <c r="J169" s="2"/>
      <c r="K169" s="2"/>
      <c r="L169" s="2"/>
      <c r="M169" s="2"/>
    </row>
    <row r="170" spans="1:13" x14ac:dyDescent="0.25">
      <c r="A170" s="2"/>
      <c r="B170" s="2"/>
      <c r="C170" s="2"/>
      <c r="D170" s="2"/>
      <c r="E170" s="2"/>
      <c r="F170" s="2"/>
      <c r="G170" s="2"/>
      <c r="H170" s="2"/>
      <c r="I170" s="2"/>
      <c r="J170" s="2"/>
      <c r="K170" s="2"/>
      <c r="L170" s="2"/>
      <c r="M170" s="2"/>
    </row>
    <row r="171" spans="1:13" x14ac:dyDescent="0.25">
      <c r="A171" s="2"/>
      <c r="B171" s="2"/>
      <c r="C171" s="2"/>
      <c r="D171" s="2"/>
      <c r="E171" s="2"/>
      <c r="F171" s="2"/>
      <c r="G171" s="2"/>
      <c r="H171" s="2"/>
      <c r="I171" s="2"/>
      <c r="J171" s="2"/>
      <c r="K171" s="2"/>
      <c r="L171" s="2"/>
      <c r="M171" s="2"/>
    </row>
    <row r="172" spans="1:13" x14ac:dyDescent="0.25">
      <c r="A172" s="2"/>
      <c r="B172" s="2"/>
      <c r="C172" s="2"/>
      <c r="D172" s="2"/>
      <c r="E172" s="2"/>
      <c r="F172" s="2"/>
      <c r="G172" s="2"/>
      <c r="H172" s="2"/>
      <c r="I172" s="2"/>
      <c r="J172" s="2"/>
      <c r="K172" s="2"/>
      <c r="L172" s="2"/>
      <c r="M172" s="2"/>
    </row>
    <row r="173" spans="1:13" x14ac:dyDescent="0.25">
      <c r="A173" s="2"/>
      <c r="B173" s="2"/>
      <c r="C173" s="2"/>
      <c r="D173" s="2"/>
      <c r="E173" s="2"/>
      <c r="F173" s="2"/>
      <c r="G173" s="2"/>
      <c r="H173" s="2"/>
      <c r="I173" s="2"/>
      <c r="J173" s="2"/>
      <c r="K173" s="2"/>
      <c r="L173" s="2"/>
      <c r="M173" s="2"/>
    </row>
    <row r="174" spans="1:13" x14ac:dyDescent="0.25">
      <c r="A174" s="2"/>
      <c r="B174" s="2"/>
      <c r="C174" s="2"/>
      <c r="D174" s="2"/>
      <c r="E174" s="2"/>
      <c r="F174" s="2"/>
      <c r="G174" s="2"/>
      <c r="H174" s="2"/>
      <c r="I174" s="2"/>
      <c r="J174" s="2"/>
      <c r="K174" s="2"/>
      <c r="L174" s="2"/>
      <c r="M174" s="2"/>
    </row>
    <row r="175" spans="1:13" x14ac:dyDescent="0.25">
      <c r="A175" s="2"/>
      <c r="B175" s="2"/>
      <c r="C175" s="2"/>
      <c r="D175" s="2"/>
      <c r="E175" s="2"/>
      <c r="F175" s="2"/>
      <c r="G175" s="2"/>
      <c r="H175" s="2"/>
      <c r="I175" s="2"/>
      <c r="J175" s="2"/>
      <c r="K175" s="2"/>
      <c r="L175" s="2"/>
      <c r="M175" s="2"/>
    </row>
    <row r="176" spans="1:13" x14ac:dyDescent="0.25">
      <c r="A176" s="2"/>
      <c r="B176" s="2"/>
      <c r="C176" s="2"/>
      <c r="D176" s="2"/>
      <c r="E176" s="2"/>
      <c r="F176" s="2"/>
      <c r="G176" s="2"/>
      <c r="H176" s="2"/>
      <c r="I176" s="2"/>
      <c r="J176" s="2"/>
      <c r="K176" s="2"/>
      <c r="L176" s="2"/>
      <c r="M176" s="2"/>
    </row>
    <row r="177" spans="1:13" x14ac:dyDescent="0.25">
      <c r="A177" s="2"/>
      <c r="B177" s="2"/>
      <c r="C177" s="2"/>
      <c r="D177" s="2"/>
      <c r="E177" s="2"/>
      <c r="F177" s="2"/>
      <c r="G177" s="2"/>
      <c r="H177" s="2"/>
      <c r="I177" s="2"/>
      <c r="J177" s="2"/>
      <c r="K177" s="2"/>
      <c r="L177" s="2"/>
      <c r="M177" s="2"/>
    </row>
    <row r="178" spans="1:13" x14ac:dyDescent="0.25">
      <c r="A178" s="2"/>
      <c r="B178" s="2"/>
      <c r="C178" s="2"/>
      <c r="D178" s="2"/>
      <c r="E178" s="2"/>
      <c r="F178" s="2"/>
      <c r="G178" s="2"/>
      <c r="H178" s="2"/>
      <c r="I178" s="2"/>
      <c r="J178" s="2"/>
      <c r="K178" s="2"/>
      <c r="L178" s="2"/>
      <c r="M178" s="2"/>
    </row>
    <row r="179" spans="1:13" x14ac:dyDescent="0.25">
      <c r="A179" s="2"/>
      <c r="B179" s="2"/>
      <c r="C179" s="2"/>
      <c r="D179" s="2"/>
      <c r="E179" s="2"/>
      <c r="F179" s="2"/>
      <c r="G179" s="2"/>
      <c r="H179" s="2"/>
      <c r="I179" s="2"/>
      <c r="J179" s="2"/>
      <c r="K179" s="2"/>
      <c r="L179" s="2"/>
      <c r="M179" s="2"/>
    </row>
    <row r="180" spans="1:13" x14ac:dyDescent="0.25">
      <c r="A180" s="2"/>
      <c r="B180" s="2"/>
      <c r="C180" s="2"/>
      <c r="D180" s="2"/>
      <c r="E180" s="2"/>
      <c r="F180" s="2"/>
      <c r="G180" s="2"/>
      <c r="H180" s="2"/>
      <c r="I180" s="2"/>
      <c r="J180" s="2"/>
      <c r="K180" s="2"/>
      <c r="L180" s="2"/>
      <c r="M180" s="2"/>
    </row>
    <row r="181" spans="1:13" x14ac:dyDescent="0.25">
      <c r="A181" s="2"/>
      <c r="B181" s="2"/>
      <c r="C181" s="2"/>
      <c r="D181" s="2"/>
      <c r="E181" s="2"/>
      <c r="F181" s="2"/>
      <c r="G181" s="2"/>
      <c r="H181" s="2"/>
      <c r="I181" s="2"/>
      <c r="J181" s="2"/>
      <c r="K181" s="2"/>
      <c r="L181" s="2"/>
      <c r="M181" s="2"/>
    </row>
    <row r="182" spans="1:13" x14ac:dyDescent="0.25">
      <c r="A182" s="2"/>
      <c r="B182" s="2"/>
      <c r="C182" s="2"/>
      <c r="D182" s="2"/>
      <c r="E182" s="2"/>
      <c r="F182" s="2"/>
      <c r="G182" s="2"/>
      <c r="H182" s="2"/>
      <c r="I182" s="2"/>
      <c r="J182" s="2"/>
      <c r="K182" s="2"/>
      <c r="L182" s="2"/>
      <c r="M182" s="2"/>
    </row>
    <row r="183" spans="1:13" x14ac:dyDescent="0.25">
      <c r="A183" s="2"/>
      <c r="B183" s="2"/>
      <c r="C183" s="2"/>
      <c r="D183" s="2"/>
      <c r="E183" s="2"/>
      <c r="F183" s="2"/>
      <c r="G183" s="2"/>
      <c r="H183" s="2"/>
      <c r="I183" s="2"/>
      <c r="J183" s="2"/>
      <c r="K183" s="2"/>
      <c r="L183" s="2"/>
      <c r="M183" s="2"/>
    </row>
    <row r="184" spans="1:13" x14ac:dyDescent="0.25">
      <c r="A184" s="2"/>
      <c r="B184" s="2"/>
      <c r="C184" s="2"/>
      <c r="D184" s="2"/>
      <c r="E184" s="2"/>
      <c r="F184" s="2"/>
      <c r="G184" s="2"/>
      <c r="H184" s="2"/>
      <c r="I184" s="2"/>
      <c r="J184" s="2"/>
      <c r="K184" s="2"/>
      <c r="L184" s="2"/>
      <c r="M184" s="2"/>
    </row>
    <row r="185" spans="1:13" x14ac:dyDescent="0.25">
      <c r="A185" s="2"/>
      <c r="B185" s="2"/>
      <c r="C185" s="2"/>
      <c r="D185" s="2"/>
      <c r="E185" s="2"/>
      <c r="F185" s="2"/>
      <c r="G185" s="2"/>
      <c r="H185" s="2"/>
      <c r="I185" s="2"/>
      <c r="J185" s="2"/>
      <c r="K185" s="2"/>
      <c r="L185" s="2"/>
      <c r="M185" s="2"/>
    </row>
    <row r="186" spans="1:13" x14ac:dyDescent="0.25">
      <c r="A186" s="2"/>
      <c r="B186" s="2"/>
      <c r="C186" s="2"/>
      <c r="D186" s="2"/>
      <c r="E186" s="2"/>
      <c r="F186" s="2"/>
      <c r="G186" s="2"/>
      <c r="H186" s="2"/>
      <c r="I186" s="2"/>
      <c r="J186" s="2"/>
      <c r="K186" s="2"/>
      <c r="L186" s="2"/>
      <c r="M186" s="2"/>
    </row>
    <row r="187" spans="1:13" x14ac:dyDescent="0.25">
      <c r="A187" s="2"/>
      <c r="B187" s="2"/>
      <c r="C187" s="2"/>
      <c r="D187" s="2"/>
      <c r="E187" s="2"/>
      <c r="F187" s="2"/>
      <c r="G187" s="2"/>
      <c r="H187" s="2"/>
      <c r="I187" s="2"/>
      <c r="J187" s="2"/>
      <c r="K187" s="2"/>
      <c r="L187" s="2"/>
      <c r="M187" s="2"/>
    </row>
    <row r="188" spans="1:13" x14ac:dyDescent="0.25">
      <c r="A188" s="2"/>
      <c r="B188" s="2"/>
      <c r="C188" s="2"/>
      <c r="D188" s="2"/>
      <c r="E188" s="2"/>
      <c r="F188" s="2"/>
      <c r="G188" s="2"/>
      <c r="H188" s="2"/>
      <c r="I188" s="2"/>
      <c r="J188" s="2"/>
      <c r="K188" s="2"/>
      <c r="L188" s="2"/>
      <c r="M188" s="2"/>
    </row>
    <row r="189" spans="1:13" x14ac:dyDescent="0.25">
      <c r="A189" s="2"/>
      <c r="B189" s="2"/>
      <c r="C189" s="2"/>
      <c r="D189" s="2"/>
      <c r="E189" s="2"/>
      <c r="F189" s="2"/>
      <c r="G189" s="2"/>
      <c r="H189" s="2"/>
      <c r="I189" s="2"/>
      <c r="J189" s="2"/>
      <c r="K189" s="2"/>
      <c r="L189" s="2"/>
      <c r="M189" s="2"/>
    </row>
    <row r="190" spans="1:13" x14ac:dyDescent="0.25">
      <c r="A190" s="2"/>
      <c r="B190" s="2"/>
      <c r="C190" s="2"/>
      <c r="D190" s="2"/>
      <c r="E190" s="2"/>
      <c r="F190" s="2"/>
      <c r="G190" s="2"/>
      <c r="H190" s="2"/>
      <c r="I190" s="2"/>
      <c r="J190" s="2"/>
      <c r="K190" s="2"/>
      <c r="L190" s="2"/>
      <c r="M190" s="2"/>
    </row>
  </sheetData>
  <sheetProtection password="EC2F" sheet="1" objects="1" scenarios="1"/>
  <mergeCells count="13">
    <mergeCell ref="A57:A58"/>
    <mergeCell ref="A1:K1"/>
    <mergeCell ref="A2:K2"/>
    <mergeCell ref="A3:K3"/>
    <mergeCell ref="A5:A6"/>
    <mergeCell ref="C5:J5"/>
    <mergeCell ref="K5:K6"/>
    <mergeCell ref="C6:J6"/>
    <mergeCell ref="C48:J48"/>
    <mergeCell ref="K48:K49"/>
    <mergeCell ref="A49:A50"/>
    <mergeCell ref="C49:J49"/>
    <mergeCell ref="A51:A52"/>
  </mergeCells>
  <pageMargins left="0.75" right="0.75" top="1" bottom="1" header="0.5" footer="0.5"/>
  <pageSetup paperSize="9" fitToWidth="0" orientation="portrait" r:id="rId1"/>
  <headerFooter alignWithMargins="0">
    <oddHeader>&amp;R4.1 Design of Slab</oddHeader>
  </headerFooter>
  <rowBreaks count="1" manualBreakCount="1">
    <brk id="5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22F53-7E07-4711-ADB1-E5B1ED2F9116}">
  <sheetPr codeName="Sheet6"/>
  <dimension ref="A1:W70"/>
  <sheetViews>
    <sheetView view="pageBreakPreview" zoomScale="90" zoomScaleNormal="100" zoomScaleSheetLayoutView="90" workbookViewId="0">
      <selection activeCell="I44" sqref="A1:I44"/>
    </sheetView>
  </sheetViews>
  <sheetFormatPr defaultRowHeight="12" x14ac:dyDescent="0.25"/>
  <cols>
    <col min="1" max="1" width="3.5546875" style="186" customWidth="1"/>
    <col min="2" max="2" width="29.33203125" style="185" customWidth="1"/>
    <col min="3" max="3" width="2.109375" style="186" bestFit="1" customWidth="1"/>
    <col min="4" max="4" width="10.5546875" style="187" bestFit="1" customWidth="1"/>
    <col min="5" max="5" width="7.6640625" style="185" customWidth="1"/>
    <col min="6" max="6" width="19.5546875" style="185" bestFit="1" customWidth="1"/>
    <col min="7" max="7" width="4.33203125" style="185" bestFit="1" customWidth="1"/>
    <col min="8" max="8" width="8.88671875" style="185" customWidth="1"/>
    <col min="9" max="9" width="5.44140625" style="185" bestFit="1" customWidth="1"/>
    <col min="10" max="11" width="9.109375" style="185" customWidth="1"/>
    <col min="12" max="12" width="5.44140625" style="185" customWidth="1"/>
    <col min="13" max="13" width="8.88671875" style="185"/>
    <col min="14" max="14" width="13.77734375" style="185" bestFit="1" customWidth="1"/>
    <col min="15" max="19" width="8.88671875" style="185"/>
    <col min="20" max="20" width="9.21875" style="185" bestFit="1" customWidth="1"/>
    <col min="21" max="21" width="4.6640625" style="185" customWidth="1"/>
    <col min="22" max="22" width="4.88671875" style="185" customWidth="1"/>
    <col min="23" max="23" width="3.5546875" style="185" bestFit="1" customWidth="1"/>
    <col min="24" max="16384" width="8.88671875" style="185"/>
  </cols>
  <sheetData>
    <row r="1" spans="1:23" x14ac:dyDescent="0.25">
      <c r="A1" s="184" t="s">
        <v>208</v>
      </c>
    </row>
    <row r="2" spans="1:23" x14ac:dyDescent="0.25">
      <c r="A2" s="188">
        <v>1</v>
      </c>
      <c r="B2" s="189" t="s">
        <v>209</v>
      </c>
      <c r="F2" s="192" t="s">
        <v>210</v>
      </c>
      <c r="G2" s="186"/>
      <c r="H2" s="187"/>
    </row>
    <row r="3" spans="1:23" x14ac:dyDescent="0.25">
      <c r="B3" s="185" t="s">
        <v>294</v>
      </c>
      <c r="C3" s="190" t="s">
        <v>93</v>
      </c>
      <c r="D3" s="191">
        <v>6</v>
      </c>
      <c r="E3" s="185" t="s">
        <v>1</v>
      </c>
      <c r="F3" s="185" t="s">
        <v>212</v>
      </c>
      <c r="G3" s="190" t="s">
        <v>93</v>
      </c>
      <c r="H3" s="191" t="s">
        <v>95</v>
      </c>
    </row>
    <row r="4" spans="1:23" x14ac:dyDescent="0.25">
      <c r="B4" s="185" t="s">
        <v>211</v>
      </c>
      <c r="C4" s="190" t="s">
        <v>93</v>
      </c>
      <c r="D4" s="191">
        <v>1</v>
      </c>
      <c r="E4" s="185" t="s">
        <v>1</v>
      </c>
      <c r="F4" s="185" t="s">
        <v>215</v>
      </c>
      <c r="G4" s="190" t="s">
        <v>93</v>
      </c>
      <c r="H4" s="191" t="s">
        <v>216</v>
      </c>
      <c r="L4" s="193" t="s">
        <v>96</v>
      </c>
      <c r="M4" s="185">
        <f>IF(H3="M15",15,IF(H3="M20",20,IF(H3="M25",25,"write the value")))</f>
        <v>20</v>
      </c>
      <c r="N4" s="185" t="s">
        <v>213</v>
      </c>
    </row>
    <row r="5" spans="1:23" x14ac:dyDescent="0.25">
      <c r="B5" s="185" t="s">
        <v>214</v>
      </c>
      <c r="C5" s="190" t="s">
        <v>93</v>
      </c>
      <c r="D5" s="191">
        <v>3</v>
      </c>
      <c r="E5" s="185" t="s">
        <v>1</v>
      </c>
      <c r="F5" s="185" t="s">
        <v>218</v>
      </c>
      <c r="G5" s="190" t="s">
        <v>93</v>
      </c>
      <c r="H5" s="191">
        <v>25</v>
      </c>
      <c r="I5" s="185" t="s">
        <v>219</v>
      </c>
      <c r="L5" s="193" t="s">
        <v>97</v>
      </c>
      <c r="M5" s="185">
        <f>IF(H4="Fe250",250,IF(H4="Fe415",415,IF(H4="Fe500",500,"write the value")))</f>
        <v>500</v>
      </c>
      <c r="N5" s="185" t="s">
        <v>213</v>
      </c>
    </row>
    <row r="6" spans="1:23" x14ac:dyDescent="0.25">
      <c r="B6" s="185" t="s">
        <v>222</v>
      </c>
      <c r="C6" s="190" t="s">
        <v>93</v>
      </c>
      <c r="D6" s="191">
        <v>200</v>
      </c>
      <c r="E6" s="185" t="s">
        <v>2</v>
      </c>
      <c r="F6" s="185" t="s">
        <v>221</v>
      </c>
      <c r="G6" s="190" t="s">
        <v>93</v>
      </c>
      <c r="H6" s="191">
        <v>350</v>
      </c>
      <c r="I6" s="185" t="s">
        <v>2</v>
      </c>
    </row>
    <row r="7" spans="1:23" x14ac:dyDescent="0.25">
      <c r="B7" s="185" t="s">
        <v>94</v>
      </c>
      <c r="C7" s="190" t="s">
        <v>93</v>
      </c>
      <c r="D7" s="191">
        <v>20</v>
      </c>
      <c r="E7" s="185" t="s">
        <v>2</v>
      </c>
      <c r="F7" s="185" t="s">
        <v>223</v>
      </c>
      <c r="G7" s="190" t="s">
        <v>93</v>
      </c>
      <c r="H7" s="191">
        <f>H6/1000+D3</f>
        <v>6.35</v>
      </c>
      <c r="I7" s="185" t="s">
        <v>1</v>
      </c>
    </row>
    <row r="9" spans="1:23" x14ac:dyDescent="0.25">
      <c r="A9" s="188">
        <v>2</v>
      </c>
      <c r="B9" s="189" t="s">
        <v>233</v>
      </c>
      <c r="J9" s="209"/>
      <c r="K9" s="195"/>
      <c r="L9" s="195"/>
    </row>
    <row r="10" spans="1:23" x14ac:dyDescent="0.25">
      <c r="B10" s="207"/>
      <c r="C10" s="190"/>
      <c r="D10" s="184"/>
      <c r="L10" s="262"/>
      <c r="M10" s="332"/>
      <c r="N10" s="332"/>
      <c r="O10" s="334"/>
      <c r="P10" s="334"/>
      <c r="Q10" s="334"/>
      <c r="R10" s="334"/>
      <c r="S10" s="332"/>
      <c r="T10" s="332"/>
      <c r="U10" s="262"/>
    </row>
    <row r="11" spans="1:23" x14ac:dyDescent="0.25">
      <c r="B11" s="185" t="s">
        <v>246</v>
      </c>
      <c r="L11" s="333"/>
      <c r="M11" s="333"/>
      <c r="N11" s="333"/>
      <c r="O11" s="333"/>
      <c r="P11" s="333"/>
      <c r="Q11" s="333"/>
      <c r="R11" s="333"/>
      <c r="S11" s="333"/>
      <c r="T11" s="333"/>
      <c r="U11" s="333"/>
    </row>
    <row r="12" spans="1:23" x14ac:dyDescent="0.25">
      <c r="B12" s="193" t="s">
        <v>237</v>
      </c>
      <c r="C12" s="190" t="s">
        <v>93</v>
      </c>
      <c r="D12" s="215">
        <f>D6*H5/1000</f>
        <v>5</v>
      </c>
      <c r="E12" s="185" t="s">
        <v>238</v>
      </c>
      <c r="K12" s="224"/>
      <c r="M12" s="334"/>
      <c r="N12" s="334"/>
      <c r="O12" s="334"/>
      <c r="P12" s="334"/>
      <c r="Q12" s="334"/>
      <c r="R12" s="334"/>
      <c r="S12" s="334"/>
      <c r="T12" s="334"/>
    </row>
    <row r="13" spans="1:23" x14ac:dyDescent="0.25">
      <c r="B13" s="193" t="s">
        <v>240</v>
      </c>
      <c r="C13" s="190" t="s">
        <v>93</v>
      </c>
      <c r="D13" s="191">
        <v>1.25</v>
      </c>
      <c r="E13" s="185" t="s">
        <v>238</v>
      </c>
      <c r="F13" s="185" t="s">
        <v>241</v>
      </c>
      <c r="J13" s="189"/>
      <c r="K13" s="335"/>
      <c r="L13" s="335"/>
      <c r="M13" s="189"/>
      <c r="N13" s="189"/>
      <c r="O13" s="189"/>
      <c r="P13" s="189"/>
      <c r="Q13" s="189"/>
      <c r="R13" s="189"/>
      <c r="S13" s="189"/>
      <c r="T13" s="189"/>
      <c r="U13" s="335"/>
      <c r="V13" s="335"/>
      <c r="W13" s="189"/>
    </row>
    <row r="14" spans="1:23" x14ac:dyDescent="0.25">
      <c r="B14" s="193" t="s">
        <v>255</v>
      </c>
      <c r="C14" s="190" t="s">
        <v>93</v>
      </c>
      <c r="D14" s="215">
        <f>D13+D12</f>
        <v>6.25</v>
      </c>
      <c r="E14" s="185" t="s">
        <v>238</v>
      </c>
      <c r="K14" s="332"/>
      <c r="L14" s="332"/>
      <c r="U14" s="332"/>
      <c r="V14" s="332"/>
    </row>
    <row r="15" spans="1:23" x14ac:dyDescent="0.25">
      <c r="B15" s="193" t="s">
        <v>256</v>
      </c>
      <c r="C15" s="190" t="s">
        <v>93</v>
      </c>
      <c r="D15" s="187">
        <f>ROUND(D14*D4,2)</f>
        <v>6.25</v>
      </c>
      <c r="E15" s="185" t="s">
        <v>99</v>
      </c>
      <c r="J15" s="189"/>
      <c r="K15" s="335"/>
      <c r="L15" s="335"/>
      <c r="M15" s="189"/>
      <c r="N15" s="189"/>
      <c r="O15" s="189"/>
      <c r="P15" s="189"/>
      <c r="Q15" s="189"/>
      <c r="R15" s="189"/>
      <c r="S15" s="189"/>
      <c r="T15" s="189"/>
      <c r="U15" s="335"/>
      <c r="V15" s="335"/>
    </row>
    <row r="16" spans="1:23" x14ac:dyDescent="0.25">
      <c r="B16" s="193" t="s">
        <v>257</v>
      </c>
      <c r="C16" s="190" t="s">
        <v>93</v>
      </c>
      <c r="D16" s="184">
        <f>1.5*D15</f>
        <v>9.375</v>
      </c>
      <c r="E16" s="185" t="s">
        <v>99</v>
      </c>
    </row>
    <row r="17" spans="1:14" x14ac:dyDescent="0.25">
      <c r="B17" s="185" t="s">
        <v>258</v>
      </c>
    </row>
    <row r="18" spans="1:14" ht="14.25" customHeight="1" x14ac:dyDescent="0.25">
      <c r="B18" s="193" t="s">
        <v>259</v>
      </c>
      <c r="C18" s="190" t="s">
        <v>93</v>
      </c>
      <c r="D18" s="191">
        <v>5</v>
      </c>
      <c r="E18" s="186" t="s">
        <v>238</v>
      </c>
    </row>
    <row r="19" spans="1:14" x14ac:dyDescent="0.25">
      <c r="B19" s="193" t="s">
        <v>260</v>
      </c>
      <c r="C19" s="190" t="s">
        <v>93</v>
      </c>
      <c r="D19" s="187">
        <f>D18*D4</f>
        <v>5</v>
      </c>
      <c r="E19" s="186" t="s">
        <v>99</v>
      </c>
    </row>
    <row r="20" spans="1:14" x14ac:dyDescent="0.25">
      <c r="B20" s="193" t="s">
        <v>261</v>
      </c>
      <c r="C20" s="190" t="s">
        <v>93</v>
      </c>
      <c r="D20" s="184">
        <f>D19*1.5</f>
        <v>7.5</v>
      </c>
      <c r="E20" s="185" t="s">
        <v>99</v>
      </c>
      <c r="F20" s="193"/>
    </row>
    <row r="21" spans="1:14" x14ac:dyDescent="0.25">
      <c r="A21" s="188"/>
      <c r="B21" s="189"/>
    </row>
    <row r="22" spans="1:14" x14ac:dyDescent="0.25">
      <c r="A22" s="188">
        <v>3</v>
      </c>
      <c r="B22" s="189" t="s">
        <v>262</v>
      </c>
    </row>
    <row r="23" spans="1:14" x14ac:dyDescent="0.25">
      <c r="B23" s="185" t="s">
        <v>263</v>
      </c>
      <c r="C23" s="190" t="s">
        <v>93</v>
      </c>
      <c r="D23" s="226">
        <f>(D16+D20)*H7/2</f>
        <v>53.578125</v>
      </c>
      <c r="E23" s="189" t="s">
        <v>103</v>
      </c>
    </row>
    <row r="24" spans="1:14" x14ac:dyDescent="0.25">
      <c r="B24" s="185" t="s">
        <v>264</v>
      </c>
    </row>
    <row r="25" spans="1:14" x14ac:dyDescent="0.25">
      <c r="B25" s="227" t="s">
        <v>265</v>
      </c>
      <c r="C25" s="228" t="s">
        <v>93</v>
      </c>
      <c r="D25" s="226">
        <f>(D20+D16)*H7^2/8</f>
        <v>85.055273437499991</v>
      </c>
      <c r="E25" s="189" t="s">
        <v>266</v>
      </c>
    </row>
    <row r="27" spans="1:14" x14ac:dyDescent="0.25">
      <c r="A27" s="188">
        <v>4</v>
      </c>
      <c r="B27" s="189" t="s">
        <v>104</v>
      </c>
    </row>
    <row r="28" spans="1:14" x14ac:dyDescent="0.25">
      <c r="B28" s="193" t="s">
        <v>105</v>
      </c>
      <c r="C28" s="190" t="s">
        <v>93</v>
      </c>
      <c r="D28" s="187">
        <f>ROUNDUP(SQRT(D25*1000000/(0.138*M4*1000)),0)</f>
        <v>176</v>
      </c>
      <c r="E28" s="185" t="s">
        <v>2</v>
      </c>
      <c r="M28" s="185" t="s">
        <v>267</v>
      </c>
    </row>
    <row r="29" spans="1:14" x14ac:dyDescent="0.25">
      <c r="B29" s="193" t="s">
        <v>268</v>
      </c>
      <c r="C29" s="190" t="s">
        <v>93</v>
      </c>
      <c r="D29" s="187">
        <f>D28+D7</f>
        <v>196</v>
      </c>
      <c r="E29" s="185" t="s">
        <v>2</v>
      </c>
      <c r="F29" s="189" t="str">
        <f>IF(D29&lt;=D6,"O.K.!", "NOT O.K.!")</f>
        <v>O.K.!</v>
      </c>
      <c r="M29" s="229" t="s">
        <v>98</v>
      </c>
      <c r="N29" s="225">
        <f>-0.87*M5*D31</f>
        <v>-78300</v>
      </c>
    </row>
    <row r="30" spans="1:14" x14ac:dyDescent="0.25">
      <c r="B30" s="193" t="s">
        <v>269</v>
      </c>
      <c r="C30" s="190" t="s">
        <v>93</v>
      </c>
      <c r="D30" s="191">
        <v>200</v>
      </c>
      <c r="E30" s="185" t="s">
        <v>2</v>
      </c>
      <c r="M30" s="229" t="s">
        <v>106</v>
      </c>
      <c r="N30" s="225">
        <f>-N29*M5/(1000*D31*M4)</f>
        <v>10.875</v>
      </c>
    </row>
    <row r="31" spans="1:14" x14ac:dyDescent="0.25">
      <c r="B31" s="193" t="s">
        <v>270</v>
      </c>
      <c r="C31" s="190" t="s">
        <v>93</v>
      </c>
      <c r="D31" s="208">
        <f>D30-D7</f>
        <v>180</v>
      </c>
      <c r="E31" s="185" t="s">
        <v>2</v>
      </c>
      <c r="M31" s="229" t="s">
        <v>107</v>
      </c>
      <c r="N31" s="225">
        <f>D25*1000000</f>
        <v>85055273.437499985</v>
      </c>
    </row>
    <row r="32" spans="1:14" x14ac:dyDescent="0.25">
      <c r="M32" s="225"/>
      <c r="N32" s="225"/>
    </row>
    <row r="33" spans="1:14" x14ac:dyDescent="0.25">
      <c r="A33" s="188">
        <v>5</v>
      </c>
      <c r="B33" s="189" t="s">
        <v>271</v>
      </c>
      <c r="M33" s="229" t="s">
        <v>165</v>
      </c>
      <c r="N33" s="225">
        <f>(-N29+SQRT(N29^2-4*N30*N31))/(2*N30)</f>
        <v>5866.897754869964</v>
      </c>
    </row>
    <row r="34" spans="1:14" x14ac:dyDescent="0.25">
      <c r="B34" s="193" t="s">
        <v>272</v>
      </c>
      <c r="C34" s="190" t="s">
        <v>93</v>
      </c>
      <c r="D34" s="187">
        <f>ROUND(N33,2)</f>
        <v>5866.9</v>
      </c>
      <c r="E34" s="186" t="s">
        <v>273</v>
      </c>
      <c r="F34" s="185">
        <f>ROUND(N34,2)</f>
        <v>1333.1</v>
      </c>
      <c r="M34" s="229" t="s">
        <v>165</v>
      </c>
      <c r="N34" s="225">
        <f>(-N29-SQRT(N29^2-4*N30*N31))/(2*N30)</f>
        <v>1333.102245130036</v>
      </c>
    </row>
    <row r="35" spans="1:14" x14ac:dyDescent="0.25">
      <c r="B35" s="193" t="s">
        <v>274</v>
      </c>
      <c r="C35" s="190" t="s">
        <v>93</v>
      </c>
      <c r="D35" s="191">
        <f>F34</f>
        <v>1333.1</v>
      </c>
      <c r="E35" s="185" t="s">
        <v>275</v>
      </c>
      <c r="M35" s="225"/>
      <c r="N35" s="225"/>
    </row>
    <row r="36" spans="1:14" x14ac:dyDescent="0.25">
      <c r="B36" s="193" t="s">
        <v>276</v>
      </c>
      <c r="D36" s="191">
        <v>16</v>
      </c>
      <c r="E36" s="185" t="s">
        <v>277</v>
      </c>
    </row>
    <row r="37" spans="1:14" x14ac:dyDescent="0.25">
      <c r="B37" s="193" t="s">
        <v>278</v>
      </c>
      <c r="C37" s="190" t="s">
        <v>93</v>
      </c>
      <c r="D37" s="187">
        <f>ROUND(1000*3.14*D36^2/4/D35,0)</f>
        <v>151</v>
      </c>
      <c r="E37" s="185" t="s">
        <v>108</v>
      </c>
    </row>
    <row r="38" spans="1:14" s="189" customFormat="1" x14ac:dyDescent="0.25">
      <c r="A38" s="188"/>
      <c r="B38" s="227" t="s">
        <v>279</v>
      </c>
      <c r="C38" s="188"/>
      <c r="D38" s="230">
        <v>16</v>
      </c>
      <c r="E38" s="188" t="str">
        <f>H4</f>
        <v>Fe500</v>
      </c>
      <c r="F38" s="189" t="s">
        <v>280</v>
      </c>
      <c r="H38" s="191">
        <v>150</v>
      </c>
      <c r="I38" s="189" t="s">
        <v>281</v>
      </c>
    </row>
    <row r="39" spans="1:14" s="189" customFormat="1" x14ac:dyDescent="0.25">
      <c r="A39" s="188"/>
      <c r="B39" s="227"/>
      <c r="C39" s="188"/>
      <c r="D39" s="230"/>
      <c r="E39" s="188"/>
      <c r="H39" s="231"/>
    </row>
    <row r="40" spans="1:14" x14ac:dyDescent="0.25">
      <c r="A40" s="188">
        <v>6</v>
      </c>
      <c r="B40" s="189" t="s">
        <v>282</v>
      </c>
    </row>
    <row r="41" spans="1:14" x14ac:dyDescent="0.25">
      <c r="B41" s="193" t="s">
        <v>283</v>
      </c>
      <c r="C41" s="190" t="s">
        <v>93</v>
      </c>
      <c r="D41" s="208">
        <f>0.12%*1000*D30</f>
        <v>240</v>
      </c>
      <c r="E41" s="185" t="s">
        <v>275</v>
      </c>
    </row>
    <row r="42" spans="1:14" x14ac:dyDescent="0.25">
      <c r="B42" s="193" t="s">
        <v>284</v>
      </c>
      <c r="C42" s="190" t="s">
        <v>93</v>
      </c>
      <c r="D42" s="191">
        <v>10</v>
      </c>
      <c r="E42" s="185" t="s">
        <v>2</v>
      </c>
      <c r="F42" s="185" t="s">
        <v>285</v>
      </c>
      <c r="G42" s="185">
        <f>3.14*D42^2/4</f>
        <v>78.5</v>
      </c>
      <c r="H42" s="185" t="s">
        <v>47</v>
      </c>
    </row>
    <row r="43" spans="1:14" ht="11.4" customHeight="1" x14ac:dyDescent="0.25">
      <c r="B43" s="185" t="s">
        <v>286</v>
      </c>
      <c r="C43" s="190" t="s">
        <v>93</v>
      </c>
      <c r="D43" s="187">
        <f>ROUND(1000*G42/D41,0)</f>
        <v>327</v>
      </c>
      <c r="E43" s="185" t="s">
        <v>2</v>
      </c>
    </row>
    <row r="44" spans="1:14" x14ac:dyDescent="0.25">
      <c r="B44" s="227" t="s">
        <v>279</v>
      </c>
      <c r="C44" s="188"/>
      <c r="D44" s="230">
        <v>10</v>
      </c>
      <c r="E44" s="188" t="str">
        <f>E38</f>
        <v>Fe500</v>
      </c>
      <c r="F44" s="189" t="s">
        <v>280</v>
      </c>
      <c r="G44" s="189"/>
      <c r="H44" s="191">
        <v>150</v>
      </c>
      <c r="I44" s="189" t="s">
        <v>281</v>
      </c>
    </row>
    <row r="46" spans="1:14" ht="11.4" customHeight="1" x14ac:dyDescent="0.25"/>
    <row r="47" spans="1:14" ht="40.799999999999997" customHeight="1" x14ac:dyDescent="0.25"/>
    <row r="48" spans="1:14" ht="38.4" customHeight="1" x14ac:dyDescent="0.25"/>
    <row r="59" spans="10:22" x14ac:dyDescent="0.25">
      <c r="K59" s="332"/>
      <c r="L59" s="332"/>
    </row>
    <row r="61" spans="10:22" x14ac:dyDescent="0.25">
      <c r="J61" s="232"/>
      <c r="U61" s="332"/>
      <c r="V61" s="332"/>
    </row>
    <row r="62" spans="10:22" x14ac:dyDescent="0.25">
      <c r="M62" s="233"/>
      <c r="N62" s="233"/>
      <c r="O62" s="233"/>
      <c r="P62" s="233"/>
      <c r="Q62" s="233"/>
    </row>
    <row r="63" spans="10:22" x14ac:dyDescent="0.25">
      <c r="M63" s="233"/>
      <c r="N63" s="233"/>
      <c r="O63" s="233"/>
      <c r="P63" s="233"/>
      <c r="Q63" s="233"/>
    </row>
    <row r="64" spans="10:22" x14ac:dyDescent="0.25">
      <c r="O64" s="233"/>
      <c r="P64" s="233"/>
      <c r="Q64" s="233"/>
    </row>
    <row r="65" spans="10:23" x14ac:dyDescent="0.25">
      <c r="O65" s="233"/>
      <c r="P65" s="233"/>
      <c r="Q65" s="233"/>
    </row>
    <row r="66" spans="10:23" x14ac:dyDescent="0.25">
      <c r="O66" s="233"/>
      <c r="P66" s="233"/>
      <c r="Q66" s="233"/>
    </row>
    <row r="67" spans="10:23" x14ac:dyDescent="0.25">
      <c r="O67" s="233"/>
      <c r="P67" s="233"/>
      <c r="Q67" s="233"/>
    </row>
    <row r="68" spans="10:23" x14ac:dyDescent="0.25">
      <c r="O68" s="233"/>
      <c r="P68" s="233"/>
      <c r="Q68" s="233"/>
    </row>
    <row r="69" spans="10:23" x14ac:dyDescent="0.25">
      <c r="J69" s="189"/>
      <c r="K69" s="189"/>
      <c r="L69" s="189"/>
      <c r="O69" s="234"/>
      <c r="P69" s="234"/>
      <c r="Q69" s="234"/>
      <c r="R69" s="189"/>
      <c r="S69" s="189"/>
      <c r="T69" s="189"/>
      <c r="U69" s="189"/>
      <c r="V69" s="189"/>
      <c r="W69" s="189"/>
    </row>
    <row r="70" spans="10:23" x14ac:dyDescent="0.25">
      <c r="O70" s="233"/>
      <c r="P70" s="233"/>
      <c r="Q70" s="233"/>
    </row>
  </sheetData>
  <mergeCells count="13">
    <mergeCell ref="U61:V61"/>
    <mergeCell ref="S10:T10"/>
    <mergeCell ref="L11:U11"/>
    <mergeCell ref="M12:T12"/>
    <mergeCell ref="K13:L13"/>
    <mergeCell ref="U13:V13"/>
    <mergeCell ref="M10:N10"/>
    <mergeCell ref="O10:R10"/>
    <mergeCell ref="K14:L14"/>
    <mergeCell ref="U14:V14"/>
    <mergeCell ref="K15:L15"/>
    <mergeCell ref="U15:V15"/>
    <mergeCell ref="K59:L59"/>
  </mergeCells>
  <pageMargins left="0.75" right="0.75" top="1" bottom="1" header="0.5" footer="0.5"/>
  <pageSetup paperSize="9" scale="90" fitToWidth="0" orientation="portrait" copies="3" r:id="rId1"/>
  <headerFooter alignWithMargins="0">
    <oddHeader>&amp;R 4.2 Design of Staircase</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D1ABA-B18E-450E-AC7C-82326E074BB8}">
  <sheetPr codeName="Sheet1"/>
  <dimension ref="A1:W89"/>
  <sheetViews>
    <sheetView view="pageBreakPreview" zoomScale="90" zoomScaleNormal="100" zoomScaleSheetLayoutView="90" workbookViewId="0">
      <selection activeCell="F12" sqref="F12"/>
    </sheetView>
  </sheetViews>
  <sheetFormatPr defaultRowHeight="12" x14ac:dyDescent="0.25"/>
  <cols>
    <col min="1" max="1" width="3.5546875" style="186" customWidth="1"/>
    <col min="2" max="2" width="29.33203125" style="185" customWidth="1"/>
    <col min="3" max="3" width="2.109375" style="186" bestFit="1" customWidth="1"/>
    <col min="4" max="4" width="10.5546875" style="187" bestFit="1" customWidth="1"/>
    <col min="5" max="5" width="7.6640625" style="185" customWidth="1"/>
    <col min="6" max="6" width="19.5546875" style="185" bestFit="1" customWidth="1"/>
    <col min="7" max="7" width="4.33203125" style="185" bestFit="1" customWidth="1"/>
    <col min="8" max="8" width="8.88671875" style="185" customWidth="1"/>
    <col min="9" max="9" width="5.44140625" style="185" bestFit="1" customWidth="1"/>
    <col min="10" max="10" width="9.109375" style="185" customWidth="1"/>
    <col min="11" max="11" width="6.21875" style="185" customWidth="1"/>
    <col min="12" max="12" width="5.44140625" style="185" customWidth="1"/>
    <col min="13" max="13" width="8.88671875" style="185"/>
    <col min="14" max="14" width="13.77734375" style="185" bestFit="1" customWidth="1"/>
    <col min="15" max="19" width="8.88671875" style="185"/>
    <col min="20" max="20" width="9.21875" style="185" bestFit="1" customWidth="1"/>
    <col min="21" max="21" width="4.6640625" style="185" customWidth="1"/>
    <col min="22" max="22" width="4.88671875" style="185" customWidth="1"/>
    <col min="23" max="23" width="3.5546875" style="185" bestFit="1" customWidth="1"/>
    <col min="24" max="16384" width="8.88671875" style="185"/>
  </cols>
  <sheetData>
    <row r="1" spans="1:23" x14ac:dyDescent="0.25">
      <c r="A1" s="184" t="s">
        <v>208</v>
      </c>
    </row>
    <row r="2" spans="1:23" x14ac:dyDescent="0.25">
      <c r="A2" s="188">
        <v>1</v>
      </c>
      <c r="B2" s="189" t="s">
        <v>209</v>
      </c>
    </row>
    <row r="3" spans="1:23" x14ac:dyDescent="0.25">
      <c r="B3" s="185" t="s">
        <v>294</v>
      </c>
      <c r="C3" s="190" t="s">
        <v>93</v>
      </c>
      <c r="D3" s="191">
        <v>2.5</v>
      </c>
      <c r="E3" s="185" t="s">
        <v>1</v>
      </c>
      <c r="F3" s="192" t="s">
        <v>210</v>
      </c>
      <c r="G3" s="186"/>
      <c r="H3" s="187"/>
    </row>
    <row r="4" spans="1:23" x14ac:dyDescent="0.25">
      <c r="B4" s="185" t="s">
        <v>211</v>
      </c>
      <c r="C4" s="190" t="s">
        <v>93</v>
      </c>
      <c r="D4" s="191">
        <v>1.05</v>
      </c>
      <c r="E4" s="185" t="s">
        <v>1</v>
      </c>
      <c r="F4" s="185" t="s">
        <v>212</v>
      </c>
      <c r="G4" s="190" t="s">
        <v>93</v>
      </c>
      <c r="H4" s="191" t="s">
        <v>95</v>
      </c>
      <c r="L4" s="193" t="s">
        <v>96</v>
      </c>
      <c r="M4" s="185">
        <f>IF(H4="M15",15,IF(H4="M20",20,IF(H4="M25",25,"write the value")))</f>
        <v>20</v>
      </c>
      <c r="N4" s="185" t="s">
        <v>213</v>
      </c>
    </row>
    <row r="5" spans="1:23" x14ac:dyDescent="0.25">
      <c r="B5" s="185" t="s">
        <v>214</v>
      </c>
      <c r="C5" s="190" t="s">
        <v>93</v>
      </c>
      <c r="D5" s="191">
        <v>3</v>
      </c>
      <c r="E5" s="185" t="s">
        <v>1</v>
      </c>
      <c r="F5" s="185" t="s">
        <v>215</v>
      </c>
      <c r="G5" s="190" t="s">
        <v>93</v>
      </c>
      <c r="H5" s="191" t="s">
        <v>216</v>
      </c>
      <c r="L5" s="193" t="s">
        <v>97</v>
      </c>
      <c r="M5" s="185">
        <f>IF(H5="Fe250",250,IF(H5="Fe415",415,IF(H5="Fe500",500,"write the value")))</f>
        <v>500</v>
      </c>
      <c r="N5" s="185" t="s">
        <v>213</v>
      </c>
    </row>
    <row r="6" spans="1:23" x14ac:dyDescent="0.25">
      <c r="B6" s="185" t="s">
        <v>217</v>
      </c>
      <c r="C6" s="190" t="s">
        <v>93</v>
      </c>
      <c r="D6" s="191">
        <v>175</v>
      </c>
      <c r="E6" s="185" t="s">
        <v>2</v>
      </c>
      <c r="F6" s="185" t="s">
        <v>218</v>
      </c>
      <c r="G6" s="190" t="s">
        <v>93</v>
      </c>
      <c r="H6" s="191">
        <v>25</v>
      </c>
      <c r="I6" s="185" t="s">
        <v>219</v>
      </c>
    </row>
    <row r="7" spans="1:23" x14ac:dyDescent="0.25">
      <c r="B7" s="185" t="s">
        <v>220</v>
      </c>
      <c r="C7" s="190" t="s">
        <v>93</v>
      </c>
      <c r="D7" s="191">
        <v>250</v>
      </c>
      <c r="E7" s="185" t="s">
        <v>2</v>
      </c>
      <c r="F7" s="185" t="s">
        <v>221</v>
      </c>
      <c r="G7" s="190" t="s">
        <v>93</v>
      </c>
      <c r="H7" s="191">
        <v>230</v>
      </c>
      <c r="I7" s="185" t="s">
        <v>2</v>
      </c>
    </row>
    <row r="8" spans="1:23" x14ac:dyDescent="0.25">
      <c r="B8" s="185" t="s">
        <v>222</v>
      </c>
      <c r="C8" s="190" t="s">
        <v>93</v>
      </c>
      <c r="D8" s="191">
        <v>125</v>
      </c>
      <c r="E8" s="185" t="s">
        <v>2</v>
      </c>
      <c r="F8" s="185" t="s">
        <v>223</v>
      </c>
      <c r="G8" s="190" t="s">
        <v>93</v>
      </c>
      <c r="H8" s="191">
        <f>(H7/2000+D14+D16+D15+H7/2000)</f>
        <v>2.7300000000000004</v>
      </c>
      <c r="I8" s="185" t="s">
        <v>1</v>
      </c>
    </row>
    <row r="9" spans="1:23" x14ac:dyDescent="0.25">
      <c r="B9" s="185" t="s">
        <v>224</v>
      </c>
      <c r="C9" s="190" t="s">
        <v>93</v>
      </c>
      <c r="D9" s="191">
        <v>125</v>
      </c>
      <c r="E9" s="185" t="s">
        <v>2</v>
      </c>
    </row>
    <row r="10" spans="1:23" x14ac:dyDescent="0.25">
      <c r="B10" s="185" t="s">
        <v>94</v>
      </c>
      <c r="C10" s="190" t="s">
        <v>93</v>
      </c>
      <c r="D10" s="191">
        <v>20</v>
      </c>
      <c r="E10" s="185" t="s">
        <v>2</v>
      </c>
    </row>
    <row r="11" spans="1:23" x14ac:dyDescent="0.25">
      <c r="B11" s="185" t="s">
        <v>225</v>
      </c>
      <c r="C11" s="190" t="s">
        <v>93</v>
      </c>
      <c r="D11" s="187">
        <v>16</v>
      </c>
      <c r="E11" s="185" t="s">
        <v>226</v>
      </c>
    </row>
    <row r="12" spans="1:23" x14ac:dyDescent="0.25">
      <c r="B12" s="185" t="s">
        <v>227</v>
      </c>
      <c r="C12" s="190" t="s">
        <v>93</v>
      </c>
      <c r="D12" s="187">
        <v>6</v>
      </c>
      <c r="E12" s="185" t="s">
        <v>226</v>
      </c>
      <c r="J12" s="189"/>
      <c r="K12" s="189"/>
      <c r="L12" s="189"/>
      <c r="M12" s="189"/>
      <c r="N12" s="189"/>
      <c r="O12" s="189"/>
      <c r="P12" s="189"/>
      <c r="Q12" s="189"/>
      <c r="R12" s="189"/>
      <c r="S12" s="189"/>
      <c r="T12" s="189"/>
      <c r="U12" s="189"/>
      <c r="V12" s="189"/>
      <c r="W12" s="189"/>
    </row>
    <row r="13" spans="1:23" x14ac:dyDescent="0.25">
      <c r="B13" s="185" t="s">
        <v>228</v>
      </c>
      <c r="C13" s="190" t="s">
        <v>93</v>
      </c>
      <c r="D13" s="187">
        <v>5</v>
      </c>
      <c r="E13" s="185" t="s">
        <v>226</v>
      </c>
      <c r="J13" s="189"/>
      <c r="K13" s="189"/>
      <c r="L13" s="189"/>
      <c r="M13" s="189"/>
      <c r="N13" s="189"/>
      <c r="O13" s="189"/>
      <c r="P13" s="189"/>
      <c r="Q13" s="189"/>
      <c r="R13" s="189"/>
      <c r="S13" s="189"/>
      <c r="T13" s="189"/>
      <c r="U13" s="189"/>
      <c r="V13" s="189"/>
      <c r="W13" s="189"/>
    </row>
    <row r="14" spans="1:23" x14ac:dyDescent="0.25">
      <c r="B14" s="185" t="s">
        <v>229</v>
      </c>
      <c r="C14" s="190" t="s">
        <v>93</v>
      </c>
      <c r="D14" s="191">
        <v>0.15</v>
      </c>
      <c r="E14" s="185" t="s">
        <v>1</v>
      </c>
      <c r="L14" s="185" t="s">
        <v>230</v>
      </c>
    </row>
    <row r="15" spans="1:23" x14ac:dyDescent="0.25">
      <c r="B15" s="185" t="s">
        <v>231</v>
      </c>
      <c r="C15" s="190" t="s">
        <v>93</v>
      </c>
      <c r="D15" s="187">
        <f>D3-D16-D14</f>
        <v>1.1000000000000001</v>
      </c>
      <c r="E15" s="185" t="s">
        <v>1</v>
      </c>
    </row>
    <row r="16" spans="1:23" x14ac:dyDescent="0.25">
      <c r="B16" s="185" t="s">
        <v>232</v>
      </c>
      <c r="C16" s="190" t="s">
        <v>93</v>
      </c>
      <c r="D16" s="187">
        <f>D13*D7/1000</f>
        <v>1.25</v>
      </c>
      <c r="E16" s="185" t="s">
        <v>1</v>
      </c>
      <c r="J16" s="194"/>
      <c r="K16" s="194"/>
      <c r="L16" s="194"/>
      <c r="M16" s="194"/>
      <c r="N16" s="194"/>
    </row>
    <row r="17" spans="1:23" x14ac:dyDescent="0.25">
      <c r="J17" s="344">
        <f>D35</f>
        <v>11.415000000000001</v>
      </c>
      <c r="K17" s="195"/>
      <c r="L17" s="195"/>
      <c r="O17" s="196"/>
      <c r="P17" s="196"/>
      <c r="Q17" s="196"/>
      <c r="R17" s="196"/>
    </row>
    <row r="18" spans="1:23" x14ac:dyDescent="0.25">
      <c r="A18" s="188">
        <v>2</v>
      </c>
      <c r="B18" s="189" t="s">
        <v>233</v>
      </c>
      <c r="J18" s="345"/>
      <c r="K18" s="195"/>
      <c r="L18" s="195"/>
      <c r="O18" s="197"/>
      <c r="P18" s="197"/>
      <c r="Q18" s="197"/>
      <c r="R18" s="197"/>
    </row>
    <row r="19" spans="1:23" x14ac:dyDescent="0.25">
      <c r="B19" s="185" t="s">
        <v>234</v>
      </c>
      <c r="J19" s="345"/>
      <c r="K19" s="198"/>
      <c r="L19" s="198"/>
      <c r="O19" s="197"/>
      <c r="P19" s="197"/>
      <c r="Q19" s="197"/>
      <c r="R19" s="197"/>
    </row>
    <row r="20" spans="1:23" ht="12" customHeight="1" x14ac:dyDescent="0.25">
      <c r="B20" s="199" t="s">
        <v>98</v>
      </c>
      <c r="C20" s="190" t="s">
        <v>93</v>
      </c>
      <c r="D20" s="187">
        <f>ROUND(SQRT(D6^2+D7^2),2)</f>
        <v>305.16000000000003</v>
      </c>
      <c r="E20" s="185" t="s">
        <v>2</v>
      </c>
      <c r="F20" s="200" t="s">
        <v>235</v>
      </c>
      <c r="G20" s="185" t="s">
        <v>93</v>
      </c>
      <c r="H20" s="187">
        <f>ROUND((D8+D7*D6/D20)/2,2)</f>
        <v>134.18</v>
      </c>
      <c r="I20" s="185" t="s">
        <v>2</v>
      </c>
      <c r="J20" s="345"/>
      <c r="K20" s="347">
        <f>D26</f>
        <v>6.890625</v>
      </c>
      <c r="L20" s="201"/>
      <c r="M20" s="196"/>
      <c r="N20" s="202"/>
      <c r="O20" s="203"/>
      <c r="P20" s="197"/>
      <c r="Q20" s="197"/>
      <c r="R20" s="204"/>
      <c r="S20" s="205"/>
      <c r="T20" s="196"/>
    </row>
    <row r="21" spans="1:23" x14ac:dyDescent="0.25">
      <c r="B21" s="185" t="s">
        <v>236</v>
      </c>
      <c r="J21" s="346"/>
      <c r="K21" s="348"/>
      <c r="L21" s="206"/>
      <c r="M21" s="197"/>
      <c r="N21" s="204"/>
      <c r="O21" s="203"/>
      <c r="P21" s="197"/>
      <c r="Q21" s="197"/>
      <c r="R21" s="204"/>
      <c r="S21" s="203"/>
      <c r="T21" s="197"/>
    </row>
    <row r="22" spans="1:23" ht="12" customHeight="1" x14ac:dyDescent="0.25">
      <c r="B22" s="207" t="s">
        <v>237</v>
      </c>
      <c r="C22" s="190" t="s">
        <v>93</v>
      </c>
      <c r="D22" s="208">
        <f>D9*H6/1000</f>
        <v>3.125</v>
      </c>
      <c r="E22" s="185" t="s">
        <v>238</v>
      </c>
      <c r="J22" s="344" t="s">
        <v>239</v>
      </c>
      <c r="K22" s="347">
        <f>D39</f>
        <v>4.7250000000000005</v>
      </c>
      <c r="L22" s="209"/>
      <c r="M22" s="197"/>
      <c r="N22" s="204"/>
      <c r="O22" s="203"/>
      <c r="P22" s="197"/>
      <c r="Q22" s="197"/>
      <c r="R22" s="204"/>
      <c r="S22" s="203"/>
      <c r="T22" s="197"/>
    </row>
    <row r="23" spans="1:23" x14ac:dyDescent="0.25">
      <c r="B23" s="207" t="s">
        <v>240</v>
      </c>
      <c r="C23" s="190" t="s">
        <v>93</v>
      </c>
      <c r="D23" s="191">
        <v>1.25</v>
      </c>
      <c r="E23" s="185" t="s">
        <v>238</v>
      </c>
      <c r="F23" s="185" t="s">
        <v>241</v>
      </c>
      <c r="J23" s="346"/>
      <c r="K23" s="348"/>
      <c r="L23" s="210"/>
      <c r="M23" s="211"/>
      <c r="N23" s="212"/>
      <c r="O23" s="213"/>
      <c r="P23" s="211"/>
      <c r="Q23" s="211"/>
      <c r="R23" s="212"/>
      <c r="S23" s="213"/>
      <c r="T23" s="211"/>
      <c r="U23" s="214"/>
    </row>
    <row r="24" spans="1:23" x14ac:dyDescent="0.25">
      <c r="B24" s="207" t="s">
        <v>242</v>
      </c>
      <c r="C24" s="190" t="s">
        <v>93</v>
      </c>
      <c r="D24" s="215">
        <f>SUM(D22:D23)</f>
        <v>4.375</v>
      </c>
      <c r="E24" s="185" t="s">
        <v>238</v>
      </c>
      <c r="K24" s="216"/>
      <c r="L24" s="217" t="s">
        <v>100</v>
      </c>
      <c r="M24" s="218"/>
      <c r="O24" s="185" t="s">
        <v>101</v>
      </c>
      <c r="S24" s="185" t="s">
        <v>243</v>
      </c>
      <c r="T24" s="219" t="s">
        <v>102</v>
      </c>
      <c r="U24" s="216"/>
      <c r="V24" s="220"/>
    </row>
    <row r="25" spans="1:23" x14ac:dyDescent="0.25">
      <c r="B25" s="207" t="s">
        <v>244</v>
      </c>
      <c r="C25" s="190" t="s">
        <v>93</v>
      </c>
      <c r="D25" s="187">
        <f>D24*D4</f>
        <v>4.59375</v>
      </c>
      <c r="E25" s="185" t="s">
        <v>99</v>
      </c>
      <c r="L25" s="221"/>
      <c r="U25" s="222"/>
    </row>
    <row r="26" spans="1:23" x14ac:dyDescent="0.25">
      <c r="B26" s="207" t="s">
        <v>245</v>
      </c>
      <c r="C26" s="190" t="s">
        <v>93</v>
      </c>
      <c r="D26" s="184">
        <f>1.5*D25</f>
        <v>6.890625</v>
      </c>
      <c r="E26" s="185" t="s">
        <v>99</v>
      </c>
      <c r="L26" s="223">
        <f>H7/2000</f>
        <v>0.115</v>
      </c>
      <c r="M26" s="336">
        <f>D14</f>
        <v>0.15</v>
      </c>
      <c r="N26" s="337"/>
      <c r="O26" s="341">
        <f>L27-L26-M26-S26-U26</f>
        <v>1.2500000000000002</v>
      </c>
      <c r="P26" s="342"/>
      <c r="Q26" s="342"/>
      <c r="R26" s="343"/>
      <c r="S26" s="336">
        <f>D15</f>
        <v>1.1000000000000001</v>
      </c>
      <c r="T26" s="337"/>
      <c r="U26" s="223">
        <f>L26</f>
        <v>0.115</v>
      </c>
    </row>
    <row r="27" spans="1:23" x14ac:dyDescent="0.25">
      <c r="B27" s="185" t="s">
        <v>246</v>
      </c>
      <c r="L27" s="338">
        <f>H8</f>
        <v>2.7300000000000004</v>
      </c>
      <c r="M27" s="339"/>
      <c r="N27" s="339"/>
      <c r="O27" s="339"/>
      <c r="P27" s="339"/>
      <c r="Q27" s="339"/>
      <c r="R27" s="339"/>
      <c r="S27" s="339"/>
      <c r="T27" s="339"/>
      <c r="U27" s="340"/>
    </row>
    <row r="28" spans="1:23" x14ac:dyDescent="0.25">
      <c r="B28" s="193" t="s">
        <v>237</v>
      </c>
      <c r="C28" s="190" t="s">
        <v>93</v>
      </c>
      <c r="D28" s="215">
        <f>D8/1000*H6*(SQRT(D6^2+D7^2))/D7</f>
        <v>3.8145486299167821</v>
      </c>
      <c r="E28" s="185" t="s">
        <v>238</v>
      </c>
      <c r="K28" s="224">
        <f>K22*(M28)+K20*M28+(J17-K20)*O26-V28</f>
        <v>18.331275755494509</v>
      </c>
      <c r="L28" s="225" t="s">
        <v>103</v>
      </c>
      <c r="M28" s="341">
        <f>M26+O26+S26</f>
        <v>2.5</v>
      </c>
      <c r="N28" s="342"/>
      <c r="O28" s="342"/>
      <c r="P28" s="342"/>
      <c r="Q28" s="342"/>
      <c r="R28" s="342"/>
      <c r="S28" s="342"/>
      <c r="T28" s="343"/>
      <c r="U28" s="225"/>
      <c r="V28" s="185">
        <f>D42</f>
        <v>16.363255494505495</v>
      </c>
      <c r="W28" s="185" t="s">
        <v>103</v>
      </c>
    </row>
    <row r="29" spans="1:23" x14ac:dyDescent="0.25">
      <c r="B29" s="193" t="s">
        <v>240</v>
      </c>
      <c r="C29" s="190" t="s">
        <v>93</v>
      </c>
      <c r="D29" s="191">
        <v>1.25</v>
      </c>
      <c r="E29" s="185" t="s">
        <v>238</v>
      </c>
      <c r="F29" s="185" t="s">
        <v>241</v>
      </c>
      <c r="J29" s="189" t="s">
        <v>247</v>
      </c>
      <c r="K29" s="335">
        <f>((K22*M26)*(O26+S26+U26+M26/2)+K22*O26*(S26+U26+O26/2)+K22*S26*(U26+S26/2))/L27</f>
        <v>5.9062500000000018</v>
      </c>
      <c r="L29" s="335"/>
      <c r="M29" s="189"/>
      <c r="N29" s="189"/>
      <c r="O29" s="189"/>
      <c r="P29" s="189"/>
      <c r="Q29" s="189"/>
      <c r="R29" s="189"/>
      <c r="S29" s="189"/>
      <c r="T29" s="189"/>
      <c r="U29" s="335">
        <f>(K22*M28)-K29</f>
        <v>5.90625</v>
      </c>
      <c r="V29" s="335"/>
      <c r="W29" s="189"/>
    </row>
    <row r="30" spans="1:23" x14ac:dyDescent="0.25">
      <c r="B30" s="193" t="s">
        <v>248</v>
      </c>
      <c r="C30" s="190" t="s">
        <v>93</v>
      </c>
      <c r="D30" s="187">
        <f>(D6*D7)/2*H6/10^6</f>
        <v>0.546875</v>
      </c>
      <c r="E30" s="185" t="s">
        <v>249</v>
      </c>
      <c r="K30" s="332">
        <f>ROUND((K20*M28)/2,2)</f>
        <v>8.61</v>
      </c>
      <c r="L30" s="332"/>
      <c r="P30" s="185" t="s">
        <v>250</v>
      </c>
      <c r="Q30" s="185">
        <f>K28*L27/2-(K22+K20)*M26*(L27/2-L26-M26/2)-(K22+J17)*(L27/2-L26-M26)*(L27/2-L26-M26-(L27/2-L26-M26)/2)</f>
        <v>13.210237500000005</v>
      </c>
      <c r="U30" s="332">
        <f>K30</f>
        <v>8.61</v>
      </c>
      <c r="V30" s="332"/>
    </row>
    <row r="31" spans="1:23" x14ac:dyDescent="0.25">
      <c r="B31" s="193" t="s">
        <v>251</v>
      </c>
      <c r="C31" s="190" t="s">
        <v>93</v>
      </c>
      <c r="D31" s="215">
        <f>1000/D7</f>
        <v>4</v>
      </c>
      <c r="E31" s="185" t="s">
        <v>252</v>
      </c>
      <c r="K31" s="332">
        <f>ROUND((J17-K20)*O26*(S26+U26+O26/2)/L27,2)</f>
        <v>3.81</v>
      </c>
      <c r="L31" s="332"/>
      <c r="U31" s="332">
        <f>ROUND((J17-K20)*O26-K31,2)</f>
        <v>1.85</v>
      </c>
      <c r="V31" s="332"/>
    </row>
    <row r="32" spans="1:23" x14ac:dyDescent="0.25">
      <c r="B32" s="193" t="s">
        <v>253</v>
      </c>
      <c r="C32" s="190" t="s">
        <v>93</v>
      </c>
      <c r="D32" s="215">
        <f>D31*D30</f>
        <v>2.1875</v>
      </c>
      <c r="E32" s="185" t="s">
        <v>238</v>
      </c>
      <c r="J32" s="189" t="s">
        <v>254</v>
      </c>
      <c r="K32" s="335">
        <f>K30+K31</f>
        <v>12.42</v>
      </c>
      <c r="L32" s="335"/>
      <c r="M32" s="189"/>
      <c r="N32" s="189"/>
      <c r="O32" s="189"/>
      <c r="P32" s="189"/>
      <c r="Q32" s="189"/>
      <c r="R32" s="189"/>
      <c r="S32" s="189"/>
      <c r="T32" s="189"/>
      <c r="U32" s="335">
        <f>U30+U31</f>
        <v>10.459999999999999</v>
      </c>
      <c r="V32" s="335"/>
    </row>
    <row r="33" spans="1:14" x14ac:dyDescent="0.25">
      <c r="B33" s="193" t="s">
        <v>255</v>
      </c>
      <c r="C33" s="190" t="s">
        <v>93</v>
      </c>
      <c r="D33" s="215">
        <f>D28+D29+D32</f>
        <v>7.2520486299167821</v>
      </c>
      <c r="E33" s="185" t="s">
        <v>238</v>
      </c>
    </row>
    <row r="34" spans="1:14" x14ac:dyDescent="0.25">
      <c r="B34" s="193" t="s">
        <v>256</v>
      </c>
      <c r="C34" s="190" t="s">
        <v>93</v>
      </c>
      <c r="D34" s="187">
        <f>ROUND(D33*D4,2)</f>
        <v>7.61</v>
      </c>
      <c r="E34" s="185" t="s">
        <v>99</v>
      </c>
    </row>
    <row r="35" spans="1:14" ht="14.25" customHeight="1" x14ac:dyDescent="0.25">
      <c r="B35" s="193" t="s">
        <v>257</v>
      </c>
      <c r="C35" s="190" t="s">
        <v>93</v>
      </c>
      <c r="D35" s="184">
        <f>1.5*D34</f>
        <v>11.415000000000001</v>
      </c>
      <c r="E35" s="185" t="s">
        <v>99</v>
      </c>
    </row>
    <row r="36" spans="1:14" x14ac:dyDescent="0.25">
      <c r="B36" s="185" t="s">
        <v>258</v>
      </c>
    </row>
    <row r="37" spans="1:14" x14ac:dyDescent="0.25">
      <c r="B37" s="193" t="s">
        <v>259</v>
      </c>
      <c r="C37" s="190" t="s">
        <v>93</v>
      </c>
      <c r="D37" s="191">
        <v>3</v>
      </c>
      <c r="E37" s="186" t="s">
        <v>238</v>
      </c>
      <c r="F37" s="193"/>
    </row>
    <row r="38" spans="1:14" x14ac:dyDescent="0.25">
      <c r="B38" s="193" t="s">
        <v>260</v>
      </c>
      <c r="C38" s="190" t="s">
        <v>93</v>
      </c>
      <c r="D38" s="187">
        <f>D37*D4</f>
        <v>3.1500000000000004</v>
      </c>
      <c r="E38" s="186" t="s">
        <v>99</v>
      </c>
    </row>
    <row r="39" spans="1:14" x14ac:dyDescent="0.25">
      <c r="B39" s="193" t="s">
        <v>261</v>
      </c>
      <c r="C39" s="190" t="s">
        <v>93</v>
      </c>
      <c r="D39" s="184">
        <f>D38*1.5</f>
        <v>4.7250000000000005</v>
      </c>
      <c r="E39" s="185" t="s">
        <v>99</v>
      </c>
    </row>
    <row r="40" spans="1:14" x14ac:dyDescent="0.25">
      <c r="A40" s="188"/>
      <c r="B40" s="189"/>
    </row>
    <row r="41" spans="1:14" x14ac:dyDescent="0.25">
      <c r="A41" s="188">
        <v>3</v>
      </c>
      <c r="B41" s="189" t="s">
        <v>262</v>
      </c>
    </row>
    <row r="42" spans="1:14" x14ac:dyDescent="0.25">
      <c r="B42" s="185" t="s">
        <v>263</v>
      </c>
      <c r="C42" s="190" t="s">
        <v>93</v>
      </c>
      <c r="D42" s="226">
        <f>((K22+K20)*M28*(M28/2+L26)+(J17-K20)*O26*(O26/2+M26+L26))/L27</f>
        <v>16.363255494505495</v>
      </c>
      <c r="E42" s="189" t="s">
        <v>103</v>
      </c>
    </row>
    <row r="43" spans="1:14" x14ac:dyDescent="0.25">
      <c r="B43" s="185" t="s">
        <v>264</v>
      </c>
    </row>
    <row r="44" spans="1:14" x14ac:dyDescent="0.25">
      <c r="B44" s="227" t="s">
        <v>265</v>
      </c>
      <c r="C44" s="228" t="s">
        <v>93</v>
      </c>
      <c r="D44" s="226">
        <f>V28*(L27/2)-(K22+K20)*S26*(L27/2-U26-S26/2)-(K22+J17)*(L27/2-S26-U26)*(L27/2-S26-U26-(L27/2-U26-S26)/2)</f>
        <v>13.210237500000002</v>
      </c>
      <c r="E44" s="189" t="s">
        <v>266</v>
      </c>
    </row>
    <row r="46" spans="1:14" x14ac:dyDescent="0.25">
      <c r="A46" s="188">
        <v>4</v>
      </c>
      <c r="B46" s="189" t="s">
        <v>104</v>
      </c>
    </row>
    <row r="47" spans="1:14" x14ac:dyDescent="0.25">
      <c r="B47" s="193" t="s">
        <v>105</v>
      </c>
      <c r="C47" s="190" t="s">
        <v>93</v>
      </c>
      <c r="D47" s="187">
        <f>ROUNDUP(SQRT(D44*1000000/(0.138*M4*1000)),0)</f>
        <v>70</v>
      </c>
      <c r="E47" s="185" t="s">
        <v>2</v>
      </c>
      <c r="M47" s="185" t="s">
        <v>267</v>
      </c>
    </row>
    <row r="48" spans="1:14" x14ac:dyDescent="0.25">
      <c r="B48" s="193" t="s">
        <v>268</v>
      </c>
      <c r="C48" s="190" t="s">
        <v>93</v>
      </c>
      <c r="D48" s="187">
        <f>D47+D10</f>
        <v>90</v>
      </c>
      <c r="E48" s="185" t="s">
        <v>2</v>
      </c>
      <c r="F48" s="189" t="str">
        <f>IF(D48&lt;=D8,"O.K.!", "NOT O.K.!")</f>
        <v>O.K.!</v>
      </c>
      <c r="M48" s="229" t="s">
        <v>98</v>
      </c>
      <c r="N48" s="225">
        <f>-0.87*M5*D50</f>
        <v>-45675</v>
      </c>
    </row>
    <row r="49" spans="1:14" x14ac:dyDescent="0.25">
      <c r="B49" s="193" t="s">
        <v>269</v>
      </c>
      <c r="C49" s="190" t="s">
        <v>93</v>
      </c>
      <c r="D49" s="191">
        <v>125</v>
      </c>
      <c r="E49" s="185" t="s">
        <v>2</v>
      </c>
      <c r="M49" s="229" t="s">
        <v>106</v>
      </c>
      <c r="N49" s="225">
        <f>-N48*M5/(1000*D50*M4)</f>
        <v>10.875</v>
      </c>
    </row>
    <row r="50" spans="1:14" x14ac:dyDescent="0.25">
      <c r="B50" s="193" t="s">
        <v>270</v>
      </c>
      <c r="C50" s="190" t="s">
        <v>93</v>
      </c>
      <c r="D50" s="208">
        <f>D49-D10</f>
        <v>105</v>
      </c>
      <c r="E50" s="185" t="s">
        <v>2</v>
      </c>
      <c r="M50" s="229" t="s">
        <v>107</v>
      </c>
      <c r="N50" s="225">
        <f>D44*1000000</f>
        <v>13210237.500000002</v>
      </c>
    </row>
    <row r="51" spans="1:14" x14ac:dyDescent="0.25">
      <c r="M51" s="225"/>
      <c r="N51" s="225"/>
    </row>
    <row r="52" spans="1:14" x14ac:dyDescent="0.25">
      <c r="A52" s="188">
        <v>5</v>
      </c>
      <c r="B52" s="189" t="s">
        <v>271</v>
      </c>
      <c r="M52" s="229" t="s">
        <v>165</v>
      </c>
      <c r="N52" s="225">
        <f>(-N48+SQRT(N48^2-4*N49*N50))/(2*N49)</f>
        <v>3887.5305640020197</v>
      </c>
    </row>
    <row r="53" spans="1:14" x14ac:dyDescent="0.25">
      <c r="B53" s="193" t="s">
        <v>272</v>
      </c>
      <c r="C53" s="190" t="s">
        <v>93</v>
      </c>
      <c r="D53" s="187">
        <f>ROUND(N52,2)</f>
        <v>3887.53</v>
      </c>
      <c r="E53" s="186" t="s">
        <v>273</v>
      </c>
      <c r="F53" s="185">
        <f>ROUND(N53,2)</f>
        <v>312.47000000000003</v>
      </c>
      <c r="M53" s="229" t="s">
        <v>165</v>
      </c>
      <c r="N53" s="225">
        <f>(-N48-SQRT(N48^2-4*N49*N50))/(2*N49)</f>
        <v>312.46943599798004</v>
      </c>
    </row>
    <row r="54" spans="1:14" x14ac:dyDescent="0.25">
      <c r="B54" s="193" t="s">
        <v>274</v>
      </c>
      <c r="C54" s="190" t="s">
        <v>93</v>
      </c>
      <c r="D54" s="191">
        <f>F53</f>
        <v>312.47000000000003</v>
      </c>
      <c r="E54" s="185" t="s">
        <v>275</v>
      </c>
      <c r="M54" s="225"/>
      <c r="N54" s="225"/>
    </row>
    <row r="55" spans="1:14" x14ac:dyDescent="0.25">
      <c r="B55" s="193" t="s">
        <v>276</v>
      </c>
      <c r="D55" s="191">
        <v>12</v>
      </c>
      <c r="E55" s="185" t="s">
        <v>277</v>
      </c>
    </row>
    <row r="56" spans="1:14" x14ac:dyDescent="0.25">
      <c r="B56" s="193" t="s">
        <v>278</v>
      </c>
      <c r="C56" s="190" t="s">
        <v>93</v>
      </c>
      <c r="D56" s="187">
        <f>ROUND(1000*3.14*D55^2/4/D54,0)</f>
        <v>362</v>
      </c>
      <c r="E56" s="185" t="s">
        <v>108</v>
      </c>
    </row>
    <row r="57" spans="1:14" s="189" customFormat="1" x14ac:dyDescent="0.25">
      <c r="A57" s="188"/>
      <c r="B57" s="227" t="s">
        <v>279</v>
      </c>
      <c r="C57" s="188"/>
      <c r="D57" s="230">
        <v>12</v>
      </c>
      <c r="E57" s="188" t="str">
        <f>H5</f>
        <v>Fe500</v>
      </c>
      <c r="F57" s="189" t="s">
        <v>280</v>
      </c>
      <c r="H57" s="191">
        <v>150</v>
      </c>
      <c r="I57" s="189" t="s">
        <v>281</v>
      </c>
    </row>
    <row r="58" spans="1:14" s="189" customFormat="1" x14ac:dyDescent="0.25">
      <c r="A58" s="188"/>
      <c r="B58" s="227"/>
      <c r="C58" s="188"/>
      <c r="D58" s="230"/>
      <c r="E58" s="188"/>
      <c r="H58" s="231"/>
    </row>
    <row r="59" spans="1:14" x14ac:dyDescent="0.25">
      <c r="A59" s="188">
        <v>6</v>
      </c>
      <c r="B59" s="189" t="s">
        <v>282</v>
      </c>
    </row>
    <row r="60" spans="1:14" x14ac:dyDescent="0.25">
      <c r="B60" s="193" t="s">
        <v>283</v>
      </c>
      <c r="C60" s="190" t="s">
        <v>93</v>
      </c>
      <c r="D60" s="208">
        <f>0.12%*1000*D49</f>
        <v>150</v>
      </c>
      <c r="E60" s="185" t="s">
        <v>275</v>
      </c>
    </row>
    <row r="61" spans="1:14" x14ac:dyDescent="0.25">
      <c r="B61" s="193" t="s">
        <v>284</v>
      </c>
      <c r="C61" s="190" t="s">
        <v>93</v>
      </c>
      <c r="D61" s="191">
        <v>8</v>
      </c>
      <c r="E61" s="185" t="s">
        <v>2</v>
      </c>
      <c r="F61" s="185" t="s">
        <v>285</v>
      </c>
      <c r="G61" s="185">
        <f>3.14*D61^2/4</f>
        <v>50.24</v>
      </c>
      <c r="H61" s="185" t="s">
        <v>47</v>
      </c>
    </row>
    <row r="62" spans="1:14" ht="11.4" customHeight="1" x14ac:dyDescent="0.25">
      <c r="B62" s="185" t="s">
        <v>286</v>
      </c>
      <c r="C62" s="190" t="s">
        <v>93</v>
      </c>
      <c r="D62" s="187">
        <f>ROUND(1000*G61/D60,0)</f>
        <v>335</v>
      </c>
      <c r="E62" s="185" t="s">
        <v>2</v>
      </c>
    </row>
    <row r="63" spans="1:14" x14ac:dyDescent="0.25">
      <c r="B63" s="227" t="s">
        <v>279</v>
      </c>
      <c r="C63" s="188"/>
      <c r="D63" s="230">
        <v>10</v>
      </c>
      <c r="E63" s="188" t="str">
        <f>E57</f>
        <v>Fe500</v>
      </c>
      <c r="F63" s="189" t="s">
        <v>280</v>
      </c>
      <c r="G63" s="189"/>
      <c r="H63" s="191">
        <v>150</v>
      </c>
      <c r="I63" s="189" t="s">
        <v>281</v>
      </c>
    </row>
    <row r="65" spans="10:22" ht="11.4" customHeight="1" x14ac:dyDescent="0.25"/>
    <row r="66" spans="10:22" ht="40.799999999999997" customHeight="1" x14ac:dyDescent="0.25"/>
    <row r="67" spans="10:22" ht="38.4" customHeight="1" x14ac:dyDescent="0.25"/>
    <row r="78" spans="10:22" x14ac:dyDescent="0.25">
      <c r="K78" s="332"/>
      <c r="L78" s="332"/>
    </row>
    <row r="80" spans="10:22" x14ac:dyDescent="0.25">
      <c r="J80" s="232"/>
      <c r="U80" s="332"/>
      <c r="V80" s="332"/>
    </row>
    <row r="81" spans="10:23" x14ac:dyDescent="0.25">
      <c r="M81" s="233"/>
      <c r="N81" s="233"/>
      <c r="O81" s="233"/>
      <c r="P81" s="233"/>
      <c r="Q81" s="233"/>
    </row>
    <row r="82" spans="10:23" x14ac:dyDescent="0.25">
      <c r="M82" s="233"/>
      <c r="N82" s="233"/>
      <c r="O82" s="233"/>
      <c r="P82" s="233"/>
      <c r="Q82" s="233"/>
    </row>
    <row r="83" spans="10:23" x14ac:dyDescent="0.25">
      <c r="O83" s="233"/>
      <c r="P83" s="233"/>
      <c r="Q83" s="233"/>
    </row>
    <row r="84" spans="10:23" x14ac:dyDescent="0.25">
      <c r="O84" s="233"/>
      <c r="P84" s="233"/>
      <c r="Q84" s="233"/>
    </row>
    <row r="85" spans="10:23" x14ac:dyDescent="0.25">
      <c r="O85" s="233"/>
      <c r="P85" s="233"/>
      <c r="Q85" s="233"/>
    </row>
    <row r="86" spans="10:23" x14ac:dyDescent="0.25">
      <c r="O86" s="233"/>
      <c r="P86" s="233"/>
      <c r="Q86" s="233"/>
    </row>
    <row r="87" spans="10:23" x14ac:dyDescent="0.25">
      <c r="O87" s="233"/>
      <c r="P87" s="233"/>
      <c r="Q87" s="233"/>
    </row>
    <row r="88" spans="10:23" x14ac:dyDescent="0.25">
      <c r="J88" s="189"/>
      <c r="K88" s="189"/>
      <c r="L88" s="189"/>
      <c r="O88" s="234"/>
      <c r="P88" s="234"/>
      <c r="Q88" s="234"/>
      <c r="R88" s="189"/>
      <c r="S88" s="189"/>
      <c r="T88" s="189"/>
      <c r="U88" s="189"/>
      <c r="V88" s="189"/>
      <c r="W88" s="189"/>
    </row>
    <row r="89" spans="10:23" x14ac:dyDescent="0.25">
      <c r="O89" s="233"/>
      <c r="P89" s="233"/>
      <c r="Q89" s="233"/>
    </row>
  </sheetData>
  <mergeCells count="19">
    <mergeCell ref="J17:J21"/>
    <mergeCell ref="K20:K21"/>
    <mergeCell ref="J22:J23"/>
    <mergeCell ref="K22:K23"/>
    <mergeCell ref="M26:N26"/>
    <mergeCell ref="U80:V80"/>
    <mergeCell ref="S26:T26"/>
    <mergeCell ref="L27:U27"/>
    <mergeCell ref="M28:T28"/>
    <mergeCell ref="K29:L29"/>
    <mergeCell ref="U29:V29"/>
    <mergeCell ref="K30:L30"/>
    <mergeCell ref="U30:V30"/>
    <mergeCell ref="O26:R26"/>
    <mergeCell ref="K31:L31"/>
    <mergeCell ref="U31:V31"/>
    <mergeCell ref="K32:L32"/>
    <mergeCell ref="U32:V32"/>
    <mergeCell ref="K78:L78"/>
  </mergeCells>
  <pageMargins left="0.75" right="0.75" top="1" bottom="1" header="0.5" footer="0.5"/>
  <pageSetup paperSize="9" scale="90" fitToWidth="0" orientation="portrait" copies="3" r:id="rId1"/>
  <headerFooter alignWithMargins="0">
    <oddHeader>&amp;R 4.2 Design of Staircase</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R17"/>
  <sheetViews>
    <sheetView tabSelected="1" zoomScaleNormal="100" workbookViewId="0">
      <selection activeCell="K10" sqref="K10"/>
    </sheetView>
  </sheetViews>
  <sheetFormatPr defaultColWidth="9.109375" defaultRowHeight="13.2" x14ac:dyDescent="0.25"/>
  <cols>
    <col min="1" max="1" width="7" style="1" customWidth="1"/>
    <col min="2" max="2" width="7.33203125" style="1" bestFit="1" customWidth="1"/>
    <col min="3" max="3" width="13.88671875" style="1" customWidth="1"/>
    <col min="4" max="4" width="8.109375" style="1" customWidth="1"/>
    <col min="5" max="5" width="8.6640625" style="1" customWidth="1"/>
    <col min="6" max="6" width="7.77734375" style="1" customWidth="1"/>
    <col min="7" max="7" width="6.5546875" style="1" customWidth="1"/>
    <col min="8" max="8" width="6" style="256" customWidth="1"/>
    <col min="9" max="9" width="6" style="1" customWidth="1"/>
    <col min="10" max="10" width="8.109375" style="260" customWidth="1"/>
    <col min="11" max="11" width="9.5546875" style="1" customWidth="1"/>
    <col min="12" max="13" width="6.5546875" style="1" customWidth="1"/>
    <col min="14" max="14" width="7.33203125" style="1" bestFit="1" customWidth="1"/>
    <col min="15" max="15" width="7.21875" style="1" bestFit="1" customWidth="1"/>
    <col min="16" max="16" width="8.77734375" style="2" bestFit="1" customWidth="1"/>
    <col min="17" max="17" width="8.77734375" style="2" customWidth="1"/>
    <col min="18" max="18" width="9.109375" style="1"/>
    <col min="19" max="19" width="12.33203125" style="1" customWidth="1"/>
    <col min="20" max="20" width="23.5546875" style="1" customWidth="1"/>
    <col min="21" max="21" width="7" style="1" bestFit="1" customWidth="1"/>
    <col min="22" max="22" width="8.109375" style="1" bestFit="1" customWidth="1"/>
    <col min="23" max="24" width="0" style="1" hidden="1" customWidth="1"/>
    <col min="25" max="29" width="9.109375" style="1"/>
    <col min="30" max="32" width="17.5546875" style="1" customWidth="1"/>
    <col min="33" max="34" width="9.109375" style="1"/>
    <col min="35" max="36" width="6.21875" style="1" bestFit="1" customWidth="1"/>
    <col min="37" max="37" width="5.5546875" style="1" bestFit="1" customWidth="1"/>
    <col min="38" max="38" width="9.109375" style="1"/>
    <col min="39" max="39" width="7" style="1" customWidth="1"/>
    <col min="40" max="16384" width="9.109375" style="1"/>
  </cols>
  <sheetData>
    <row r="1" spans="1:44" ht="21" x14ac:dyDescent="0.4">
      <c r="A1" s="58" t="s">
        <v>116</v>
      </c>
      <c r="B1" s="59"/>
      <c r="C1" s="59"/>
      <c r="D1" s="60"/>
      <c r="E1" s="60"/>
      <c r="F1" s="61"/>
      <c r="G1" s="61"/>
      <c r="H1" s="255"/>
      <c r="I1" s="61"/>
      <c r="J1" s="259"/>
      <c r="K1" s="61"/>
      <c r="L1" s="61"/>
      <c r="M1" s="61"/>
      <c r="N1" s="61"/>
      <c r="O1" s="61"/>
      <c r="P1" s="253"/>
      <c r="AM1" s="58"/>
    </row>
    <row r="2" spans="1:44" x14ac:dyDescent="0.25">
      <c r="A2" s="1" t="s">
        <v>117</v>
      </c>
      <c r="C2" s="1" t="s">
        <v>298</v>
      </c>
      <c r="F2" s="1" t="s">
        <v>118</v>
      </c>
      <c r="H2" s="256">
        <v>150</v>
      </c>
      <c r="I2" s="1" t="s">
        <v>192</v>
      </c>
    </row>
    <row r="3" spans="1:44" ht="13.8" thickBot="1" x14ac:dyDescent="0.3"/>
    <row r="4" spans="1:44" ht="34.200000000000003" customHeight="1" thickBot="1" x14ac:dyDescent="0.35">
      <c r="A4" s="271" t="s">
        <v>113</v>
      </c>
      <c r="B4" s="272" t="s">
        <v>309</v>
      </c>
      <c r="C4" s="272" t="s">
        <v>114</v>
      </c>
      <c r="D4" s="272" t="s">
        <v>115</v>
      </c>
      <c r="E4" s="272" t="s">
        <v>119</v>
      </c>
      <c r="F4" s="272" t="s">
        <v>134</v>
      </c>
      <c r="G4" s="272" t="s">
        <v>100</v>
      </c>
      <c r="H4" s="273" t="s">
        <v>310</v>
      </c>
      <c r="I4" s="273" t="s">
        <v>311</v>
      </c>
      <c r="J4" s="239" t="s">
        <v>317</v>
      </c>
      <c r="K4" s="239" t="s">
        <v>316</v>
      </c>
      <c r="L4" s="272" t="s">
        <v>110</v>
      </c>
      <c r="M4" s="272" t="s">
        <v>111</v>
      </c>
      <c r="N4" s="272" t="s">
        <v>299</v>
      </c>
      <c r="O4" s="272" t="s">
        <v>300</v>
      </c>
      <c r="P4" s="272" t="s">
        <v>112</v>
      </c>
      <c r="Q4" s="269" t="s">
        <v>312</v>
      </c>
      <c r="AM4" s="264"/>
    </row>
    <row r="5" spans="1:44" ht="14.4" x14ac:dyDescent="0.3">
      <c r="A5" s="62"/>
      <c r="B5" s="62"/>
      <c r="C5" s="62"/>
      <c r="D5" s="62" t="s">
        <v>92</v>
      </c>
      <c r="E5" s="62" t="s">
        <v>92</v>
      </c>
      <c r="F5" s="62" t="s">
        <v>120</v>
      </c>
      <c r="G5" s="62" t="s">
        <v>121</v>
      </c>
      <c r="H5" s="257" t="s">
        <v>1</v>
      </c>
      <c r="I5" s="62" t="s">
        <v>122</v>
      </c>
      <c r="J5" s="257" t="s">
        <v>1</v>
      </c>
      <c r="K5" s="254" t="s">
        <v>1</v>
      </c>
      <c r="L5" s="176"/>
      <c r="M5" s="176"/>
      <c r="N5" s="176"/>
      <c r="O5" s="176"/>
      <c r="P5" s="272"/>
      <c r="Q5" s="269"/>
      <c r="S5" s="349" t="s">
        <v>291</v>
      </c>
      <c r="T5" s="350"/>
      <c r="U5" s="350"/>
      <c r="V5" s="350"/>
      <c r="W5" s="350"/>
      <c r="X5" s="350"/>
      <c r="Y5" s="350"/>
      <c r="Z5" s="350"/>
      <c r="AA5" s="350"/>
      <c r="AB5" s="350"/>
      <c r="AC5" s="351"/>
      <c r="AI5" s="1" t="s">
        <v>301</v>
      </c>
      <c r="AJ5" s="1" t="s">
        <v>302</v>
      </c>
      <c r="AK5" s="1" t="s">
        <v>303</v>
      </c>
      <c r="AL5" s="1" t="s">
        <v>304</v>
      </c>
      <c r="AM5" s="265"/>
      <c r="AO5" s="1" t="s">
        <v>305</v>
      </c>
      <c r="AP5" s="1" t="s">
        <v>306</v>
      </c>
      <c r="AQ5" s="1" t="s">
        <v>307</v>
      </c>
      <c r="AR5" s="1" t="s">
        <v>308</v>
      </c>
    </row>
    <row r="6" spans="1:44" ht="14.4" x14ac:dyDescent="0.3">
      <c r="A6" s="274" t="s">
        <v>293</v>
      </c>
      <c r="B6" s="235">
        <v>2</v>
      </c>
      <c r="C6" s="235" t="s">
        <v>207</v>
      </c>
      <c r="D6" s="236">
        <v>239.34106900492074</v>
      </c>
      <c r="E6" s="63">
        <f>D6*1.1/1.5</f>
        <v>175.51678393694189</v>
      </c>
      <c r="F6" s="63">
        <f>$H$2</f>
        <v>150</v>
      </c>
      <c r="G6" s="63">
        <f>E6/F6</f>
        <v>1.1701118929129459</v>
      </c>
      <c r="H6" s="258">
        <f>SQRT(G6)</f>
        <v>1.0817171039199416</v>
      </c>
      <c r="I6" s="63">
        <f>3.281*H6</f>
        <v>3.5491138179613286</v>
      </c>
      <c r="J6" s="261">
        <v>1.5</v>
      </c>
      <c r="K6" s="261">
        <f>J6</f>
        <v>1.5</v>
      </c>
      <c r="L6" s="236">
        <v>-12.444637279147864</v>
      </c>
      <c r="M6" s="236">
        <v>4.4692422582874576</v>
      </c>
      <c r="N6" s="236">
        <f>(E6/J6/K6)+ABS(L6)/(K6*J6^2/6)+ABS(M6)/(J6*K6^2/6)</f>
        <v>108.07657870519253</v>
      </c>
      <c r="O6" s="236">
        <f>(E6/J6/K6)-ABS(L6)/(K6*J6^2/6)-ABS(M6)/(K6*K6^2/6)</f>
        <v>47.938340349866934</v>
      </c>
      <c r="P6" s="275" t="str">
        <f>IF(N6&lt;$H$2,"OK","NOT OK")</f>
        <v>OK</v>
      </c>
      <c r="Q6" s="270">
        <f>$H$2/N6</f>
        <v>1.3879047782328926</v>
      </c>
      <c r="S6" s="241" t="s">
        <v>202</v>
      </c>
      <c r="T6" s="240" t="s">
        <v>295</v>
      </c>
      <c r="U6" s="240" t="s">
        <v>203</v>
      </c>
      <c r="V6" s="240" t="s">
        <v>204</v>
      </c>
      <c r="W6" s="183" t="s">
        <v>203</v>
      </c>
      <c r="X6" s="183" t="s">
        <v>204</v>
      </c>
      <c r="Y6" s="183" t="s">
        <v>105</v>
      </c>
      <c r="Z6" s="183" t="s">
        <v>102</v>
      </c>
      <c r="AA6" s="183" t="s">
        <v>106</v>
      </c>
      <c r="AB6" s="183" t="s">
        <v>205</v>
      </c>
      <c r="AC6" s="242" t="s">
        <v>198</v>
      </c>
      <c r="AG6" s="268">
        <v>-12.270589950720495</v>
      </c>
      <c r="AH6" s="268">
        <v>13.244497385737729</v>
      </c>
      <c r="AI6" s="263">
        <f t="shared" ref="AI6:AI17" si="0">AG6/E6</f>
        <v>-6.991120550117283E-2</v>
      </c>
      <c r="AJ6" s="263">
        <f t="shared" ref="AJ6:AJ17" si="1">AH6/E6</f>
        <v>7.5460004955971008E-2</v>
      </c>
      <c r="AK6" s="263">
        <f>(AI6^2+AJ6^2)^0.5</f>
        <v>0.10286782296997632</v>
      </c>
      <c r="AL6" s="263">
        <f>ABS(ATAN(AJ6/AI6)*180/PI())</f>
        <v>47.185910992698545</v>
      </c>
      <c r="AM6" s="266"/>
      <c r="AN6" s="263"/>
      <c r="AQ6" s="1">
        <f>AG6*1.1/1.5</f>
        <v>-8.9984326305283648</v>
      </c>
      <c r="AR6" s="1">
        <f>AH6*1.1/1.5</f>
        <v>9.7126314162076692</v>
      </c>
    </row>
    <row r="7" spans="1:44" ht="14.4" x14ac:dyDescent="0.3">
      <c r="A7" s="274" t="s">
        <v>293</v>
      </c>
      <c r="B7" s="235">
        <v>4</v>
      </c>
      <c r="C7" s="235" t="s">
        <v>207</v>
      </c>
      <c r="D7" s="236">
        <v>348.06369250933483</v>
      </c>
      <c r="E7" s="63">
        <f t="shared" ref="E7:E17" si="2">D7*1.1/1.5</f>
        <v>255.24670784017891</v>
      </c>
      <c r="F7" s="63">
        <f t="shared" ref="F7:F17" si="3">$H$2</f>
        <v>150</v>
      </c>
      <c r="G7" s="63">
        <f t="shared" ref="G7:G14" si="4">E7/F7</f>
        <v>1.7016447189345261</v>
      </c>
      <c r="H7" s="258">
        <f t="shared" ref="H7:H14" si="5">SQRT(G7)</f>
        <v>1.304471049481178</v>
      </c>
      <c r="I7" s="63">
        <f t="shared" ref="I7:I14" si="6">3.281*H7</f>
        <v>4.2799695133477451</v>
      </c>
      <c r="J7" s="261">
        <v>1.5</v>
      </c>
      <c r="K7" s="261">
        <f t="shared" ref="K7:K17" si="7">J7</f>
        <v>1.5</v>
      </c>
      <c r="L7" s="236">
        <v>10.50928827144528</v>
      </c>
      <c r="M7" s="236">
        <v>5.4716186621139249</v>
      </c>
      <c r="N7" s="236">
        <f t="shared" ref="N7:N17" si="8">(E7/J7/K7)+ABS(L7)/(K7*J7^2/6)+ABS(M7)/(J7*K7^2/6)</f>
        <v>141.8534824775181</v>
      </c>
      <c r="O7" s="236">
        <f t="shared" ref="O7:O17" si="9">(E7/J7/K7)-ABS(L7)/(K7*J7^2/6)-ABS(M7)/(K7*K7^2/6)</f>
        <v>85.032480047085357</v>
      </c>
      <c r="P7" s="275" t="str">
        <f t="shared" ref="P7:P17" si="10">IF(N7&lt;$H$2,"OK","NOT OK")</f>
        <v>OK</v>
      </c>
      <c r="Q7" s="270">
        <f t="shared" ref="Q7:Q17" si="11">$H$2/N7</f>
        <v>1.0574290978282681</v>
      </c>
      <c r="S7" s="241"/>
      <c r="T7" s="240"/>
      <c r="U7" s="240" t="s">
        <v>122</v>
      </c>
      <c r="V7" s="240" t="s">
        <v>122</v>
      </c>
      <c r="W7" s="183" t="s">
        <v>122</v>
      </c>
      <c r="X7" s="183" t="s">
        <v>122</v>
      </c>
      <c r="Y7" s="183" t="s">
        <v>296</v>
      </c>
      <c r="Z7" s="183" t="s">
        <v>296</v>
      </c>
      <c r="AA7" s="183" t="s">
        <v>296</v>
      </c>
      <c r="AB7" s="183" t="s">
        <v>2</v>
      </c>
      <c r="AC7" s="242" t="s">
        <v>296</v>
      </c>
      <c r="AG7" s="268">
        <v>-9.5204211109902257</v>
      </c>
      <c r="AH7" s="268">
        <v>18.96591214650352</v>
      </c>
      <c r="AI7" s="263">
        <f t="shared" si="0"/>
        <v>-3.7298898746037409E-2</v>
      </c>
      <c r="AJ7" s="263">
        <f t="shared" si="1"/>
        <v>7.4304238072206222E-2</v>
      </c>
      <c r="AK7" s="263">
        <f t="shared" ref="AK7:AK17" si="12">(AI7^2+AJ7^2)^0.5</f>
        <v>8.3140409207305754E-2</v>
      </c>
      <c r="AL7" s="263">
        <f t="shared" ref="AL7:AL17" si="13">ABS(ATAN(AJ7/AI7)*180/PI())</f>
        <v>63.34447526411315</v>
      </c>
      <c r="AM7" s="266"/>
      <c r="AN7" s="263"/>
      <c r="AQ7" s="1">
        <f t="shared" ref="AQ7:AQ12" si="14">AG7*1.1/1.5</f>
        <v>-6.9816421480594997</v>
      </c>
      <c r="AR7" s="1">
        <f t="shared" ref="AR7:AR12" si="15">AH7*1.1/1.5</f>
        <v>13.908335574102582</v>
      </c>
    </row>
    <row r="8" spans="1:44" ht="14.4" x14ac:dyDescent="0.3">
      <c r="A8" s="274" t="s">
        <v>293</v>
      </c>
      <c r="B8" s="235">
        <v>6</v>
      </c>
      <c r="C8" s="235" t="s">
        <v>207</v>
      </c>
      <c r="D8" s="236">
        <v>176.63835379336226</v>
      </c>
      <c r="E8" s="63">
        <f t="shared" si="2"/>
        <v>129.53479278179898</v>
      </c>
      <c r="F8" s="63">
        <f t="shared" si="3"/>
        <v>150</v>
      </c>
      <c r="G8" s="63">
        <f t="shared" si="4"/>
        <v>0.86356528521199327</v>
      </c>
      <c r="H8" s="258">
        <f t="shared" si="5"/>
        <v>0.92928213434456663</v>
      </c>
      <c r="I8" s="63">
        <f t="shared" si="6"/>
        <v>3.0489746827845234</v>
      </c>
      <c r="J8" s="261">
        <v>1.5</v>
      </c>
      <c r="K8" s="261">
        <f t="shared" si="7"/>
        <v>1.5</v>
      </c>
      <c r="L8" s="236">
        <v>7.2862017313246072</v>
      </c>
      <c r="M8" s="236">
        <v>3.9640329273096993</v>
      </c>
      <c r="N8" s="236">
        <f t="shared" si="8"/>
        <v>77.571436185038323</v>
      </c>
      <c r="O8" s="236">
        <f t="shared" si="9"/>
        <v>37.570601843227443</v>
      </c>
      <c r="P8" s="275" t="str">
        <f t="shared" si="10"/>
        <v>OK</v>
      </c>
      <c r="Q8" s="270">
        <f t="shared" si="11"/>
        <v>1.9337014676664117</v>
      </c>
      <c r="S8" s="247" t="s">
        <v>206</v>
      </c>
      <c r="T8" s="243" t="s">
        <v>315</v>
      </c>
      <c r="U8" s="243">
        <v>5</v>
      </c>
      <c r="V8" s="243">
        <v>5</v>
      </c>
      <c r="W8" s="244">
        <v>7</v>
      </c>
      <c r="X8" s="244">
        <v>7</v>
      </c>
      <c r="Y8" s="244">
        <v>8</v>
      </c>
      <c r="Z8" s="244">
        <v>20</v>
      </c>
      <c r="AA8" s="244">
        <f>ROUNDUP(Z8/2+4,0)</f>
        <v>14</v>
      </c>
      <c r="AB8" s="244">
        <v>12</v>
      </c>
      <c r="AC8" s="248">
        <v>6</v>
      </c>
      <c r="AG8" s="268">
        <v>20.58564556538661</v>
      </c>
      <c r="AH8" s="268">
        <v>17.66625411629872</v>
      </c>
      <c r="AI8" s="263">
        <f t="shared" si="0"/>
        <v>0.15891981701057781</v>
      </c>
      <c r="AJ8" s="263">
        <f t="shared" si="1"/>
        <v>0.13638230885239827</v>
      </c>
      <c r="AK8" s="263">
        <f t="shared" si="12"/>
        <v>0.20941738802350315</v>
      </c>
      <c r="AL8" s="263">
        <f t="shared" si="13"/>
        <v>40.635637101994419</v>
      </c>
      <c r="AM8" s="266"/>
      <c r="AN8" s="263"/>
      <c r="AQ8" s="1">
        <f t="shared" si="14"/>
        <v>15.096140081283515</v>
      </c>
      <c r="AR8" s="1">
        <f t="shared" si="15"/>
        <v>12.955253018619063</v>
      </c>
    </row>
    <row r="9" spans="1:44" ht="14.4" x14ac:dyDescent="0.3">
      <c r="A9" s="274" t="s">
        <v>293</v>
      </c>
      <c r="B9" s="235">
        <v>8</v>
      </c>
      <c r="C9" s="235" t="s">
        <v>207</v>
      </c>
      <c r="D9" s="236">
        <v>330.79491863063095</v>
      </c>
      <c r="E9" s="63">
        <f t="shared" si="2"/>
        <v>242.5829403291294</v>
      </c>
      <c r="F9" s="63">
        <f t="shared" si="3"/>
        <v>150</v>
      </c>
      <c r="G9" s="63">
        <f t="shared" si="4"/>
        <v>1.617219602194196</v>
      </c>
      <c r="H9" s="258">
        <f t="shared" si="5"/>
        <v>1.2716994936675079</v>
      </c>
      <c r="I9" s="63">
        <f t="shared" si="6"/>
        <v>4.1724460387230939</v>
      </c>
      <c r="J9" s="261">
        <v>1.5</v>
      </c>
      <c r="K9" s="261">
        <f t="shared" si="7"/>
        <v>1.5</v>
      </c>
      <c r="L9" s="236">
        <v>-14.52027901925802</v>
      </c>
      <c r="M9" s="236">
        <v>-0.33048140869708342</v>
      </c>
      <c r="N9" s="236">
        <f t="shared" si="8"/>
        <v>134.21599201819993</v>
      </c>
      <c r="O9" s="236">
        <f t="shared" si="9"/>
        <v>81.413288274359545</v>
      </c>
      <c r="P9" s="275" t="str">
        <f t="shared" si="10"/>
        <v>OK</v>
      </c>
      <c r="Q9" s="270">
        <f t="shared" si="11"/>
        <v>1.1176015446777738</v>
      </c>
      <c r="S9" s="247" t="s">
        <v>297</v>
      </c>
      <c r="T9" s="245" t="s">
        <v>314</v>
      </c>
      <c r="U9" s="243">
        <v>5.5</v>
      </c>
      <c r="V9" s="243">
        <v>5.5</v>
      </c>
      <c r="W9" s="244">
        <v>7</v>
      </c>
      <c r="X9" s="244">
        <v>7</v>
      </c>
      <c r="Y9" s="244">
        <v>8</v>
      </c>
      <c r="Z9" s="244">
        <v>20</v>
      </c>
      <c r="AA9" s="244">
        <f>ROUNDUP(Z9/2+4,0)</f>
        <v>14</v>
      </c>
      <c r="AB9" s="244">
        <v>12</v>
      </c>
      <c r="AC9" s="248">
        <v>6</v>
      </c>
      <c r="AG9" s="268">
        <v>-16.851983286095791</v>
      </c>
      <c r="AH9" s="268">
        <v>-0.76214170464618403</v>
      </c>
      <c r="AI9" s="263">
        <f t="shared" si="0"/>
        <v>-6.9468954672705002E-2</v>
      </c>
      <c r="AJ9" s="263">
        <f t="shared" si="1"/>
        <v>-3.141777833231523E-3</v>
      </c>
      <c r="AK9" s="263">
        <f t="shared" si="12"/>
        <v>6.9539962836283761E-2</v>
      </c>
      <c r="AL9" s="263">
        <f t="shared" si="13"/>
        <v>2.5894737083306278</v>
      </c>
      <c r="AM9" s="266"/>
      <c r="AN9" s="263"/>
      <c r="AQ9" s="1">
        <f t="shared" si="14"/>
        <v>-12.358121076470248</v>
      </c>
      <c r="AR9" s="1">
        <f t="shared" si="15"/>
        <v>-0.55890391674053497</v>
      </c>
    </row>
    <row r="10" spans="1:44" ht="14.4" x14ac:dyDescent="0.3">
      <c r="A10" s="274" t="s">
        <v>293</v>
      </c>
      <c r="B10" s="235">
        <v>10</v>
      </c>
      <c r="C10" s="235" t="s">
        <v>207</v>
      </c>
      <c r="D10" s="236">
        <v>465.63360764873875</v>
      </c>
      <c r="E10" s="63">
        <f t="shared" si="2"/>
        <v>341.46464560907515</v>
      </c>
      <c r="F10" s="63">
        <f t="shared" si="3"/>
        <v>150</v>
      </c>
      <c r="G10" s="63">
        <f t="shared" si="4"/>
        <v>2.2764309707271675</v>
      </c>
      <c r="H10" s="258">
        <f t="shared" si="5"/>
        <v>1.5087846005070331</v>
      </c>
      <c r="I10" s="63">
        <f t="shared" si="6"/>
        <v>4.9503222742635762</v>
      </c>
      <c r="J10" s="261">
        <v>1.65</v>
      </c>
      <c r="K10" s="261">
        <f t="shared" si="7"/>
        <v>1.65</v>
      </c>
      <c r="L10" s="236">
        <v>11.67145422691468</v>
      </c>
      <c r="M10" s="236">
        <v>-0.60099771357401788</v>
      </c>
      <c r="N10" s="236">
        <f t="shared" si="8"/>
        <v>141.81514915500043</v>
      </c>
      <c r="O10" s="236">
        <f t="shared" si="9"/>
        <v>109.03123880391617</v>
      </c>
      <c r="P10" s="275" t="str">
        <f t="shared" si="10"/>
        <v>OK</v>
      </c>
      <c r="Q10" s="270">
        <f t="shared" si="11"/>
        <v>1.0577149260411787</v>
      </c>
      <c r="S10" s="247"/>
      <c r="T10" s="244"/>
      <c r="U10" s="243"/>
      <c r="V10" s="243"/>
      <c r="W10" s="244"/>
      <c r="X10" s="244"/>
      <c r="Y10" s="244"/>
      <c r="Z10" s="244"/>
      <c r="AA10" s="244"/>
      <c r="AB10" s="244"/>
      <c r="AC10" s="248"/>
      <c r="AG10" s="268">
        <v>-13.797635162828994</v>
      </c>
      <c r="AH10" s="268">
        <v>-0.7820284886696004</v>
      </c>
      <c r="AI10" s="263">
        <f t="shared" si="0"/>
        <v>-4.0407214451785967E-2</v>
      </c>
      <c r="AJ10" s="263">
        <f t="shared" si="1"/>
        <v>-2.2902180320152486E-3</v>
      </c>
      <c r="AK10" s="263">
        <f t="shared" si="12"/>
        <v>4.0472065407967363E-2</v>
      </c>
      <c r="AL10" s="263">
        <f t="shared" si="13"/>
        <v>3.2439649005197131</v>
      </c>
      <c r="AM10" s="266"/>
      <c r="AN10" s="263"/>
      <c r="AQ10" s="1">
        <f t="shared" si="14"/>
        <v>-10.118265786074597</v>
      </c>
      <c r="AR10" s="1">
        <f t="shared" si="15"/>
        <v>-0.57348755835770704</v>
      </c>
    </row>
    <row r="11" spans="1:44" ht="15" thickBot="1" x14ac:dyDescent="0.35">
      <c r="A11" s="274" t="s">
        <v>293</v>
      </c>
      <c r="B11" s="235">
        <v>12</v>
      </c>
      <c r="C11" s="235" t="s">
        <v>207</v>
      </c>
      <c r="D11" s="236">
        <v>260.12116017259575</v>
      </c>
      <c r="E11" s="63">
        <f t="shared" si="2"/>
        <v>190.75551745990356</v>
      </c>
      <c r="F11" s="63">
        <f t="shared" si="3"/>
        <v>150</v>
      </c>
      <c r="G11" s="63">
        <f t="shared" si="4"/>
        <v>1.2717034497326904</v>
      </c>
      <c r="H11" s="258">
        <f t="shared" si="5"/>
        <v>1.1276982972997212</v>
      </c>
      <c r="I11" s="63">
        <f t="shared" si="6"/>
        <v>3.6999781134403853</v>
      </c>
      <c r="J11" s="261">
        <v>1.5</v>
      </c>
      <c r="K11" s="261">
        <f t="shared" si="7"/>
        <v>1.5</v>
      </c>
      <c r="L11" s="236">
        <v>7.6433495295292984</v>
      </c>
      <c r="M11" s="236">
        <v>-0.38800956403533499</v>
      </c>
      <c r="N11" s="236">
        <f t="shared" si="8"/>
        <v>99.058201704072033</v>
      </c>
      <c r="O11" s="236">
        <f t="shared" si="9"/>
        <v>70.502258260286695</v>
      </c>
      <c r="P11" s="275" t="str">
        <f t="shared" si="10"/>
        <v>OK</v>
      </c>
      <c r="Q11" s="270">
        <f t="shared" si="11"/>
        <v>1.514261286996833</v>
      </c>
      <c r="S11" s="249"/>
      <c r="T11" s="250"/>
      <c r="U11" s="251"/>
      <c r="V11" s="251"/>
      <c r="W11" s="250"/>
      <c r="X11" s="250"/>
      <c r="Y11" s="250"/>
      <c r="Z11" s="250"/>
      <c r="AA11" s="250"/>
      <c r="AB11" s="250"/>
      <c r="AC11" s="252"/>
      <c r="AG11" s="268">
        <v>30.228294138411545</v>
      </c>
      <c r="AH11" s="268">
        <v>-0.68279298997714788</v>
      </c>
      <c r="AI11" s="263">
        <f t="shared" si="0"/>
        <v>0.15846615888720217</v>
      </c>
      <c r="AJ11" s="263">
        <f t="shared" si="1"/>
        <v>-3.579414105915283E-3</v>
      </c>
      <c r="AK11" s="263">
        <f t="shared" si="12"/>
        <v>0.15850657941487989</v>
      </c>
      <c r="AL11" s="263">
        <f t="shared" si="13"/>
        <v>1.2939699838870653</v>
      </c>
      <c r="AM11" s="266"/>
      <c r="AN11" s="263"/>
      <c r="AQ11" s="1">
        <f t="shared" si="14"/>
        <v>22.167415701501799</v>
      </c>
      <c r="AR11" s="1">
        <f t="shared" si="15"/>
        <v>-0.50071485931657522</v>
      </c>
    </row>
    <row r="12" spans="1:44" ht="14.4" x14ac:dyDescent="0.3">
      <c r="A12" s="274" t="s">
        <v>293</v>
      </c>
      <c r="B12" s="235">
        <v>14</v>
      </c>
      <c r="C12" s="235" t="s">
        <v>207</v>
      </c>
      <c r="D12" s="236">
        <v>342.65462381514516</v>
      </c>
      <c r="E12" s="63">
        <f t="shared" si="2"/>
        <v>251.28005746443981</v>
      </c>
      <c r="F12" s="63">
        <f t="shared" si="3"/>
        <v>150</v>
      </c>
      <c r="G12" s="63">
        <f t="shared" si="4"/>
        <v>1.6752003830962654</v>
      </c>
      <c r="H12" s="258">
        <f t="shared" si="5"/>
        <v>1.2942953229832306</v>
      </c>
      <c r="I12" s="63">
        <f t="shared" si="6"/>
        <v>4.2465829547079794</v>
      </c>
      <c r="J12" s="261">
        <v>1.5</v>
      </c>
      <c r="K12" s="261">
        <f t="shared" si="7"/>
        <v>1.5</v>
      </c>
      <c r="L12" s="236">
        <v>-14.850701070450484</v>
      </c>
      <c r="M12" s="236">
        <v>1.1827540385439557</v>
      </c>
      <c r="N12" s="236">
        <f t="shared" si="8"/>
        <v>140.18394573351893</v>
      </c>
      <c r="O12" s="236">
        <f t="shared" si="9"/>
        <v>83.176105345983117</v>
      </c>
      <c r="P12" s="275" t="str">
        <f t="shared" si="10"/>
        <v>OK</v>
      </c>
      <c r="Q12" s="270">
        <f t="shared" si="11"/>
        <v>1.0700226706782872</v>
      </c>
      <c r="S12" s="246"/>
      <c r="U12" s="246"/>
      <c r="V12" s="246"/>
      <c r="W12" s="246"/>
      <c r="X12" s="246"/>
      <c r="Y12" s="246"/>
      <c r="Z12" s="246"/>
      <c r="AA12" s="246"/>
      <c r="AB12" s="246"/>
      <c r="AC12" s="246"/>
      <c r="AG12" s="268">
        <v>-16.563070766592269</v>
      </c>
      <c r="AH12" s="268">
        <v>0.35375253990000288</v>
      </c>
      <c r="AI12" s="263">
        <f t="shared" si="0"/>
        <v>-6.5914784220137371E-2</v>
      </c>
      <c r="AJ12" s="263">
        <f t="shared" si="1"/>
        <v>1.4078018903273476E-3</v>
      </c>
      <c r="AK12" s="263">
        <f t="shared" si="12"/>
        <v>6.5929816357621379E-2</v>
      </c>
      <c r="AL12" s="263">
        <f t="shared" si="13"/>
        <v>1.2235319620612704</v>
      </c>
      <c r="AM12" s="266"/>
      <c r="AN12" s="263"/>
      <c r="AQ12" s="1">
        <f t="shared" si="14"/>
        <v>-12.146251895500997</v>
      </c>
      <c r="AR12" s="1">
        <f t="shared" si="15"/>
        <v>0.25941852926000214</v>
      </c>
    </row>
    <row r="13" spans="1:44" ht="14.4" x14ac:dyDescent="0.3">
      <c r="A13" s="274" t="s">
        <v>293</v>
      </c>
      <c r="B13" s="235">
        <v>16</v>
      </c>
      <c r="C13" s="235" t="s">
        <v>207</v>
      </c>
      <c r="D13" s="236">
        <v>482.10718730712455</v>
      </c>
      <c r="E13" s="63">
        <f t="shared" si="2"/>
        <v>353.54527069189135</v>
      </c>
      <c r="F13" s="63">
        <f t="shared" si="3"/>
        <v>150</v>
      </c>
      <c r="G13" s="63">
        <f t="shared" si="4"/>
        <v>2.3569684712792758</v>
      </c>
      <c r="H13" s="258">
        <f t="shared" si="5"/>
        <v>1.5352421539546377</v>
      </c>
      <c r="I13" s="63">
        <f t="shared" si="6"/>
        <v>5.0371295071251669</v>
      </c>
      <c r="J13" s="261">
        <v>1.65</v>
      </c>
      <c r="K13" s="261">
        <f t="shared" si="7"/>
        <v>1.65</v>
      </c>
      <c r="L13" s="236">
        <v>11.676468990089687</v>
      </c>
      <c r="M13" s="236">
        <v>1.4931576735416856</v>
      </c>
      <c r="N13" s="236">
        <f t="shared" si="8"/>
        <v>147.45080705087437</v>
      </c>
      <c r="O13" s="236">
        <f t="shared" si="9"/>
        <v>112.27023661626349</v>
      </c>
      <c r="P13" s="275" t="str">
        <f t="shared" si="10"/>
        <v>OK</v>
      </c>
      <c r="Q13" s="270">
        <f t="shared" si="11"/>
        <v>1.0172884299524119</v>
      </c>
      <c r="S13" s="352"/>
      <c r="T13" s="352"/>
      <c r="U13" s="352"/>
      <c r="V13" s="352"/>
      <c r="W13" s="352"/>
      <c r="X13" s="352"/>
      <c r="Y13" s="352"/>
      <c r="Z13" s="352"/>
      <c r="AA13" s="352"/>
      <c r="AB13" s="352"/>
      <c r="AC13" s="352"/>
      <c r="AG13" s="268">
        <v>-17.725546054629842</v>
      </c>
      <c r="AH13" s="268">
        <v>3.8823992126029956</v>
      </c>
      <c r="AI13" s="263">
        <f t="shared" si="0"/>
        <v>-5.0136566725785314E-2</v>
      </c>
      <c r="AJ13" s="263">
        <f t="shared" si="1"/>
        <v>1.0981335445401672E-2</v>
      </c>
      <c r="AK13" s="263">
        <f t="shared" si="12"/>
        <v>5.1325091828593523E-2</v>
      </c>
      <c r="AL13" s="263">
        <f t="shared" si="13"/>
        <v>12.354312874115543</v>
      </c>
      <c r="AM13" s="267">
        <v>30</v>
      </c>
      <c r="AN13" s="263">
        <f t="shared" ref="AN13:AN17" si="16">AL13-AM13</f>
        <v>-17.645687125884457</v>
      </c>
      <c r="AO13" s="1">
        <f>COS(AN13*PI()/180)*AK13</f>
        <v>4.8910208165764503E-2</v>
      </c>
      <c r="AP13" s="1">
        <f>SIN(AN13*PI()/180)*AK13</f>
        <v>-1.5558167899696305E-2</v>
      </c>
      <c r="AQ13" s="1">
        <f t="shared" ref="AQ13:AQ17" si="17">AO13*E13*1.1/1.5</f>
        <v>12.680780042745445</v>
      </c>
      <c r="AR13" s="1">
        <f t="shared" ref="AR13:AR17" si="18">AP13*E13*1.1/1.5</f>
        <v>-4.0337122331498847</v>
      </c>
    </row>
    <row r="14" spans="1:44" ht="14.4" x14ac:dyDescent="0.3">
      <c r="A14" s="274" t="s">
        <v>293</v>
      </c>
      <c r="B14" s="235">
        <v>18</v>
      </c>
      <c r="C14" s="235" t="s">
        <v>207</v>
      </c>
      <c r="D14" s="236">
        <v>271.22348508438085</v>
      </c>
      <c r="E14" s="63">
        <f t="shared" si="2"/>
        <v>198.89722239521265</v>
      </c>
      <c r="F14" s="63">
        <f t="shared" si="3"/>
        <v>150</v>
      </c>
      <c r="G14" s="63">
        <f t="shared" si="4"/>
        <v>1.3259814826347509</v>
      </c>
      <c r="H14" s="258">
        <f t="shared" si="5"/>
        <v>1.1515126932147777</v>
      </c>
      <c r="I14" s="63">
        <f t="shared" si="6"/>
        <v>3.7781131464376858</v>
      </c>
      <c r="J14" s="261">
        <v>1.5</v>
      </c>
      <c r="K14" s="261">
        <f t="shared" si="7"/>
        <v>1.5</v>
      </c>
      <c r="L14" s="236">
        <v>7.9373633797327035</v>
      </c>
      <c r="M14" s="236">
        <v>1.2111606091959359</v>
      </c>
      <c r="N14" s="236">
        <f t="shared" si="8"/>
        <v>104.66280815596765</v>
      </c>
      <c r="O14" s="236">
        <f t="shared" si="9"/>
        <v>72.134722861999151</v>
      </c>
      <c r="P14" s="275" t="str">
        <f t="shared" si="10"/>
        <v>OK</v>
      </c>
      <c r="Q14" s="270">
        <f t="shared" si="11"/>
        <v>1.4331738527067919</v>
      </c>
      <c r="S14" s="276"/>
      <c r="T14" s="277"/>
      <c r="U14" s="277"/>
      <c r="V14" s="277"/>
      <c r="W14" s="276"/>
      <c r="X14" s="276"/>
      <c r="Y14" s="276"/>
      <c r="Z14" s="276"/>
      <c r="AA14" s="276"/>
      <c r="AB14" s="276"/>
      <c r="AC14" s="276"/>
      <c r="AG14" s="268">
        <v>34.926889054421927</v>
      </c>
      <c r="AH14" s="268">
        <v>4.1133155055019675</v>
      </c>
      <c r="AI14" s="263">
        <f t="shared" si="0"/>
        <v>0.1756026988904929</v>
      </c>
      <c r="AJ14" s="263">
        <f t="shared" si="1"/>
        <v>2.0680608084756105E-2</v>
      </c>
      <c r="AK14" s="263">
        <f t="shared" si="12"/>
        <v>0.17681627585824897</v>
      </c>
      <c r="AL14" s="263">
        <f t="shared" si="13"/>
        <v>6.7167453695602282</v>
      </c>
      <c r="AM14" s="267">
        <v>30</v>
      </c>
      <c r="AN14" s="263">
        <f t="shared" si="16"/>
        <v>-23.283254630439771</v>
      </c>
      <c r="AO14" s="1">
        <f t="shared" ref="AO14:AO17" si="19">COS(AN14*PI()/180)*AK14</f>
        <v>0.16241670225465435</v>
      </c>
      <c r="AP14" s="1">
        <f t="shared" ref="AP14:AP17" si="20">SIN(AN14*PI()/180)*AK14</f>
        <v>-6.9891417478137818E-2</v>
      </c>
      <c r="AQ14" s="1">
        <f t="shared" si="17"/>
        <v>23.689769362630084</v>
      </c>
      <c r="AR14" s="1">
        <f t="shared" si="18"/>
        <v>-10.194219790821609</v>
      </c>
    </row>
    <row r="15" spans="1:44" ht="14.4" x14ac:dyDescent="0.3">
      <c r="A15" s="274" t="s">
        <v>293</v>
      </c>
      <c r="B15" s="235">
        <v>20</v>
      </c>
      <c r="C15" s="235" t="s">
        <v>207</v>
      </c>
      <c r="D15" s="236">
        <v>248.72921560579377</v>
      </c>
      <c r="E15" s="63">
        <f t="shared" si="2"/>
        <v>182.40142477758209</v>
      </c>
      <c r="F15" s="63">
        <f t="shared" si="3"/>
        <v>150</v>
      </c>
      <c r="G15" s="63">
        <f t="shared" ref="G15:G17" si="21">E15/F15</f>
        <v>1.2160094985172138</v>
      </c>
      <c r="H15" s="258">
        <f t="shared" ref="H15:H17" si="22">SQRT(G15)</f>
        <v>1.1027282070017135</v>
      </c>
      <c r="I15" s="63">
        <f t="shared" ref="I15:I17" si="23">3.281*H15</f>
        <v>3.6180512471726223</v>
      </c>
      <c r="J15" s="261">
        <v>1.5</v>
      </c>
      <c r="K15" s="261">
        <f t="shared" si="7"/>
        <v>1.5</v>
      </c>
      <c r="L15" s="236">
        <v>-12.74757105351034</v>
      </c>
      <c r="M15" s="236">
        <v>-5.0815535984132438</v>
      </c>
      <c r="N15" s="236">
        <f t="shared" si="8"/>
        <v>112.76352150456731</v>
      </c>
      <c r="O15" s="236">
        <f t="shared" si="9"/>
        <v>49.371078297727884</v>
      </c>
      <c r="P15" s="275" t="str">
        <f t="shared" si="10"/>
        <v>OK</v>
      </c>
      <c r="Q15" s="270">
        <f t="shared" si="11"/>
        <v>1.3302174142719061</v>
      </c>
      <c r="S15" s="276"/>
      <c r="T15" s="277"/>
      <c r="U15" s="277"/>
      <c r="V15" s="277"/>
      <c r="W15" s="276"/>
      <c r="X15" s="276"/>
      <c r="Y15" s="276"/>
      <c r="Z15" s="276"/>
      <c r="AA15" s="276"/>
      <c r="AB15" s="276"/>
      <c r="AC15" s="276"/>
      <c r="AG15" s="268">
        <v>-13.013242684230807</v>
      </c>
      <c r="AH15" s="268">
        <v>-6.0463558746534165</v>
      </c>
      <c r="AI15" s="263">
        <f t="shared" si="0"/>
        <v>-7.134397497222944E-2</v>
      </c>
      <c r="AJ15" s="263">
        <f t="shared" si="1"/>
        <v>-3.3148621958552484E-2</v>
      </c>
      <c r="AK15" s="263">
        <f t="shared" si="12"/>
        <v>7.8668887767586543E-2</v>
      </c>
      <c r="AL15" s="263">
        <f t="shared" si="13"/>
        <v>24.921041474328675</v>
      </c>
      <c r="AM15" s="267">
        <v>30</v>
      </c>
      <c r="AN15" s="263">
        <f t="shared" si="16"/>
        <v>-5.0789585256713252</v>
      </c>
      <c r="AO15" s="1">
        <f t="shared" si="19"/>
        <v>7.8360005712188124E-2</v>
      </c>
      <c r="AP15" s="1">
        <f t="shared" si="20"/>
        <v>-6.9644387695615923E-3</v>
      </c>
      <c r="AQ15" s="1">
        <f t="shared" si="17"/>
        <v>10.481516237487231</v>
      </c>
      <c r="AR15" s="1">
        <f t="shared" si="18"/>
        <v>-0.93157060651912793</v>
      </c>
    </row>
    <row r="16" spans="1:44" ht="14.4" x14ac:dyDescent="0.3">
      <c r="A16" s="274" t="s">
        <v>293</v>
      </c>
      <c r="B16" s="235">
        <v>22</v>
      </c>
      <c r="C16" s="235" t="s">
        <v>207</v>
      </c>
      <c r="D16" s="236">
        <v>359.10276699757435</v>
      </c>
      <c r="E16" s="63">
        <f t="shared" si="2"/>
        <v>263.34202913155451</v>
      </c>
      <c r="F16" s="63">
        <f t="shared" si="3"/>
        <v>150</v>
      </c>
      <c r="G16" s="63">
        <f t="shared" si="21"/>
        <v>1.7556135275436968</v>
      </c>
      <c r="H16" s="258">
        <f t="shared" si="22"/>
        <v>1.3249956707641337</v>
      </c>
      <c r="I16" s="63">
        <f t="shared" si="23"/>
        <v>4.3473107957771226</v>
      </c>
      <c r="J16" s="261">
        <v>1.5</v>
      </c>
      <c r="K16" s="261">
        <f t="shared" si="7"/>
        <v>1.5</v>
      </c>
      <c r="L16" s="236">
        <v>10.667978069730198</v>
      </c>
      <c r="M16" s="236">
        <v>-6.0815773339133852</v>
      </c>
      <c r="N16" s="236">
        <f t="shared" si="8"/>
        <v>146.81788922050168</v>
      </c>
      <c r="O16" s="236">
        <f t="shared" si="9"/>
        <v>87.263914451991184</v>
      </c>
      <c r="P16" s="275" t="str">
        <f t="shared" si="10"/>
        <v>OK</v>
      </c>
      <c r="Q16" s="270">
        <f t="shared" si="11"/>
        <v>1.0216738627451536</v>
      </c>
      <c r="S16" s="278"/>
      <c r="T16" s="278"/>
      <c r="U16" s="278"/>
      <c r="V16" s="278"/>
      <c r="W16" s="246"/>
      <c r="X16" s="246"/>
      <c r="Y16" s="246"/>
      <c r="Z16" s="246"/>
      <c r="AA16" s="246"/>
      <c r="AB16" s="246"/>
      <c r="AC16" s="246"/>
      <c r="AG16" s="268">
        <v>-13.981669702308723</v>
      </c>
      <c r="AH16" s="268">
        <v>-8.8854397108764616</v>
      </c>
      <c r="AI16" s="263">
        <f t="shared" si="0"/>
        <v>-5.309319499214489E-2</v>
      </c>
      <c r="AJ16" s="263">
        <f t="shared" si="1"/>
        <v>-3.3741061919279405E-2</v>
      </c>
      <c r="AK16" s="263">
        <f t="shared" si="12"/>
        <v>6.2907444821058867E-2</v>
      </c>
      <c r="AL16" s="263">
        <f t="shared" si="13"/>
        <v>32.436217129906055</v>
      </c>
      <c r="AM16" s="267">
        <v>30</v>
      </c>
      <c r="AN16" s="263">
        <f t="shared" si="16"/>
        <v>2.4362171299060549</v>
      </c>
      <c r="AO16" s="1">
        <f t="shared" si="19"/>
        <v>6.2850586590917926E-2</v>
      </c>
      <c r="AP16" s="1">
        <f t="shared" si="20"/>
        <v>2.6740192766872462E-3</v>
      </c>
      <c r="AQ16" s="1">
        <f t="shared" si="17"/>
        <v>12.137547403637919</v>
      </c>
      <c r="AR16" s="1">
        <f t="shared" si="18"/>
        <v>0.51639988565712158</v>
      </c>
    </row>
    <row r="17" spans="1:44" ht="14.4" x14ac:dyDescent="0.3">
      <c r="A17" s="274" t="s">
        <v>293</v>
      </c>
      <c r="B17" s="235">
        <v>24</v>
      </c>
      <c r="C17" s="235" t="s">
        <v>207</v>
      </c>
      <c r="D17" s="236">
        <v>183.57531932924101</v>
      </c>
      <c r="E17" s="63">
        <f t="shared" si="2"/>
        <v>134.62190084144342</v>
      </c>
      <c r="F17" s="63">
        <f t="shared" si="3"/>
        <v>150</v>
      </c>
      <c r="G17" s="63">
        <f t="shared" si="21"/>
        <v>0.89747933894295617</v>
      </c>
      <c r="H17" s="258">
        <f t="shared" si="22"/>
        <v>0.94735386152321999</v>
      </c>
      <c r="I17" s="63">
        <f t="shared" si="23"/>
        <v>3.1082680196576851</v>
      </c>
      <c r="J17" s="261">
        <v>1.5</v>
      </c>
      <c r="K17" s="261">
        <f t="shared" si="7"/>
        <v>1.5</v>
      </c>
      <c r="L17" s="236">
        <v>7.4136226912094951</v>
      </c>
      <c r="M17" s="236">
        <v>-4.4351836045200042</v>
      </c>
      <c r="N17" s="236">
        <f t="shared" si="8"/>
        <v>80.896500455271735</v>
      </c>
      <c r="O17" s="236">
        <f t="shared" si="9"/>
        <v>38.767411403789076</v>
      </c>
      <c r="P17" s="275" t="str">
        <f t="shared" si="10"/>
        <v>OK</v>
      </c>
      <c r="Q17" s="270">
        <f t="shared" si="11"/>
        <v>1.854221123977249</v>
      </c>
      <c r="S17" s="278"/>
      <c r="T17" s="279"/>
      <c r="U17" s="278"/>
      <c r="V17" s="278"/>
      <c r="W17" s="246"/>
      <c r="X17" s="246"/>
      <c r="Y17" s="246"/>
      <c r="Z17" s="246"/>
      <c r="AA17" s="246"/>
      <c r="AB17" s="246"/>
      <c r="AC17" s="246"/>
      <c r="AG17" s="268">
        <v>24.910248168275135</v>
      </c>
      <c r="AH17" s="268">
        <v>-6.0818265634515036</v>
      </c>
      <c r="AI17" s="263">
        <f t="shared" si="0"/>
        <v>0.18503860079656892</v>
      </c>
      <c r="AJ17" s="263">
        <f t="shared" si="1"/>
        <v>-4.517709618893756E-2</v>
      </c>
      <c r="AK17" s="263">
        <f t="shared" si="12"/>
        <v>0.19047376146025077</v>
      </c>
      <c r="AL17" s="263">
        <f t="shared" si="13"/>
        <v>13.720325171739686</v>
      </c>
      <c r="AM17" s="267">
        <v>30</v>
      </c>
      <c r="AN17" s="263">
        <f t="shared" si="16"/>
        <v>-16.279674828260312</v>
      </c>
      <c r="AO17" s="1">
        <f t="shared" si="19"/>
        <v>0.18283667706502493</v>
      </c>
      <c r="AP17" s="1">
        <f t="shared" si="20"/>
        <v>-5.3394787429451369E-2</v>
      </c>
      <c r="AQ17" s="1">
        <f t="shared" si="17"/>
        <v>18.05013540735299</v>
      </c>
      <c r="AR17" s="1">
        <f t="shared" si="18"/>
        <v>-5.2712790377702055</v>
      </c>
    </row>
  </sheetData>
  <mergeCells count="2">
    <mergeCell ref="S5:AC5"/>
    <mergeCell ref="S13:AC13"/>
  </mergeCells>
  <phoneticPr fontId="20" type="noConversion"/>
  <pageMargins left="0.75" right="0.75" top="1" bottom="1" header="0.5" footer="0.5"/>
  <pageSetup paperSize="9" scale="87" fitToWidth="0" orientation="portrait" r:id="rId1"/>
  <headerFooter alignWithMargins="0">
    <oddHeader xml:space="preserve">&amp;R4.3 Foundation Design </oddHead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dimension ref="A1:R135"/>
  <sheetViews>
    <sheetView view="pageBreakPreview" topLeftCell="A91" zoomScale="80" zoomScaleNormal="100" zoomScaleSheetLayoutView="80" workbookViewId="0">
      <selection activeCell="B60" sqref="B60:H121"/>
    </sheetView>
  </sheetViews>
  <sheetFormatPr defaultColWidth="9.109375" defaultRowHeight="13.2" x14ac:dyDescent="0.25"/>
  <cols>
    <col min="1" max="1" width="3.44140625" style="64" customWidth="1"/>
    <col min="2" max="2" width="11.44140625" style="64" customWidth="1"/>
    <col min="3" max="3" width="21.6640625" style="67" customWidth="1"/>
    <col min="4" max="4" width="11.88671875" style="64" customWidth="1"/>
    <col min="5" max="5" width="14.33203125" style="64" customWidth="1"/>
    <col min="6" max="6" width="10.6640625" style="67" customWidth="1"/>
    <col min="7" max="7" width="10.33203125" style="64" customWidth="1"/>
    <col min="8" max="8" width="15.33203125" style="64" customWidth="1"/>
    <col min="9" max="9" width="9.109375" style="64"/>
    <col min="10" max="10" width="10.33203125" style="64" customWidth="1"/>
    <col min="11" max="11" width="11.5546875" style="64" customWidth="1"/>
    <col min="12" max="12" width="11" style="64" customWidth="1"/>
    <col min="13" max="13" width="12.88671875" style="64" customWidth="1"/>
    <col min="14" max="14" width="8.109375" style="64" customWidth="1"/>
    <col min="15" max="15" width="11.33203125" style="64" customWidth="1"/>
    <col min="16" max="16" width="11.109375" style="64" customWidth="1"/>
    <col min="17" max="17" width="12.44140625" style="64" customWidth="1"/>
    <col min="18" max="18" width="12.5546875" style="64" customWidth="1"/>
    <col min="19" max="19" width="10.6640625" style="64" customWidth="1"/>
    <col min="20" max="20" width="12.44140625" style="64" customWidth="1"/>
    <col min="21" max="16384" width="9.109375" style="64"/>
  </cols>
  <sheetData>
    <row r="1" spans="1:10" s="68" customFormat="1" x14ac:dyDescent="0.25">
      <c r="A1" s="64"/>
      <c r="B1" s="65"/>
      <c r="C1" s="66"/>
      <c r="D1" s="67"/>
      <c r="E1" s="64"/>
      <c r="F1" s="67"/>
      <c r="G1" s="64"/>
      <c r="H1" s="64"/>
    </row>
    <row r="2" spans="1:10" s="68" customFormat="1" ht="15.6" x14ac:dyDescent="0.3">
      <c r="B2" s="359" t="s">
        <v>313</v>
      </c>
      <c r="C2" s="360"/>
      <c r="D2" s="360"/>
      <c r="E2" s="360"/>
      <c r="F2" s="360"/>
      <c r="G2" s="360"/>
      <c r="H2" s="361"/>
    </row>
    <row r="3" spans="1:10" x14ac:dyDescent="0.25">
      <c r="B3" s="65"/>
      <c r="C3" s="69"/>
      <c r="D3" s="67"/>
    </row>
    <row r="4" spans="1:10" x14ac:dyDescent="0.25">
      <c r="B4" s="70"/>
      <c r="C4" s="71"/>
      <c r="D4" s="72"/>
      <c r="E4" s="72"/>
      <c r="F4" s="71"/>
      <c r="G4" s="72"/>
      <c r="H4" s="73"/>
    </row>
    <row r="5" spans="1:10" x14ac:dyDescent="0.25">
      <c r="B5" s="74">
        <v>1</v>
      </c>
      <c r="C5" s="75" t="s">
        <v>123</v>
      </c>
      <c r="H5" s="76"/>
    </row>
    <row r="6" spans="1:10" x14ac:dyDescent="0.25">
      <c r="B6" s="74"/>
      <c r="C6" s="75"/>
      <c r="H6" s="76"/>
    </row>
    <row r="7" spans="1:10" x14ac:dyDescent="0.25">
      <c r="B7" s="74"/>
      <c r="C7" s="67" t="s">
        <v>109</v>
      </c>
      <c r="D7" s="64" t="s">
        <v>124</v>
      </c>
      <c r="E7" s="77">
        <v>482</v>
      </c>
      <c r="F7" s="78" t="s">
        <v>201</v>
      </c>
      <c r="G7" s="64">
        <v>15</v>
      </c>
      <c r="H7" s="76"/>
    </row>
    <row r="8" spans="1:10" x14ac:dyDescent="0.25">
      <c r="B8" s="74"/>
      <c r="C8" s="78" t="s">
        <v>125</v>
      </c>
      <c r="D8" s="79" t="s">
        <v>126</v>
      </c>
      <c r="E8" s="80">
        <f>(E7*1.1)/1.5</f>
        <v>353.4666666666667</v>
      </c>
      <c r="H8" s="76"/>
    </row>
    <row r="9" spans="1:10" x14ac:dyDescent="0.25">
      <c r="B9" s="74"/>
      <c r="E9" s="81"/>
      <c r="H9" s="76"/>
    </row>
    <row r="10" spans="1:10" x14ac:dyDescent="0.25">
      <c r="B10" s="74"/>
      <c r="C10" s="67" t="s">
        <v>127</v>
      </c>
      <c r="D10" s="64" t="s">
        <v>128</v>
      </c>
      <c r="E10" s="82">
        <v>11</v>
      </c>
      <c r="H10" s="76"/>
    </row>
    <row r="11" spans="1:10" x14ac:dyDescent="0.25">
      <c r="B11" s="74"/>
      <c r="C11" s="67" t="s">
        <v>129</v>
      </c>
      <c r="D11" s="64" t="s">
        <v>130</v>
      </c>
      <c r="E11" s="82">
        <v>1</v>
      </c>
      <c r="H11" s="76"/>
    </row>
    <row r="12" spans="1:10" x14ac:dyDescent="0.25">
      <c r="B12" s="74"/>
      <c r="E12" s="81"/>
      <c r="H12" s="76"/>
      <c r="J12" s="83"/>
    </row>
    <row r="13" spans="1:10" x14ac:dyDescent="0.25">
      <c r="B13" s="74"/>
      <c r="C13" s="67" t="s">
        <v>131</v>
      </c>
      <c r="D13" s="79" t="s">
        <v>132</v>
      </c>
      <c r="E13" s="84">
        <v>350</v>
      </c>
      <c r="H13" s="76"/>
      <c r="J13" s="83"/>
    </row>
    <row r="14" spans="1:10" x14ac:dyDescent="0.25">
      <c r="B14" s="74"/>
      <c r="D14" s="79" t="s">
        <v>133</v>
      </c>
      <c r="E14" s="84">
        <v>350</v>
      </c>
      <c r="H14" s="76"/>
      <c r="J14" s="85"/>
    </row>
    <row r="15" spans="1:10" x14ac:dyDescent="0.25">
      <c r="B15" s="74"/>
      <c r="E15" s="81"/>
      <c r="H15" s="76"/>
    </row>
    <row r="16" spans="1:10" x14ac:dyDescent="0.25">
      <c r="B16" s="74"/>
      <c r="C16" s="67" t="s">
        <v>134</v>
      </c>
      <c r="D16" s="79" t="s">
        <v>135</v>
      </c>
      <c r="E16" s="86">
        <v>150</v>
      </c>
      <c r="H16" s="76"/>
    </row>
    <row r="17" spans="2:18" x14ac:dyDescent="0.25">
      <c r="B17" s="74"/>
      <c r="H17" s="76"/>
    </row>
    <row r="18" spans="2:18" x14ac:dyDescent="0.25">
      <c r="B18" s="74"/>
      <c r="C18" s="78" t="s">
        <v>136</v>
      </c>
      <c r="D18" s="79" t="s">
        <v>137</v>
      </c>
      <c r="E18" s="87">
        <f>(E7*1.1)/(1.5*E16)</f>
        <v>2.3564444444444446</v>
      </c>
      <c r="H18" s="76"/>
    </row>
    <row r="19" spans="2:18" x14ac:dyDescent="0.25">
      <c r="B19" s="74"/>
      <c r="H19" s="76"/>
    </row>
    <row r="20" spans="2:18" x14ac:dyDescent="0.25">
      <c r="B20" s="74"/>
      <c r="C20" s="362" t="s">
        <v>138</v>
      </c>
      <c r="D20" s="64" t="s">
        <v>139</v>
      </c>
      <c r="E20" s="88">
        <v>1.65</v>
      </c>
      <c r="F20" s="353"/>
      <c r="G20" s="353"/>
      <c r="H20" s="363"/>
    </row>
    <row r="21" spans="2:18" x14ac:dyDescent="0.25">
      <c r="B21" s="74"/>
      <c r="C21" s="362"/>
      <c r="D21" s="64" t="s">
        <v>101</v>
      </c>
      <c r="E21" s="88">
        <v>1.65</v>
      </c>
      <c r="H21" s="76"/>
    </row>
    <row r="22" spans="2:18" x14ac:dyDescent="0.25">
      <c r="B22" s="74"/>
      <c r="C22" s="78" t="s">
        <v>140</v>
      </c>
      <c r="D22" s="79" t="s">
        <v>141</v>
      </c>
      <c r="E22" s="89">
        <f>E20*E21</f>
        <v>2.7224999999999997</v>
      </c>
      <c r="H22" s="76"/>
    </row>
    <row r="23" spans="2:18" x14ac:dyDescent="0.25">
      <c r="B23" s="74"/>
      <c r="H23" s="76"/>
    </row>
    <row r="24" spans="2:18" x14ac:dyDescent="0.25">
      <c r="B24" s="74"/>
      <c r="D24" s="64" t="s">
        <v>142</v>
      </c>
      <c r="E24" s="90">
        <f>(E21*E21*E20)/6</f>
        <v>0.74868749999999995</v>
      </c>
      <c r="H24" s="76"/>
    </row>
    <row r="25" spans="2:18" x14ac:dyDescent="0.25">
      <c r="B25" s="74"/>
      <c r="D25" s="64" t="s">
        <v>142</v>
      </c>
      <c r="E25" s="90">
        <f>(E20*E20*E21)/6</f>
        <v>0.74868749999999995</v>
      </c>
      <c r="H25" s="76"/>
    </row>
    <row r="26" spans="2:18" x14ac:dyDescent="0.25">
      <c r="B26" s="74"/>
      <c r="H26" s="76"/>
    </row>
    <row r="27" spans="2:18" x14ac:dyDescent="0.25">
      <c r="B27" s="74"/>
      <c r="C27" s="67" t="s">
        <v>143</v>
      </c>
      <c r="D27" s="64" t="s">
        <v>144</v>
      </c>
      <c r="E27" s="91">
        <f>(E8/E22)+(E10/(1.5*E24))+(E11/(1.5*E25))</f>
        <v>140.51701588891672</v>
      </c>
      <c r="H27" s="76"/>
    </row>
    <row r="28" spans="2:18" x14ac:dyDescent="0.25">
      <c r="B28" s="74"/>
      <c r="H28" s="76"/>
    </row>
    <row r="29" spans="2:18" x14ac:dyDescent="0.25">
      <c r="B29" s="74"/>
      <c r="D29" s="353" t="str">
        <f>IF(E27&lt;E16,"Footing Size OK","Change Footing Dimensions")</f>
        <v>Footing Size OK</v>
      </c>
      <c r="E29" s="353"/>
      <c r="F29" s="92"/>
      <c r="H29" s="76"/>
    </row>
    <row r="30" spans="2:18" x14ac:dyDescent="0.25">
      <c r="B30" s="93"/>
      <c r="C30" s="94"/>
      <c r="D30" s="95"/>
      <c r="E30" s="95"/>
      <c r="F30" s="94"/>
      <c r="G30" s="95"/>
      <c r="H30" s="96"/>
    </row>
    <row r="31" spans="2:18" ht="12.75" customHeight="1" x14ac:dyDescent="0.25"/>
    <row r="32" spans="2:18" ht="12.75" customHeight="1" x14ac:dyDescent="0.25">
      <c r="B32" s="70"/>
      <c r="C32" s="71"/>
      <c r="D32" s="72"/>
      <c r="E32" s="72"/>
      <c r="F32" s="71"/>
      <c r="G32" s="72"/>
      <c r="H32" s="73"/>
      <c r="J32" s="70"/>
      <c r="K32" s="72"/>
      <c r="L32" s="72"/>
      <c r="M32" s="73"/>
      <c r="O32" s="70"/>
      <c r="P32" s="72"/>
      <c r="Q32" s="72"/>
      <c r="R32" s="73"/>
    </row>
    <row r="33" spans="2:18" x14ac:dyDescent="0.25">
      <c r="B33" s="74">
        <v>2</v>
      </c>
      <c r="C33" s="75" t="s">
        <v>145</v>
      </c>
      <c r="H33" s="76"/>
      <c r="J33" s="97" t="s">
        <v>146</v>
      </c>
      <c r="K33" s="98">
        <v>1000</v>
      </c>
      <c r="M33" s="76"/>
      <c r="O33" s="97" t="s">
        <v>146</v>
      </c>
      <c r="P33" s="98">
        <v>1000</v>
      </c>
      <c r="R33" s="76"/>
    </row>
    <row r="34" spans="2:18" ht="15.6" x14ac:dyDescent="0.25">
      <c r="B34" s="74"/>
      <c r="D34" s="64" t="s">
        <v>147</v>
      </c>
      <c r="E34" s="99">
        <f>(E20-(E13/1000))/2</f>
        <v>0.64999999999999991</v>
      </c>
      <c r="H34" s="76"/>
      <c r="J34" s="97" t="s">
        <v>148</v>
      </c>
      <c r="K34" s="64" t="s">
        <v>149</v>
      </c>
      <c r="M34" s="76"/>
      <c r="O34" s="97" t="s">
        <v>148</v>
      </c>
      <c r="P34" s="64" t="s">
        <v>149</v>
      </c>
      <c r="R34" s="76"/>
    </row>
    <row r="35" spans="2:18" x14ac:dyDescent="0.25">
      <c r="B35" s="74"/>
      <c r="D35" s="64" t="s">
        <v>150</v>
      </c>
      <c r="E35" s="99">
        <f>(E21-(E14/1000))/2</f>
        <v>0.64999999999999991</v>
      </c>
      <c r="H35" s="76"/>
      <c r="J35" s="100">
        <f>IF(E40=15,(IF(E41=250,2.24,IF(E41=415,2.07,IF(E41=500,2)))),IF(E40=20,(IF(E41=250,2.98,IF(E41=415,2.76,IF(E41=500,2.66)))),IF(E40=25,(IF(E41=250,3.73,IF(E41=415,3.45,IF(E41=500,3.33)))),IF(E40=30,(IF(E41=250,4.47,IF(E41=415,4.14,IF(E41=500,3.99))))))))</f>
        <v>2.66</v>
      </c>
      <c r="K35" s="101">
        <f>(J35*K33*E48^2)/1000000</f>
        <v>524.38175999999999</v>
      </c>
      <c r="M35" s="76"/>
      <c r="O35" s="100">
        <f>IF(E40=15,(IF(E41=250,2.24,IF(E41=415,2.07,IF(E41=500,2)))),IF(E40=20,(IF(E41=250,2.98,IF(E41=415,2.76,IF(E41=500,2.66)))),IF(E40=25,(IF(E41=250,3.73,IF(E41=415,3.45,IF(E41=500,3.33)))),IF(E40=30,(IF(E41=250,4.47,IF(E41=415,4.14,IF(E41=500,3.99))))))))</f>
        <v>2.66</v>
      </c>
      <c r="P35" s="101">
        <f>(O35*P33*E48^2)/1000000</f>
        <v>524.38175999999999</v>
      </c>
      <c r="R35" s="76"/>
    </row>
    <row r="36" spans="2:18" x14ac:dyDescent="0.25">
      <c r="B36" s="74"/>
      <c r="H36" s="76"/>
      <c r="J36" s="74"/>
      <c r="M36" s="76"/>
      <c r="O36" s="74"/>
      <c r="R36" s="76"/>
    </row>
    <row r="37" spans="2:18" x14ac:dyDescent="0.25">
      <c r="B37" s="74"/>
      <c r="C37" s="67" t="s">
        <v>151</v>
      </c>
      <c r="D37" s="64" t="s">
        <v>110</v>
      </c>
      <c r="E37" s="102">
        <f>(1.5*E27*E34^2)/2</f>
        <v>44.526329409800475</v>
      </c>
      <c r="H37" s="76"/>
      <c r="J37" s="74"/>
      <c r="L37" s="103"/>
      <c r="M37" s="104"/>
      <c r="O37" s="74"/>
      <c r="Q37" s="103"/>
      <c r="R37" s="104"/>
    </row>
    <row r="38" spans="2:18" x14ac:dyDescent="0.25">
      <c r="B38" s="74"/>
      <c r="C38" s="67" t="s">
        <v>152</v>
      </c>
      <c r="D38" s="64" t="s">
        <v>111</v>
      </c>
      <c r="E38" s="102">
        <f>(1.5*E27*E35^2)/2</f>
        <v>44.526329409800475</v>
      </c>
      <c r="H38" s="76"/>
      <c r="J38" s="105" t="s">
        <v>153</v>
      </c>
      <c r="K38" s="105" t="s">
        <v>154</v>
      </c>
      <c r="L38" s="106" t="s">
        <v>155</v>
      </c>
      <c r="M38" s="105" t="s">
        <v>156</v>
      </c>
      <c r="O38" s="105" t="s">
        <v>153</v>
      </c>
      <c r="P38" s="105" t="s">
        <v>154</v>
      </c>
      <c r="Q38" s="106" t="s">
        <v>155</v>
      </c>
      <c r="R38" s="105" t="s">
        <v>156</v>
      </c>
    </row>
    <row r="39" spans="2:18" x14ac:dyDescent="0.25">
      <c r="B39" s="74"/>
      <c r="H39" s="76"/>
      <c r="J39" s="107">
        <f>(0.0035)/(0.0055+((0.87*E41)/(200*1000)))</f>
        <v>0.45602605863192186</v>
      </c>
      <c r="K39" s="108">
        <f>J39*E48</f>
        <v>202.4755700325733</v>
      </c>
      <c r="L39" s="99">
        <f>(0.36*J39*(1-(0.42*J39)))</f>
        <v>0.13272586446540546</v>
      </c>
      <c r="M39" s="105">
        <f>IF(E41=250,(IF(E40=15,4.4,IF(E40=20,5.15,IF(E40=25,5.9,IF(E40=30,6.65))))),IF(E41=415,(IF(E40=15,6.4,IF(E40=20,7.1,IF(E40=25,7.8,IF(E40=30,8.5))))),IF(E41=500,(IF(E40=15,6.4,IF(E40=20,7,IF(E40=25,7.7,IF(E40=30,8.3))))))))</f>
        <v>7</v>
      </c>
      <c r="O39" s="107">
        <f>(0.0035)/(0.0055+((0.87*E41)/(200*1000)))</f>
        <v>0.45602605863192186</v>
      </c>
      <c r="P39" s="108">
        <f>O39*E48</f>
        <v>202.4755700325733</v>
      </c>
      <c r="Q39" s="99">
        <f>(0.36*O39*(1-(0.42*O39)))</f>
        <v>0.13272586446540546</v>
      </c>
      <c r="R39" s="105">
        <f>IF(E41=250,(IF(E40=15,4.4,IF(E40=20,5.15,IF(E40=25,5.9,IF(E40=30,6.65))))),IF(E41=415,(IF(E40=15,6.4,IF(E40=20,7.1,IF(E40=25,7.8,IF(E40=30,8.5))))),IF(E41=500,(IF(E40=15,6.4,IF(E40=20,7,IF(E40=25,7.7,IF(E40=30,8.3))))))))</f>
        <v>7</v>
      </c>
    </row>
    <row r="40" spans="2:18" x14ac:dyDescent="0.25">
      <c r="B40" s="74"/>
      <c r="C40" s="67" t="s">
        <v>157</v>
      </c>
      <c r="D40" s="64" t="s">
        <v>96</v>
      </c>
      <c r="E40" s="109">
        <v>20</v>
      </c>
      <c r="H40" s="76"/>
      <c r="J40" s="74"/>
      <c r="M40" s="76"/>
      <c r="O40" s="74"/>
      <c r="R40" s="76"/>
    </row>
    <row r="41" spans="2:18" x14ac:dyDescent="0.25">
      <c r="B41" s="74"/>
      <c r="C41" s="67" t="s">
        <v>158</v>
      </c>
      <c r="D41" s="64" t="s">
        <v>97</v>
      </c>
      <c r="E41" s="109">
        <v>500</v>
      </c>
      <c r="H41" s="76"/>
      <c r="J41" s="110" t="s">
        <v>159</v>
      </c>
      <c r="K41" s="79"/>
      <c r="L41" s="79"/>
      <c r="M41" s="111"/>
      <c r="O41" s="110" t="s">
        <v>159</v>
      </c>
      <c r="P41" s="79"/>
      <c r="Q41" s="79"/>
      <c r="R41" s="111"/>
    </row>
    <row r="42" spans="2:18" x14ac:dyDescent="0.25">
      <c r="B42" s="74"/>
      <c r="H42" s="76"/>
      <c r="J42" s="112" t="s">
        <v>106</v>
      </c>
      <c r="K42" s="113">
        <f>(0.87435*E41*E41)/(E40*10000)</f>
        <v>1.0929374999999999</v>
      </c>
      <c r="L42" s="114"/>
      <c r="M42" s="115"/>
      <c r="O42" s="112" t="s">
        <v>106</v>
      </c>
      <c r="P42" s="113">
        <f>(0.87435*E41*E41)/(E40*10000)</f>
        <v>1.0929374999999999</v>
      </c>
      <c r="Q42" s="114"/>
      <c r="R42" s="115"/>
    </row>
    <row r="43" spans="2:18" x14ac:dyDescent="0.25">
      <c r="B43" s="74"/>
      <c r="C43" s="78" t="s">
        <v>160</v>
      </c>
      <c r="D43" s="79" t="s">
        <v>161</v>
      </c>
      <c r="E43" s="116">
        <f>SQRT((MAX(E37:E38)*1000000)/(L39*1000*E40))</f>
        <v>129.51368737167641</v>
      </c>
      <c r="H43" s="76"/>
      <c r="J43" s="110" t="s">
        <v>98</v>
      </c>
      <c r="K43" s="117">
        <f>-(0.87*E41)/100</f>
        <v>-4.3499999999999996</v>
      </c>
      <c r="M43" s="76"/>
      <c r="O43" s="110" t="s">
        <v>98</v>
      </c>
      <c r="P43" s="117">
        <f>-(0.87*E41)/100</f>
        <v>-4.3499999999999996</v>
      </c>
      <c r="R43" s="76"/>
    </row>
    <row r="44" spans="2:18" x14ac:dyDescent="0.25">
      <c r="B44" s="74"/>
      <c r="H44" s="76"/>
      <c r="J44" s="110" t="s">
        <v>107</v>
      </c>
      <c r="K44" s="117">
        <f>(E37*1000000)/(K33*E48*E48)</f>
        <v>0.22586604886880365</v>
      </c>
      <c r="M44" s="76"/>
      <c r="O44" s="110" t="s">
        <v>107</v>
      </c>
      <c r="P44" s="117">
        <f>(E38*1000000)/(P33*E48*E48)</f>
        <v>0.22586604886880365</v>
      </c>
      <c r="R44" s="76"/>
    </row>
    <row r="45" spans="2:18" x14ac:dyDescent="0.25">
      <c r="B45" s="74"/>
      <c r="C45" s="68" t="s">
        <v>162</v>
      </c>
      <c r="D45" s="79" t="s">
        <v>102</v>
      </c>
      <c r="E45" s="118">
        <v>500</v>
      </c>
      <c r="H45" s="76"/>
      <c r="J45" s="119" t="s">
        <v>163</v>
      </c>
      <c r="K45" s="117">
        <f>(-K43-SQRT((K43*K43)-(4*K42*K44)))/(2*K42)</f>
        <v>5.2618877115009378E-2</v>
      </c>
      <c r="M45" s="76"/>
      <c r="O45" s="119" t="s">
        <v>163</v>
      </c>
      <c r="P45" s="117">
        <f>(-P43-SQRT((P43*P43)-(4*P42*P44)))/(2*P42)</f>
        <v>5.2618877115009378E-2</v>
      </c>
      <c r="R45" s="76"/>
    </row>
    <row r="46" spans="2:18" x14ac:dyDescent="0.25">
      <c r="B46" s="74"/>
      <c r="C46" s="120" t="s">
        <v>164</v>
      </c>
      <c r="D46" s="121" t="s">
        <v>107</v>
      </c>
      <c r="E46" s="84">
        <v>50</v>
      </c>
      <c r="H46" s="76"/>
      <c r="J46" s="122" t="s">
        <v>165</v>
      </c>
      <c r="K46" s="123">
        <f>(K45*K33*E48)/100</f>
        <v>233.62781439064162</v>
      </c>
      <c r="M46" s="76"/>
      <c r="O46" s="122" t="s">
        <v>165</v>
      </c>
      <c r="P46" s="123">
        <f>(P45*P33*E48)/100</f>
        <v>233.62781439064162</v>
      </c>
      <c r="R46" s="76"/>
    </row>
    <row r="47" spans="2:18" x14ac:dyDescent="0.25">
      <c r="B47" s="74"/>
      <c r="C47" s="78" t="s">
        <v>94</v>
      </c>
      <c r="D47" s="64" t="s">
        <v>166</v>
      </c>
      <c r="E47" s="124">
        <f>E46+D87+D57/2</f>
        <v>56</v>
      </c>
      <c r="H47" s="76"/>
      <c r="J47" s="74"/>
      <c r="M47" s="76"/>
      <c r="O47" s="74"/>
      <c r="R47" s="76"/>
    </row>
    <row r="48" spans="2:18" x14ac:dyDescent="0.25">
      <c r="B48" s="74"/>
      <c r="C48" s="78" t="s">
        <v>104</v>
      </c>
      <c r="D48" s="79" t="s">
        <v>166</v>
      </c>
      <c r="E48" s="124">
        <f>E45-E47</f>
        <v>444</v>
      </c>
      <c r="H48" s="76"/>
      <c r="J48" s="74"/>
      <c r="M48" s="76"/>
      <c r="O48" s="74"/>
      <c r="R48" s="76"/>
    </row>
    <row r="49" spans="2:18" x14ac:dyDescent="0.25">
      <c r="B49" s="74"/>
      <c r="D49" s="79"/>
      <c r="H49" s="76"/>
      <c r="J49" s="70" t="s">
        <v>167</v>
      </c>
      <c r="K49" s="125">
        <f>(0.85*100)/E41</f>
        <v>0.17</v>
      </c>
      <c r="M49" s="76"/>
      <c r="O49" s="70" t="s">
        <v>167</v>
      </c>
      <c r="P49" s="125">
        <f>(0.85*100)/E41</f>
        <v>0.17</v>
      </c>
      <c r="R49" s="76"/>
    </row>
    <row r="50" spans="2:18" x14ac:dyDescent="0.25">
      <c r="B50" s="74"/>
      <c r="C50" s="364" t="s">
        <v>168</v>
      </c>
      <c r="D50" s="366" t="s">
        <v>169</v>
      </c>
      <c r="E50" s="367"/>
      <c r="F50" s="368"/>
      <c r="G50" s="126"/>
      <c r="H50" s="127"/>
      <c r="J50" s="74" t="s">
        <v>165</v>
      </c>
      <c r="K50" s="128">
        <f>IF(E37&lt;K35,K46,K53)</f>
        <v>233.62781439064162</v>
      </c>
      <c r="M50" s="76"/>
      <c r="O50" s="74" t="s">
        <v>165</v>
      </c>
      <c r="P50" s="128">
        <f>IF(E38&lt;P35,P46,P53)</f>
        <v>233.62781439064162</v>
      </c>
      <c r="R50" s="76"/>
    </row>
    <row r="51" spans="2:18" ht="15" x14ac:dyDescent="0.25">
      <c r="B51" s="74"/>
      <c r="C51" s="365"/>
      <c r="D51" s="129" t="s">
        <v>170</v>
      </c>
      <c r="E51" s="129" t="s">
        <v>171</v>
      </c>
      <c r="F51" s="129" t="s">
        <v>172</v>
      </c>
      <c r="H51" s="76"/>
      <c r="J51" s="74"/>
      <c r="K51" s="128"/>
      <c r="M51" s="76"/>
      <c r="O51" s="74"/>
      <c r="P51" s="128"/>
      <c r="R51" s="76"/>
    </row>
    <row r="52" spans="2:18" x14ac:dyDescent="0.25">
      <c r="B52" s="74"/>
      <c r="C52" s="130">
        <f>K56</f>
        <v>532.79999999999995</v>
      </c>
      <c r="D52" s="131">
        <f>(((PI()*12^2)/4)/C52)*1000</f>
        <v>212.26977389120225</v>
      </c>
      <c r="E52" s="131">
        <f>(((PI()*16^2)/4)/C52)*1000</f>
        <v>377.36848691769291</v>
      </c>
      <c r="F52" s="131">
        <f>(((PI()*20^2)/4)/C52)*1000</f>
        <v>589.6382608088951</v>
      </c>
      <c r="H52" s="76"/>
      <c r="J52" s="74"/>
      <c r="K52" s="76"/>
      <c r="M52" s="76"/>
      <c r="O52" s="74"/>
      <c r="P52" s="76"/>
      <c r="R52" s="76"/>
    </row>
    <row r="53" spans="2:18" x14ac:dyDescent="0.25">
      <c r="B53" s="74"/>
      <c r="C53" s="130">
        <f>P56</f>
        <v>532.79999999999995</v>
      </c>
      <c r="D53" s="131">
        <f>(((PI()*12^2)/4)/C53)*1000</f>
        <v>212.26977389120225</v>
      </c>
      <c r="E53" s="131">
        <f>(((PI()*16^2)/4)/C53)*1000</f>
        <v>377.36848691769291</v>
      </c>
      <c r="F53" s="131">
        <f>(((PI()*20^2)/4)/C53)*1000</f>
        <v>589.6382608088951</v>
      </c>
      <c r="H53" s="76"/>
      <c r="J53" s="74" t="s">
        <v>173</v>
      </c>
      <c r="K53" s="128">
        <f>(0.12*K33*E48)/100</f>
        <v>532.79999999999995</v>
      </c>
      <c r="M53" s="76"/>
      <c r="O53" s="74" t="s">
        <v>173</v>
      </c>
      <c r="P53" s="128">
        <f>(0.12*P33*E48)/100</f>
        <v>532.79999999999995</v>
      </c>
      <c r="R53" s="76"/>
    </row>
    <row r="54" spans="2:18" x14ac:dyDescent="0.25">
      <c r="B54" s="74"/>
      <c r="C54" s="353" t="str">
        <f>IF(C52=K53,"Minimum Ast required across x direcion","")</f>
        <v>Minimum Ast required across x direcion</v>
      </c>
      <c r="D54" s="353"/>
      <c r="E54" s="132"/>
      <c r="F54" s="132"/>
      <c r="G54" s="132"/>
      <c r="H54" s="133"/>
      <c r="J54" s="74" t="s">
        <v>174</v>
      </c>
      <c r="K54" s="76">
        <f>0.04*K33*E48</f>
        <v>17760</v>
      </c>
      <c r="M54" s="76"/>
      <c r="O54" s="74" t="s">
        <v>174</v>
      </c>
      <c r="P54" s="76">
        <f>0.04*P33*E48</f>
        <v>17760</v>
      </c>
      <c r="R54" s="76"/>
    </row>
    <row r="55" spans="2:18" x14ac:dyDescent="0.25">
      <c r="B55" s="74"/>
      <c r="C55" s="353" t="str">
        <f>IF(C53=P53,"Minimum Ast required across y direcion","")</f>
        <v>Minimum Ast required across y direcion</v>
      </c>
      <c r="D55" s="353"/>
      <c r="E55" s="132"/>
      <c r="F55" s="132"/>
      <c r="G55" s="132"/>
      <c r="H55" s="133"/>
      <c r="J55" s="74"/>
      <c r="K55" s="76"/>
      <c r="M55" s="76"/>
      <c r="O55" s="74"/>
      <c r="P55" s="76"/>
      <c r="R55" s="76"/>
    </row>
    <row r="56" spans="2:18" x14ac:dyDescent="0.25">
      <c r="B56" s="74"/>
      <c r="H56" s="76"/>
      <c r="J56" s="74" t="s">
        <v>165</v>
      </c>
      <c r="K56" s="128">
        <f>IF(K50&gt;K53,K50,K53)</f>
        <v>532.79999999999995</v>
      </c>
      <c r="M56" s="76"/>
      <c r="O56" s="74" t="s">
        <v>165</v>
      </c>
      <c r="P56" s="128">
        <f>IF(P50&gt;P53,P50,P53)</f>
        <v>532.79999999999995</v>
      </c>
      <c r="R56" s="76"/>
    </row>
    <row r="57" spans="2:18" x14ac:dyDescent="0.25">
      <c r="B57" s="74"/>
      <c r="C57" s="134" t="s">
        <v>175</v>
      </c>
      <c r="D57" s="135">
        <v>12</v>
      </c>
      <c r="E57" s="136">
        <v>150</v>
      </c>
      <c r="F57" s="356">
        <f>((((PI()*D57^2)/4)*1000)/E57)</f>
        <v>753.9822368615504</v>
      </c>
      <c r="G57" s="357"/>
      <c r="H57" s="137" t="str">
        <f>IF(C52&gt;F57,"X","")</f>
        <v/>
      </c>
      <c r="J57" s="93"/>
      <c r="K57" s="138"/>
      <c r="M57" s="76"/>
      <c r="O57" s="93"/>
      <c r="P57" s="138"/>
      <c r="R57" s="76"/>
    </row>
    <row r="58" spans="2:18" ht="15.6" x14ac:dyDescent="0.3">
      <c r="B58" s="139"/>
      <c r="C58" s="134" t="s">
        <v>176</v>
      </c>
      <c r="D58" s="135">
        <v>12</v>
      </c>
      <c r="E58" s="136">
        <v>150</v>
      </c>
      <c r="F58" s="356">
        <f>((((PI()*D58^2)/4)*1000)/E58)</f>
        <v>753.9822368615504</v>
      </c>
      <c r="G58" s="357"/>
      <c r="H58" s="137" t="str">
        <f>IF(C53&gt;F58,"X","")</f>
        <v/>
      </c>
      <c r="J58" s="70" t="s">
        <v>177</v>
      </c>
      <c r="K58" s="140">
        <f>(C52*100)/(1000*E48)</f>
        <v>0.11999999999999998</v>
      </c>
      <c r="M58" s="141"/>
      <c r="O58" s="70" t="s">
        <v>177</v>
      </c>
      <c r="P58" s="140">
        <f>(C53*100)/(1000*E48)</f>
        <v>0.11999999999999998</v>
      </c>
      <c r="R58" s="141"/>
    </row>
    <row r="59" spans="2:18" ht="15" x14ac:dyDescent="0.25">
      <c r="B59" s="93"/>
      <c r="C59" s="94"/>
      <c r="D59" s="95"/>
      <c r="E59" s="95"/>
      <c r="F59" s="94"/>
      <c r="G59" s="95"/>
      <c r="H59" s="96"/>
      <c r="J59" s="142" t="s">
        <v>178</v>
      </c>
      <c r="K59" s="143">
        <f>(0.8*E40)/(6.89*K58)</f>
        <v>19.351717464925017</v>
      </c>
      <c r="M59" s="76"/>
      <c r="O59" s="142" t="s">
        <v>178</v>
      </c>
      <c r="P59" s="143">
        <f>(0.8*E40)/(6.89*P58)</f>
        <v>19.351717464925017</v>
      </c>
      <c r="R59" s="76"/>
    </row>
    <row r="60" spans="2:18" x14ac:dyDescent="0.25">
      <c r="B60" s="74">
        <v>3</v>
      </c>
      <c r="C60" s="358" t="s">
        <v>179</v>
      </c>
      <c r="D60" s="358"/>
      <c r="E60" s="144"/>
      <c r="F60" s="145"/>
      <c r="G60" s="146"/>
      <c r="H60" s="76"/>
      <c r="J60" s="110" t="s">
        <v>180</v>
      </c>
      <c r="K60" s="64">
        <f>0.5+(MIN(E13:E14)/MAX(E13:E14))</f>
        <v>1.5</v>
      </c>
      <c r="M60" s="76"/>
      <c r="O60" s="110" t="s">
        <v>180</v>
      </c>
      <c r="P60" s="64">
        <f>0.5+(MIN(E13:E14)/MAX(E13:E14))</f>
        <v>1.5</v>
      </c>
      <c r="R60" s="76"/>
    </row>
    <row r="61" spans="2:18" x14ac:dyDescent="0.25">
      <c r="B61" s="74"/>
      <c r="D61" s="147"/>
      <c r="E61" s="148"/>
      <c r="F61" s="147"/>
      <c r="G61" s="147"/>
      <c r="H61" s="76"/>
      <c r="J61" s="122" t="s">
        <v>181</v>
      </c>
      <c r="K61" s="95">
        <f>IF(K60&gt;1,1,K60)</f>
        <v>1</v>
      </c>
      <c r="L61" s="95"/>
      <c r="M61" s="96"/>
      <c r="O61" s="122" t="s">
        <v>181</v>
      </c>
      <c r="P61" s="95">
        <f>IF(P60&gt;1,1,P60)</f>
        <v>1</v>
      </c>
      <c r="Q61" s="95"/>
      <c r="R61" s="96"/>
    </row>
    <row r="62" spans="2:18" x14ac:dyDescent="0.25">
      <c r="B62" s="74"/>
      <c r="D62" s="64" t="s">
        <v>182</v>
      </c>
      <c r="E62" s="149">
        <f>(1.5*E27)*E21*(E34-(E48/1000))</f>
        <v>71.642600550964147</v>
      </c>
      <c r="H62" s="76"/>
    </row>
    <row r="63" spans="2:18" x14ac:dyDescent="0.25">
      <c r="B63" s="74"/>
      <c r="D63" s="79" t="s">
        <v>183</v>
      </c>
      <c r="E63" s="150">
        <f>(E62*1000)/((E21*1000)*E48)</f>
        <v>9.7792247544313593E-2</v>
      </c>
      <c r="F63" s="78"/>
      <c r="H63" s="76"/>
    </row>
    <row r="64" spans="2:18" x14ac:dyDescent="0.25">
      <c r="B64" s="74"/>
      <c r="E64" s="148"/>
      <c r="H64" s="76"/>
    </row>
    <row r="65" spans="2:16" ht="16.5" customHeight="1" x14ac:dyDescent="0.25">
      <c r="B65" s="74"/>
      <c r="D65" s="79" t="s">
        <v>184</v>
      </c>
      <c r="E65" s="150">
        <f>((0.85*SQRT(0.8*E40)*(SQRT(1+(5*K59))-1))/(6*K59))</f>
        <v>0.26024219348845412</v>
      </c>
      <c r="F65" s="78"/>
      <c r="G65" s="151"/>
      <c r="H65" s="76"/>
    </row>
    <row r="66" spans="2:16" ht="16.5" customHeight="1" x14ac:dyDescent="0.25">
      <c r="B66" s="74"/>
      <c r="C66" s="152"/>
      <c r="D66" s="79" t="s">
        <v>185</v>
      </c>
      <c r="E66" s="149">
        <f>E65*(E21*E48)</f>
        <v>190.65343094964146</v>
      </c>
      <c r="G66" s="151"/>
      <c r="H66" s="76"/>
    </row>
    <row r="67" spans="2:16" x14ac:dyDescent="0.25">
      <c r="B67" s="74"/>
      <c r="C67" s="152"/>
      <c r="G67" s="151"/>
      <c r="H67" s="76"/>
    </row>
    <row r="68" spans="2:16" x14ac:dyDescent="0.25">
      <c r="B68" s="74"/>
      <c r="D68" s="353" t="str">
        <f>IF(E63&lt;E65,"One Way Shear Check OK","Increase Depth")</f>
        <v>One Way Shear Check OK</v>
      </c>
      <c r="E68" s="353"/>
      <c r="F68" s="92"/>
      <c r="G68" s="151"/>
      <c r="H68" s="76"/>
    </row>
    <row r="69" spans="2:16" x14ac:dyDescent="0.25">
      <c r="B69" s="74">
        <v>4</v>
      </c>
      <c r="C69" s="75" t="s">
        <v>186</v>
      </c>
      <c r="D69" s="153"/>
      <c r="G69" s="83"/>
      <c r="H69" s="76"/>
    </row>
    <row r="70" spans="2:16" ht="12" customHeight="1" x14ac:dyDescent="0.25">
      <c r="B70" s="74"/>
      <c r="D70" s="64" t="s">
        <v>182</v>
      </c>
      <c r="E70" s="149">
        <f>(1.5*E27)*E20*(E35-(E48/1000))</f>
        <v>71.642600550964147</v>
      </c>
      <c r="H70" s="76"/>
    </row>
    <row r="71" spans="2:16" x14ac:dyDescent="0.25">
      <c r="B71" s="74"/>
      <c r="D71" s="79" t="s">
        <v>183</v>
      </c>
      <c r="E71" s="150">
        <f>(E70*1000)/((E20*1000)*E48)</f>
        <v>9.7792247544313593E-2</v>
      </c>
      <c r="F71" s="78"/>
      <c r="H71" s="76"/>
    </row>
    <row r="72" spans="2:16" x14ac:dyDescent="0.25">
      <c r="B72" s="74"/>
      <c r="E72" s="148"/>
      <c r="H72" s="76"/>
    </row>
    <row r="73" spans="2:16" x14ac:dyDescent="0.25">
      <c r="B73" s="74"/>
      <c r="D73" s="79" t="s">
        <v>184</v>
      </c>
      <c r="E73" s="150">
        <f>((0.85*SQRT(0.8*E40)*(SQRT(1+(5*P59))-1))/(6*P59))</f>
        <v>0.26024219348845412</v>
      </c>
      <c r="F73" s="78"/>
      <c r="G73" s="151"/>
      <c r="H73" s="76"/>
    </row>
    <row r="74" spans="2:16" x14ac:dyDescent="0.25">
      <c r="B74" s="74"/>
      <c r="C74" s="152"/>
      <c r="D74" s="79" t="s">
        <v>185</v>
      </c>
      <c r="E74" s="149">
        <f>E73*(E20*E48)</f>
        <v>190.65343094964146</v>
      </c>
      <c r="G74" s="151"/>
      <c r="H74" s="76"/>
    </row>
    <row r="75" spans="2:16" x14ac:dyDescent="0.25">
      <c r="B75" s="74"/>
      <c r="C75" s="152"/>
      <c r="G75" s="151"/>
      <c r="H75" s="76"/>
    </row>
    <row r="76" spans="2:16" x14ac:dyDescent="0.25">
      <c r="B76" s="74"/>
      <c r="D76" s="353" t="str">
        <f>IF(E71&lt;E73,"One Way Shear Check OK","Increase Depth")</f>
        <v>One Way Shear Check OK</v>
      </c>
      <c r="E76" s="353"/>
      <c r="F76" s="92"/>
      <c r="G76" s="151"/>
      <c r="H76" s="76"/>
    </row>
    <row r="77" spans="2:16" x14ac:dyDescent="0.25">
      <c r="B77" s="74">
        <v>5</v>
      </c>
      <c r="C77" s="75" t="s">
        <v>187</v>
      </c>
      <c r="D77" s="67"/>
      <c r="F77" s="154"/>
      <c r="G77" s="155"/>
      <c r="H77" s="76"/>
    </row>
    <row r="78" spans="2:16" ht="12.75" customHeight="1" x14ac:dyDescent="0.25">
      <c r="B78" s="74"/>
      <c r="D78" s="79" t="s">
        <v>188</v>
      </c>
      <c r="E78" s="149">
        <f>(1.5*E27)*(((E21)*(E20))-(((E13+(E48/2)+(E48/2))*(E14+(E48/2)+(E48/2)))/(1000*1000)))</f>
        <v>440.95588549294592</v>
      </c>
      <c r="F78" s="154"/>
      <c r="G78" s="155"/>
      <c r="H78" s="76"/>
    </row>
    <row r="79" spans="2:16" ht="12.75" customHeight="1" x14ac:dyDescent="0.25">
      <c r="B79" s="74"/>
      <c r="C79" s="75"/>
      <c r="D79" s="79" t="s">
        <v>183</v>
      </c>
      <c r="E79" s="150">
        <f>(E78*1000)/((((E13+(E48/2)+(E48/2))+(E14+(E48/2)+(E48/2)))*2)*E48)</f>
        <v>0.3127027349639086</v>
      </c>
      <c r="F79" s="156"/>
      <c r="G79" s="155"/>
      <c r="H79" s="76"/>
      <c r="P79" s="157"/>
    </row>
    <row r="80" spans="2:16" ht="12.75" customHeight="1" x14ac:dyDescent="0.25">
      <c r="B80" s="74"/>
      <c r="G80" s="83"/>
      <c r="H80" s="76"/>
      <c r="P80" s="157"/>
    </row>
    <row r="81" spans="2:16" ht="12.75" customHeight="1" x14ac:dyDescent="0.25">
      <c r="B81" s="74"/>
      <c r="D81" s="79" t="s">
        <v>189</v>
      </c>
      <c r="E81" s="150">
        <f>P61*(0.25*SQRT(E40))</f>
        <v>1.1180339887498949</v>
      </c>
      <c r="F81" s="158"/>
      <c r="G81" s="155"/>
      <c r="H81" s="76"/>
      <c r="P81" s="157"/>
    </row>
    <row r="82" spans="2:16" ht="12.75" customHeight="1" x14ac:dyDescent="0.25">
      <c r="B82" s="74"/>
      <c r="D82" s="79" t="s">
        <v>185</v>
      </c>
      <c r="E82" s="149">
        <f>(E81*(((E13+(E48/2)+(E48/2))+(E14+(E48/2)+(E48/2)))*2)*E48)/1000</f>
        <v>1576.5889210317318</v>
      </c>
      <c r="F82" s="158"/>
      <c r="G82" s="155"/>
      <c r="H82" s="76"/>
      <c r="P82" s="157"/>
    </row>
    <row r="83" spans="2:16" ht="12.75" customHeight="1" x14ac:dyDescent="0.25">
      <c r="B83" s="74"/>
      <c r="E83" s="81"/>
      <c r="F83" s="158"/>
      <c r="G83" s="155"/>
      <c r="H83" s="76"/>
      <c r="P83" s="157"/>
    </row>
    <row r="84" spans="2:16" ht="12.75" customHeight="1" x14ac:dyDescent="0.25">
      <c r="B84" s="74"/>
      <c r="C84" s="85"/>
      <c r="D84" s="353" t="str">
        <f>IF(E79&lt;E81,"Two Way Shear Check OK","Increase Depth")</f>
        <v>Two Way Shear Check OK</v>
      </c>
      <c r="E84" s="353"/>
      <c r="F84" s="158"/>
      <c r="G84" s="155"/>
      <c r="H84" s="76"/>
      <c r="P84" s="157"/>
    </row>
    <row r="85" spans="2:16" ht="12.75" customHeight="1" x14ac:dyDescent="0.25">
      <c r="B85" s="70"/>
      <c r="C85" s="71"/>
      <c r="D85" s="159"/>
      <c r="E85" s="72"/>
      <c r="F85" s="71"/>
      <c r="G85" s="160"/>
      <c r="H85" s="73"/>
      <c r="P85" s="157"/>
    </row>
    <row r="86" spans="2:16" ht="12.75" customHeight="1" x14ac:dyDescent="0.25">
      <c r="B86" s="74"/>
      <c r="C86" s="161"/>
      <c r="D86" s="162" t="s">
        <v>190</v>
      </c>
      <c r="E86" s="163">
        <f>E20</f>
        <v>1.65</v>
      </c>
      <c r="H86" s="76"/>
      <c r="P86" s="157"/>
    </row>
    <row r="87" spans="2:16" ht="12.75" customHeight="1" x14ac:dyDescent="0.25">
      <c r="B87" s="74"/>
      <c r="C87" s="164"/>
      <c r="D87" s="67"/>
      <c r="H87" s="76"/>
      <c r="P87" s="157"/>
    </row>
    <row r="88" spans="2:16" ht="12.75" customHeight="1" x14ac:dyDescent="0.25">
      <c r="B88" s="74"/>
      <c r="C88" s="164"/>
      <c r="D88" s="165"/>
      <c r="E88" s="166"/>
      <c r="H88" s="76"/>
      <c r="P88" s="157"/>
    </row>
    <row r="89" spans="2:16" ht="12.75" customHeight="1" x14ac:dyDescent="0.25">
      <c r="B89" s="74"/>
      <c r="C89" s="164"/>
      <c r="E89" s="166"/>
      <c r="H89" s="76"/>
      <c r="P89" s="157"/>
    </row>
    <row r="90" spans="2:16" ht="12.75" customHeight="1" x14ac:dyDescent="0.25">
      <c r="B90" s="74"/>
      <c r="H90" s="76"/>
      <c r="P90" s="157"/>
    </row>
    <row r="91" spans="2:16" ht="12.75" customHeight="1" x14ac:dyDescent="0.25">
      <c r="B91" s="74"/>
      <c r="H91" s="76"/>
      <c r="P91" s="157"/>
    </row>
    <row r="92" spans="2:16" ht="14.25" customHeight="1" x14ac:dyDescent="0.25">
      <c r="B92" s="74"/>
      <c r="H92" s="76"/>
      <c r="P92" s="157"/>
    </row>
    <row r="93" spans="2:16" ht="14.25" customHeight="1" x14ac:dyDescent="0.25">
      <c r="B93" s="74"/>
      <c r="H93" s="76"/>
      <c r="P93" s="157"/>
    </row>
    <row r="94" spans="2:16" ht="19.5" customHeight="1" x14ac:dyDescent="0.25">
      <c r="B94" s="74"/>
      <c r="H94" s="76"/>
      <c r="P94" s="157"/>
    </row>
    <row r="95" spans="2:16" ht="12" customHeight="1" x14ac:dyDescent="0.25">
      <c r="B95" s="74"/>
      <c r="E95" s="155">
        <f>E13</f>
        <v>350</v>
      </c>
      <c r="H95" s="76"/>
      <c r="P95" s="157"/>
    </row>
    <row r="96" spans="2:16" ht="18.75" customHeight="1" x14ac:dyDescent="0.25">
      <c r="B96" s="167" t="s">
        <v>191</v>
      </c>
      <c r="C96" s="163">
        <f>E21</f>
        <v>1.65</v>
      </c>
      <c r="D96" s="168">
        <f>E14</f>
        <v>350</v>
      </c>
      <c r="H96" s="76"/>
      <c r="P96" s="157"/>
    </row>
    <row r="97" spans="2:18" ht="12.75" customHeight="1" x14ac:dyDescent="0.25">
      <c r="B97" s="74"/>
      <c r="H97" s="76"/>
      <c r="P97" s="157"/>
    </row>
    <row r="98" spans="2:18" ht="12.75" customHeight="1" x14ac:dyDescent="0.25">
      <c r="B98" s="74"/>
      <c r="H98" s="76"/>
      <c r="P98" s="157"/>
    </row>
    <row r="99" spans="2:18" ht="12.75" customHeight="1" x14ac:dyDescent="0.25">
      <c r="B99" s="74"/>
      <c r="H99" s="76"/>
      <c r="P99" s="157"/>
    </row>
    <row r="100" spans="2:18" ht="12.75" customHeight="1" x14ac:dyDescent="0.25">
      <c r="B100" s="74"/>
      <c r="H100" s="76"/>
      <c r="P100" s="157"/>
    </row>
    <row r="101" spans="2:18" ht="12.75" customHeight="1" x14ac:dyDescent="0.25">
      <c r="B101" s="74"/>
      <c r="H101" s="76"/>
      <c r="P101" s="157"/>
    </row>
    <row r="102" spans="2:18" ht="12.75" customHeight="1" x14ac:dyDescent="0.25">
      <c r="B102" s="74"/>
      <c r="H102" s="76"/>
      <c r="P102" s="157"/>
    </row>
    <row r="103" spans="2:18" x14ac:dyDescent="0.25">
      <c r="B103" s="74"/>
      <c r="H103" s="76"/>
    </row>
    <row r="104" spans="2:18" x14ac:dyDescent="0.25">
      <c r="B104" s="74"/>
      <c r="H104" s="76"/>
      <c r="P104" s="169"/>
      <c r="R104" s="170"/>
    </row>
    <row r="105" spans="2:18" x14ac:dyDescent="0.25">
      <c r="B105" s="74"/>
      <c r="H105" s="76"/>
      <c r="P105" s="169"/>
      <c r="R105" s="170"/>
    </row>
    <row r="106" spans="2:18" x14ac:dyDescent="0.25">
      <c r="B106" s="74"/>
      <c r="H106" s="76"/>
      <c r="P106" s="169"/>
      <c r="R106" s="170"/>
    </row>
    <row r="107" spans="2:18" x14ac:dyDescent="0.25">
      <c r="B107" s="74"/>
      <c r="H107" s="76"/>
      <c r="P107" s="157"/>
      <c r="R107" s="170"/>
    </row>
    <row r="108" spans="2:18" x14ac:dyDescent="0.25">
      <c r="B108" s="74"/>
      <c r="H108" s="76"/>
    </row>
    <row r="109" spans="2:18" x14ac:dyDescent="0.25">
      <c r="B109" s="74"/>
      <c r="H109" s="76"/>
      <c r="P109" s="157"/>
    </row>
    <row r="110" spans="2:18" x14ac:dyDescent="0.25">
      <c r="B110" s="74"/>
      <c r="H110" s="76"/>
    </row>
    <row r="111" spans="2:18" x14ac:dyDescent="0.25">
      <c r="B111" s="74"/>
      <c r="H111" s="76"/>
    </row>
    <row r="112" spans="2:18" ht="12.75" customHeight="1" x14ac:dyDescent="0.25">
      <c r="B112" s="74"/>
      <c r="H112" s="76"/>
    </row>
    <row r="113" spans="2:16" ht="12.75" customHeight="1" x14ac:dyDescent="0.25">
      <c r="B113" s="74"/>
      <c r="G113" s="354">
        <f>E45</f>
        <v>500</v>
      </c>
      <c r="H113" s="76"/>
    </row>
    <row r="114" spans="2:16" x14ac:dyDescent="0.25">
      <c r="B114" s="74"/>
      <c r="G114" s="354"/>
      <c r="H114" s="76"/>
    </row>
    <row r="115" spans="2:16" ht="15.75" customHeight="1" x14ac:dyDescent="0.25">
      <c r="B115" s="74"/>
      <c r="G115" s="354"/>
      <c r="H115" s="76"/>
    </row>
    <row r="116" spans="2:16" ht="19.5" customHeight="1" x14ac:dyDescent="0.25">
      <c r="B116" s="74"/>
      <c r="G116" s="354"/>
      <c r="H116" s="76"/>
    </row>
    <row r="117" spans="2:16" x14ac:dyDescent="0.25">
      <c r="B117" s="74"/>
      <c r="C117" s="355">
        <f>IF(G113&lt;450,150,IF(G113&lt;600,200,IF(G113&lt;750,250,IF(G113&lt;900,300,400))))</f>
        <v>200</v>
      </c>
      <c r="H117" s="76"/>
    </row>
    <row r="118" spans="2:16" x14ac:dyDescent="0.25">
      <c r="B118" s="74"/>
      <c r="C118" s="355"/>
      <c r="H118" s="76"/>
    </row>
    <row r="119" spans="2:16" x14ac:dyDescent="0.25">
      <c r="B119" s="74"/>
      <c r="H119" s="76"/>
    </row>
    <row r="120" spans="2:16" x14ac:dyDescent="0.25">
      <c r="B120" s="74"/>
      <c r="D120" s="171">
        <f>D57</f>
        <v>12</v>
      </c>
      <c r="E120" s="172">
        <f>E57</f>
        <v>150</v>
      </c>
      <c r="G120" s="171">
        <f>D58</f>
        <v>12</v>
      </c>
      <c r="H120" s="173">
        <f>E58</f>
        <v>150</v>
      </c>
    </row>
    <row r="121" spans="2:16" ht="12.75" customHeight="1" x14ac:dyDescent="0.25">
      <c r="B121" s="93"/>
      <c r="C121" s="94"/>
      <c r="D121" s="95"/>
      <c r="E121" s="95"/>
      <c r="F121" s="94"/>
      <c r="G121" s="95"/>
      <c r="H121" s="96"/>
    </row>
    <row r="122" spans="2:16" ht="15" customHeight="1" x14ac:dyDescent="0.25"/>
    <row r="125" spans="2:16" x14ac:dyDescent="0.25">
      <c r="L125" s="83"/>
      <c r="M125" s="83"/>
      <c r="N125" s="83"/>
      <c r="O125" s="174"/>
      <c r="P125" s="175"/>
    </row>
    <row r="126" spans="2:16" x14ac:dyDescent="0.25">
      <c r="L126" s="83"/>
      <c r="M126" s="83"/>
      <c r="N126" s="83"/>
      <c r="O126" s="174"/>
      <c r="P126" s="175"/>
    </row>
    <row r="127" spans="2:16" ht="12.75" customHeight="1" x14ac:dyDescent="0.25">
      <c r="L127" s="83"/>
      <c r="M127" s="83"/>
      <c r="N127" s="83"/>
      <c r="O127" s="174"/>
    </row>
    <row r="135" ht="11.25" customHeight="1" x14ac:dyDescent="0.25"/>
  </sheetData>
  <protectedRanges>
    <protectedRange sqref="K33 E45:E46 E62 C74:C75 E40:E41 C66:C67 P33 E70 E83 D57:D58" name="Inputs_1"/>
  </protectedRanges>
  <mergeCells count="16">
    <mergeCell ref="B2:H2"/>
    <mergeCell ref="C20:C21"/>
    <mergeCell ref="F20:H20"/>
    <mergeCell ref="D29:E29"/>
    <mergeCell ref="C50:C51"/>
    <mergeCell ref="D50:F50"/>
    <mergeCell ref="D76:E76"/>
    <mergeCell ref="D84:E84"/>
    <mergeCell ref="G113:G116"/>
    <mergeCell ref="C117:C118"/>
    <mergeCell ref="C54:D54"/>
    <mergeCell ref="C55:D55"/>
    <mergeCell ref="F57:G57"/>
    <mergeCell ref="F58:G58"/>
    <mergeCell ref="C60:D60"/>
    <mergeCell ref="D68:E68"/>
  </mergeCells>
  <dataValidations count="3">
    <dataValidation type="list" showInputMessage="1" showErrorMessage="1" sqref="D57:D58 IZ57:IZ58 SV57:SV58 ACR57:ACR58 AMN57:AMN58 AWJ57:AWJ58 BGF57:BGF58 BQB57:BQB58 BZX57:BZX58 CJT57:CJT58 CTP57:CTP58 DDL57:DDL58 DNH57:DNH58 DXD57:DXD58 EGZ57:EGZ58 EQV57:EQV58 FAR57:FAR58 FKN57:FKN58 FUJ57:FUJ58 GEF57:GEF58 GOB57:GOB58 GXX57:GXX58 HHT57:HHT58 HRP57:HRP58 IBL57:IBL58 ILH57:ILH58 IVD57:IVD58 JEZ57:JEZ58 JOV57:JOV58 JYR57:JYR58 KIN57:KIN58 KSJ57:KSJ58 LCF57:LCF58 LMB57:LMB58 LVX57:LVX58 MFT57:MFT58 MPP57:MPP58 MZL57:MZL58 NJH57:NJH58 NTD57:NTD58 OCZ57:OCZ58 OMV57:OMV58 OWR57:OWR58 PGN57:PGN58 PQJ57:PQJ58 QAF57:QAF58 QKB57:QKB58 QTX57:QTX58 RDT57:RDT58 RNP57:RNP58 RXL57:RXL58 SHH57:SHH58 SRD57:SRD58 TAZ57:TAZ58 TKV57:TKV58 TUR57:TUR58 UEN57:UEN58 UOJ57:UOJ58 UYF57:UYF58 VIB57:VIB58 VRX57:VRX58 WBT57:WBT58 WLP57:WLP58 WVL57:WVL58 D65585:D65586 IZ65585:IZ65586 SV65585:SV65586 ACR65585:ACR65586 AMN65585:AMN65586 AWJ65585:AWJ65586 BGF65585:BGF65586 BQB65585:BQB65586 BZX65585:BZX65586 CJT65585:CJT65586 CTP65585:CTP65586 DDL65585:DDL65586 DNH65585:DNH65586 DXD65585:DXD65586 EGZ65585:EGZ65586 EQV65585:EQV65586 FAR65585:FAR65586 FKN65585:FKN65586 FUJ65585:FUJ65586 GEF65585:GEF65586 GOB65585:GOB65586 GXX65585:GXX65586 HHT65585:HHT65586 HRP65585:HRP65586 IBL65585:IBL65586 ILH65585:ILH65586 IVD65585:IVD65586 JEZ65585:JEZ65586 JOV65585:JOV65586 JYR65585:JYR65586 KIN65585:KIN65586 KSJ65585:KSJ65586 LCF65585:LCF65586 LMB65585:LMB65586 LVX65585:LVX65586 MFT65585:MFT65586 MPP65585:MPP65586 MZL65585:MZL65586 NJH65585:NJH65586 NTD65585:NTD65586 OCZ65585:OCZ65586 OMV65585:OMV65586 OWR65585:OWR65586 PGN65585:PGN65586 PQJ65585:PQJ65586 QAF65585:QAF65586 QKB65585:QKB65586 QTX65585:QTX65586 RDT65585:RDT65586 RNP65585:RNP65586 RXL65585:RXL65586 SHH65585:SHH65586 SRD65585:SRD65586 TAZ65585:TAZ65586 TKV65585:TKV65586 TUR65585:TUR65586 UEN65585:UEN65586 UOJ65585:UOJ65586 UYF65585:UYF65586 VIB65585:VIB65586 VRX65585:VRX65586 WBT65585:WBT65586 WLP65585:WLP65586 WVL65585:WVL65586 D131121:D131122 IZ131121:IZ131122 SV131121:SV131122 ACR131121:ACR131122 AMN131121:AMN131122 AWJ131121:AWJ131122 BGF131121:BGF131122 BQB131121:BQB131122 BZX131121:BZX131122 CJT131121:CJT131122 CTP131121:CTP131122 DDL131121:DDL131122 DNH131121:DNH131122 DXD131121:DXD131122 EGZ131121:EGZ131122 EQV131121:EQV131122 FAR131121:FAR131122 FKN131121:FKN131122 FUJ131121:FUJ131122 GEF131121:GEF131122 GOB131121:GOB131122 GXX131121:GXX131122 HHT131121:HHT131122 HRP131121:HRP131122 IBL131121:IBL131122 ILH131121:ILH131122 IVD131121:IVD131122 JEZ131121:JEZ131122 JOV131121:JOV131122 JYR131121:JYR131122 KIN131121:KIN131122 KSJ131121:KSJ131122 LCF131121:LCF131122 LMB131121:LMB131122 LVX131121:LVX131122 MFT131121:MFT131122 MPP131121:MPP131122 MZL131121:MZL131122 NJH131121:NJH131122 NTD131121:NTD131122 OCZ131121:OCZ131122 OMV131121:OMV131122 OWR131121:OWR131122 PGN131121:PGN131122 PQJ131121:PQJ131122 QAF131121:QAF131122 QKB131121:QKB131122 QTX131121:QTX131122 RDT131121:RDT131122 RNP131121:RNP131122 RXL131121:RXL131122 SHH131121:SHH131122 SRD131121:SRD131122 TAZ131121:TAZ131122 TKV131121:TKV131122 TUR131121:TUR131122 UEN131121:UEN131122 UOJ131121:UOJ131122 UYF131121:UYF131122 VIB131121:VIB131122 VRX131121:VRX131122 WBT131121:WBT131122 WLP131121:WLP131122 WVL131121:WVL131122 D196657:D196658 IZ196657:IZ196658 SV196657:SV196658 ACR196657:ACR196658 AMN196657:AMN196658 AWJ196657:AWJ196658 BGF196657:BGF196658 BQB196657:BQB196658 BZX196657:BZX196658 CJT196657:CJT196658 CTP196657:CTP196658 DDL196657:DDL196658 DNH196657:DNH196658 DXD196657:DXD196658 EGZ196657:EGZ196658 EQV196657:EQV196658 FAR196657:FAR196658 FKN196657:FKN196658 FUJ196657:FUJ196658 GEF196657:GEF196658 GOB196657:GOB196658 GXX196657:GXX196658 HHT196657:HHT196658 HRP196657:HRP196658 IBL196657:IBL196658 ILH196657:ILH196658 IVD196657:IVD196658 JEZ196657:JEZ196658 JOV196657:JOV196658 JYR196657:JYR196658 KIN196657:KIN196658 KSJ196657:KSJ196658 LCF196657:LCF196658 LMB196657:LMB196658 LVX196657:LVX196658 MFT196657:MFT196658 MPP196657:MPP196658 MZL196657:MZL196658 NJH196657:NJH196658 NTD196657:NTD196658 OCZ196657:OCZ196658 OMV196657:OMV196658 OWR196657:OWR196658 PGN196657:PGN196658 PQJ196657:PQJ196658 QAF196657:QAF196658 QKB196657:QKB196658 QTX196657:QTX196658 RDT196657:RDT196658 RNP196657:RNP196658 RXL196657:RXL196658 SHH196657:SHH196658 SRD196657:SRD196658 TAZ196657:TAZ196658 TKV196657:TKV196658 TUR196657:TUR196658 UEN196657:UEN196658 UOJ196657:UOJ196658 UYF196657:UYF196658 VIB196657:VIB196658 VRX196657:VRX196658 WBT196657:WBT196658 WLP196657:WLP196658 WVL196657:WVL196658 D262193:D262194 IZ262193:IZ262194 SV262193:SV262194 ACR262193:ACR262194 AMN262193:AMN262194 AWJ262193:AWJ262194 BGF262193:BGF262194 BQB262193:BQB262194 BZX262193:BZX262194 CJT262193:CJT262194 CTP262193:CTP262194 DDL262193:DDL262194 DNH262193:DNH262194 DXD262193:DXD262194 EGZ262193:EGZ262194 EQV262193:EQV262194 FAR262193:FAR262194 FKN262193:FKN262194 FUJ262193:FUJ262194 GEF262193:GEF262194 GOB262193:GOB262194 GXX262193:GXX262194 HHT262193:HHT262194 HRP262193:HRP262194 IBL262193:IBL262194 ILH262193:ILH262194 IVD262193:IVD262194 JEZ262193:JEZ262194 JOV262193:JOV262194 JYR262193:JYR262194 KIN262193:KIN262194 KSJ262193:KSJ262194 LCF262193:LCF262194 LMB262193:LMB262194 LVX262193:LVX262194 MFT262193:MFT262194 MPP262193:MPP262194 MZL262193:MZL262194 NJH262193:NJH262194 NTD262193:NTD262194 OCZ262193:OCZ262194 OMV262193:OMV262194 OWR262193:OWR262194 PGN262193:PGN262194 PQJ262193:PQJ262194 QAF262193:QAF262194 QKB262193:QKB262194 QTX262193:QTX262194 RDT262193:RDT262194 RNP262193:RNP262194 RXL262193:RXL262194 SHH262193:SHH262194 SRD262193:SRD262194 TAZ262193:TAZ262194 TKV262193:TKV262194 TUR262193:TUR262194 UEN262193:UEN262194 UOJ262193:UOJ262194 UYF262193:UYF262194 VIB262193:VIB262194 VRX262193:VRX262194 WBT262193:WBT262194 WLP262193:WLP262194 WVL262193:WVL262194 D327729:D327730 IZ327729:IZ327730 SV327729:SV327730 ACR327729:ACR327730 AMN327729:AMN327730 AWJ327729:AWJ327730 BGF327729:BGF327730 BQB327729:BQB327730 BZX327729:BZX327730 CJT327729:CJT327730 CTP327729:CTP327730 DDL327729:DDL327730 DNH327729:DNH327730 DXD327729:DXD327730 EGZ327729:EGZ327730 EQV327729:EQV327730 FAR327729:FAR327730 FKN327729:FKN327730 FUJ327729:FUJ327730 GEF327729:GEF327730 GOB327729:GOB327730 GXX327729:GXX327730 HHT327729:HHT327730 HRP327729:HRP327730 IBL327729:IBL327730 ILH327729:ILH327730 IVD327729:IVD327730 JEZ327729:JEZ327730 JOV327729:JOV327730 JYR327729:JYR327730 KIN327729:KIN327730 KSJ327729:KSJ327730 LCF327729:LCF327730 LMB327729:LMB327730 LVX327729:LVX327730 MFT327729:MFT327730 MPP327729:MPP327730 MZL327729:MZL327730 NJH327729:NJH327730 NTD327729:NTD327730 OCZ327729:OCZ327730 OMV327729:OMV327730 OWR327729:OWR327730 PGN327729:PGN327730 PQJ327729:PQJ327730 QAF327729:QAF327730 QKB327729:QKB327730 QTX327729:QTX327730 RDT327729:RDT327730 RNP327729:RNP327730 RXL327729:RXL327730 SHH327729:SHH327730 SRD327729:SRD327730 TAZ327729:TAZ327730 TKV327729:TKV327730 TUR327729:TUR327730 UEN327729:UEN327730 UOJ327729:UOJ327730 UYF327729:UYF327730 VIB327729:VIB327730 VRX327729:VRX327730 WBT327729:WBT327730 WLP327729:WLP327730 WVL327729:WVL327730 D393265:D393266 IZ393265:IZ393266 SV393265:SV393266 ACR393265:ACR393266 AMN393265:AMN393266 AWJ393265:AWJ393266 BGF393265:BGF393266 BQB393265:BQB393266 BZX393265:BZX393266 CJT393265:CJT393266 CTP393265:CTP393266 DDL393265:DDL393266 DNH393265:DNH393266 DXD393265:DXD393266 EGZ393265:EGZ393266 EQV393265:EQV393266 FAR393265:FAR393266 FKN393265:FKN393266 FUJ393265:FUJ393266 GEF393265:GEF393266 GOB393265:GOB393266 GXX393265:GXX393266 HHT393265:HHT393266 HRP393265:HRP393266 IBL393265:IBL393266 ILH393265:ILH393266 IVD393265:IVD393266 JEZ393265:JEZ393266 JOV393265:JOV393266 JYR393265:JYR393266 KIN393265:KIN393266 KSJ393265:KSJ393266 LCF393265:LCF393266 LMB393265:LMB393266 LVX393265:LVX393266 MFT393265:MFT393266 MPP393265:MPP393266 MZL393265:MZL393266 NJH393265:NJH393266 NTD393265:NTD393266 OCZ393265:OCZ393266 OMV393265:OMV393266 OWR393265:OWR393266 PGN393265:PGN393266 PQJ393265:PQJ393266 QAF393265:QAF393266 QKB393265:QKB393266 QTX393265:QTX393266 RDT393265:RDT393266 RNP393265:RNP393266 RXL393265:RXL393266 SHH393265:SHH393266 SRD393265:SRD393266 TAZ393265:TAZ393266 TKV393265:TKV393266 TUR393265:TUR393266 UEN393265:UEN393266 UOJ393265:UOJ393266 UYF393265:UYF393266 VIB393265:VIB393266 VRX393265:VRX393266 WBT393265:WBT393266 WLP393265:WLP393266 WVL393265:WVL393266 D458801:D458802 IZ458801:IZ458802 SV458801:SV458802 ACR458801:ACR458802 AMN458801:AMN458802 AWJ458801:AWJ458802 BGF458801:BGF458802 BQB458801:BQB458802 BZX458801:BZX458802 CJT458801:CJT458802 CTP458801:CTP458802 DDL458801:DDL458802 DNH458801:DNH458802 DXD458801:DXD458802 EGZ458801:EGZ458802 EQV458801:EQV458802 FAR458801:FAR458802 FKN458801:FKN458802 FUJ458801:FUJ458802 GEF458801:GEF458802 GOB458801:GOB458802 GXX458801:GXX458802 HHT458801:HHT458802 HRP458801:HRP458802 IBL458801:IBL458802 ILH458801:ILH458802 IVD458801:IVD458802 JEZ458801:JEZ458802 JOV458801:JOV458802 JYR458801:JYR458802 KIN458801:KIN458802 KSJ458801:KSJ458802 LCF458801:LCF458802 LMB458801:LMB458802 LVX458801:LVX458802 MFT458801:MFT458802 MPP458801:MPP458802 MZL458801:MZL458802 NJH458801:NJH458802 NTD458801:NTD458802 OCZ458801:OCZ458802 OMV458801:OMV458802 OWR458801:OWR458802 PGN458801:PGN458802 PQJ458801:PQJ458802 QAF458801:QAF458802 QKB458801:QKB458802 QTX458801:QTX458802 RDT458801:RDT458802 RNP458801:RNP458802 RXL458801:RXL458802 SHH458801:SHH458802 SRD458801:SRD458802 TAZ458801:TAZ458802 TKV458801:TKV458802 TUR458801:TUR458802 UEN458801:UEN458802 UOJ458801:UOJ458802 UYF458801:UYF458802 VIB458801:VIB458802 VRX458801:VRX458802 WBT458801:WBT458802 WLP458801:WLP458802 WVL458801:WVL458802 D524337:D524338 IZ524337:IZ524338 SV524337:SV524338 ACR524337:ACR524338 AMN524337:AMN524338 AWJ524337:AWJ524338 BGF524337:BGF524338 BQB524337:BQB524338 BZX524337:BZX524338 CJT524337:CJT524338 CTP524337:CTP524338 DDL524337:DDL524338 DNH524337:DNH524338 DXD524337:DXD524338 EGZ524337:EGZ524338 EQV524337:EQV524338 FAR524337:FAR524338 FKN524337:FKN524338 FUJ524337:FUJ524338 GEF524337:GEF524338 GOB524337:GOB524338 GXX524337:GXX524338 HHT524337:HHT524338 HRP524337:HRP524338 IBL524337:IBL524338 ILH524337:ILH524338 IVD524337:IVD524338 JEZ524337:JEZ524338 JOV524337:JOV524338 JYR524337:JYR524338 KIN524337:KIN524338 KSJ524337:KSJ524338 LCF524337:LCF524338 LMB524337:LMB524338 LVX524337:LVX524338 MFT524337:MFT524338 MPP524337:MPP524338 MZL524337:MZL524338 NJH524337:NJH524338 NTD524337:NTD524338 OCZ524337:OCZ524338 OMV524337:OMV524338 OWR524337:OWR524338 PGN524337:PGN524338 PQJ524337:PQJ524338 QAF524337:QAF524338 QKB524337:QKB524338 QTX524337:QTX524338 RDT524337:RDT524338 RNP524337:RNP524338 RXL524337:RXL524338 SHH524337:SHH524338 SRD524337:SRD524338 TAZ524337:TAZ524338 TKV524337:TKV524338 TUR524337:TUR524338 UEN524337:UEN524338 UOJ524337:UOJ524338 UYF524337:UYF524338 VIB524337:VIB524338 VRX524337:VRX524338 WBT524337:WBT524338 WLP524337:WLP524338 WVL524337:WVL524338 D589873:D589874 IZ589873:IZ589874 SV589873:SV589874 ACR589873:ACR589874 AMN589873:AMN589874 AWJ589873:AWJ589874 BGF589873:BGF589874 BQB589873:BQB589874 BZX589873:BZX589874 CJT589873:CJT589874 CTP589873:CTP589874 DDL589873:DDL589874 DNH589873:DNH589874 DXD589873:DXD589874 EGZ589873:EGZ589874 EQV589873:EQV589874 FAR589873:FAR589874 FKN589873:FKN589874 FUJ589873:FUJ589874 GEF589873:GEF589874 GOB589873:GOB589874 GXX589873:GXX589874 HHT589873:HHT589874 HRP589873:HRP589874 IBL589873:IBL589874 ILH589873:ILH589874 IVD589873:IVD589874 JEZ589873:JEZ589874 JOV589873:JOV589874 JYR589873:JYR589874 KIN589873:KIN589874 KSJ589873:KSJ589874 LCF589873:LCF589874 LMB589873:LMB589874 LVX589873:LVX589874 MFT589873:MFT589874 MPP589873:MPP589874 MZL589873:MZL589874 NJH589873:NJH589874 NTD589873:NTD589874 OCZ589873:OCZ589874 OMV589873:OMV589874 OWR589873:OWR589874 PGN589873:PGN589874 PQJ589873:PQJ589874 QAF589873:QAF589874 QKB589873:QKB589874 QTX589873:QTX589874 RDT589873:RDT589874 RNP589873:RNP589874 RXL589873:RXL589874 SHH589873:SHH589874 SRD589873:SRD589874 TAZ589873:TAZ589874 TKV589873:TKV589874 TUR589873:TUR589874 UEN589873:UEN589874 UOJ589873:UOJ589874 UYF589873:UYF589874 VIB589873:VIB589874 VRX589873:VRX589874 WBT589873:WBT589874 WLP589873:WLP589874 WVL589873:WVL589874 D655409:D655410 IZ655409:IZ655410 SV655409:SV655410 ACR655409:ACR655410 AMN655409:AMN655410 AWJ655409:AWJ655410 BGF655409:BGF655410 BQB655409:BQB655410 BZX655409:BZX655410 CJT655409:CJT655410 CTP655409:CTP655410 DDL655409:DDL655410 DNH655409:DNH655410 DXD655409:DXD655410 EGZ655409:EGZ655410 EQV655409:EQV655410 FAR655409:FAR655410 FKN655409:FKN655410 FUJ655409:FUJ655410 GEF655409:GEF655410 GOB655409:GOB655410 GXX655409:GXX655410 HHT655409:HHT655410 HRP655409:HRP655410 IBL655409:IBL655410 ILH655409:ILH655410 IVD655409:IVD655410 JEZ655409:JEZ655410 JOV655409:JOV655410 JYR655409:JYR655410 KIN655409:KIN655410 KSJ655409:KSJ655410 LCF655409:LCF655410 LMB655409:LMB655410 LVX655409:LVX655410 MFT655409:MFT655410 MPP655409:MPP655410 MZL655409:MZL655410 NJH655409:NJH655410 NTD655409:NTD655410 OCZ655409:OCZ655410 OMV655409:OMV655410 OWR655409:OWR655410 PGN655409:PGN655410 PQJ655409:PQJ655410 QAF655409:QAF655410 QKB655409:QKB655410 QTX655409:QTX655410 RDT655409:RDT655410 RNP655409:RNP655410 RXL655409:RXL655410 SHH655409:SHH655410 SRD655409:SRD655410 TAZ655409:TAZ655410 TKV655409:TKV655410 TUR655409:TUR655410 UEN655409:UEN655410 UOJ655409:UOJ655410 UYF655409:UYF655410 VIB655409:VIB655410 VRX655409:VRX655410 WBT655409:WBT655410 WLP655409:WLP655410 WVL655409:WVL655410 D720945:D720946 IZ720945:IZ720946 SV720945:SV720946 ACR720945:ACR720946 AMN720945:AMN720946 AWJ720945:AWJ720946 BGF720945:BGF720946 BQB720945:BQB720946 BZX720945:BZX720946 CJT720945:CJT720946 CTP720945:CTP720946 DDL720945:DDL720946 DNH720945:DNH720946 DXD720945:DXD720946 EGZ720945:EGZ720946 EQV720945:EQV720946 FAR720945:FAR720946 FKN720945:FKN720946 FUJ720945:FUJ720946 GEF720945:GEF720946 GOB720945:GOB720946 GXX720945:GXX720946 HHT720945:HHT720946 HRP720945:HRP720946 IBL720945:IBL720946 ILH720945:ILH720946 IVD720945:IVD720946 JEZ720945:JEZ720946 JOV720945:JOV720946 JYR720945:JYR720946 KIN720945:KIN720946 KSJ720945:KSJ720946 LCF720945:LCF720946 LMB720945:LMB720946 LVX720945:LVX720946 MFT720945:MFT720946 MPP720945:MPP720946 MZL720945:MZL720946 NJH720945:NJH720946 NTD720945:NTD720946 OCZ720945:OCZ720946 OMV720945:OMV720946 OWR720945:OWR720946 PGN720945:PGN720946 PQJ720945:PQJ720946 QAF720945:QAF720946 QKB720945:QKB720946 QTX720945:QTX720946 RDT720945:RDT720946 RNP720945:RNP720946 RXL720945:RXL720946 SHH720945:SHH720946 SRD720945:SRD720946 TAZ720945:TAZ720946 TKV720945:TKV720946 TUR720945:TUR720946 UEN720945:UEN720946 UOJ720945:UOJ720946 UYF720945:UYF720946 VIB720945:VIB720946 VRX720945:VRX720946 WBT720945:WBT720946 WLP720945:WLP720946 WVL720945:WVL720946 D786481:D786482 IZ786481:IZ786482 SV786481:SV786482 ACR786481:ACR786482 AMN786481:AMN786482 AWJ786481:AWJ786482 BGF786481:BGF786482 BQB786481:BQB786482 BZX786481:BZX786482 CJT786481:CJT786482 CTP786481:CTP786482 DDL786481:DDL786482 DNH786481:DNH786482 DXD786481:DXD786482 EGZ786481:EGZ786482 EQV786481:EQV786482 FAR786481:FAR786482 FKN786481:FKN786482 FUJ786481:FUJ786482 GEF786481:GEF786482 GOB786481:GOB786482 GXX786481:GXX786482 HHT786481:HHT786482 HRP786481:HRP786482 IBL786481:IBL786482 ILH786481:ILH786482 IVD786481:IVD786482 JEZ786481:JEZ786482 JOV786481:JOV786482 JYR786481:JYR786482 KIN786481:KIN786482 KSJ786481:KSJ786482 LCF786481:LCF786482 LMB786481:LMB786482 LVX786481:LVX786482 MFT786481:MFT786482 MPP786481:MPP786482 MZL786481:MZL786482 NJH786481:NJH786482 NTD786481:NTD786482 OCZ786481:OCZ786482 OMV786481:OMV786482 OWR786481:OWR786482 PGN786481:PGN786482 PQJ786481:PQJ786482 QAF786481:QAF786482 QKB786481:QKB786482 QTX786481:QTX786482 RDT786481:RDT786482 RNP786481:RNP786482 RXL786481:RXL786482 SHH786481:SHH786482 SRD786481:SRD786482 TAZ786481:TAZ786482 TKV786481:TKV786482 TUR786481:TUR786482 UEN786481:UEN786482 UOJ786481:UOJ786482 UYF786481:UYF786482 VIB786481:VIB786482 VRX786481:VRX786482 WBT786481:WBT786482 WLP786481:WLP786482 WVL786481:WVL786482 D852017:D852018 IZ852017:IZ852018 SV852017:SV852018 ACR852017:ACR852018 AMN852017:AMN852018 AWJ852017:AWJ852018 BGF852017:BGF852018 BQB852017:BQB852018 BZX852017:BZX852018 CJT852017:CJT852018 CTP852017:CTP852018 DDL852017:DDL852018 DNH852017:DNH852018 DXD852017:DXD852018 EGZ852017:EGZ852018 EQV852017:EQV852018 FAR852017:FAR852018 FKN852017:FKN852018 FUJ852017:FUJ852018 GEF852017:GEF852018 GOB852017:GOB852018 GXX852017:GXX852018 HHT852017:HHT852018 HRP852017:HRP852018 IBL852017:IBL852018 ILH852017:ILH852018 IVD852017:IVD852018 JEZ852017:JEZ852018 JOV852017:JOV852018 JYR852017:JYR852018 KIN852017:KIN852018 KSJ852017:KSJ852018 LCF852017:LCF852018 LMB852017:LMB852018 LVX852017:LVX852018 MFT852017:MFT852018 MPP852017:MPP852018 MZL852017:MZL852018 NJH852017:NJH852018 NTD852017:NTD852018 OCZ852017:OCZ852018 OMV852017:OMV852018 OWR852017:OWR852018 PGN852017:PGN852018 PQJ852017:PQJ852018 QAF852017:QAF852018 QKB852017:QKB852018 QTX852017:QTX852018 RDT852017:RDT852018 RNP852017:RNP852018 RXL852017:RXL852018 SHH852017:SHH852018 SRD852017:SRD852018 TAZ852017:TAZ852018 TKV852017:TKV852018 TUR852017:TUR852018 UEN852017:UEN852018 UOJ852017:UOJ852018 UYF852017:UYF852018 VIB852017:VIB852018 VRX852017:VRX852018 WBT852017:WBT852018 WLP852017:WLP852018 WVL852017:WVL852018 D917553:D917554 IZ917553:IZ917554 SV917553:SV917554 ACR917553:ACR917554 AMN917553:AMN917554 AWJ917553:AWJ917554 BGF917553:BGF917554 BQB917553:BQB917554 BZX917553:BZX917554 CJT917553:CJT917554 CTP917553:CTP917554 DDL917553:DDL917554 DNH917553:DNH917554 DXD917553:DXD917554 EGZ917553:EGZ917554 EQV917553:EQV917554 FAR917553:FAR917554 FKN917553:FKN917554 FUJ917553:FUJ917554 GEF917553:GEF917554 GOB917553:GOB917554 GXX917553:GXX917554 HHT917553:HHT917554 HRP917553:HRP917554 IBL917553:IBL917554 ILH917553:ILH917554 IVD917553:IVD917554 JEZ917553:JEZ917554 JOV917553:JOV917554 JYR917553:JYR917554 KIN917553:KIN917554 KSJ917553:KSJ917554 LCF917553:LCF917554 LMB917553:LMB917554 LVX917553:LVX917554 MFT917553:MFT917554 MPP917553:MPP917554 MZL917553:MZL917554 NJH917553:NJH917554 NTD917553:NTD917554 OCZ917553:OCZ917554 OMV917553:OMV917554 OWR917553:OWR917554 PGN917553:PGN917554 PQJ917553:PQJ917554 QAF917553:QAF917554 QKB917553:QKB917554 QTX917553:QTX917554 RDT917553:RDT917554 RNP917553:RNP917554 RXL917553:RXL917554 SHH917553:SHH917554 SRD917553:SRD917554 TAZ917553:TAZ917554 TKV917553:TKV917554 TUR917553:TUR917554 UEN917553:UEN917554 UOJ917553:UOJ917554 UYF917553:UYF917554 VIB917553:VIB917554 VRX917553:VRX917554 WBT917553:WBT917554 WLP917553:WLP917554 WVL917553:WVL917554 D983089:D983090 IZ983089:IZ983090 SV983089:SV983090 ACR983089:ACR983090 AMN983089:AMN983090 AWJ983089:AWJ983090 BGF983089:BGF983090 BQB983089:BQB983090 BZX983089:BZX983090 CJT983089:CJT983090 CTP983089:CTP983090 DDL983089:DDL983090 DNH983089:DNH983090 DXD983089:DXD983090 EGZ983089:EGZ983090 EQV983089:EQV983090 FAR983089:FAR983090 FKN983089:FKN983090 FUJ983089:FUJ983090 GEF983089:GEF983090 GOB983089:GOB983090 GXX983089:GXX983090 HHT983089:HHT983090 HRP983089:HRP983090 IBL983089:IBL983090 ILH983089:ILH983090 IVD983089:IVD983090 JEZ983089:JEZ983090 JOV983089:JOV983090 JYR983089:JYR983090 KIN983089:KIN983090 KSJ983089:KSJ983090 LCF983089:LCF983090 LMB983089:LMB983090 LVX983089:LVX983090 MFT983089:MFT983090 MPP983089:MPP983090 MZL983089:MZL983090 NJH983089:NJH983090 NTD983089:NTD983090 OCZ983089:OCZ983090 OMV983089:OMV983090 OWR983089:OWR983090 PGN983089:PGN983090 PQJ983089:PQJ983090 QAF983089:QAF983090 QKB983089:QKB983090 QTX983089:QTX983090 RDT983089:RDT983090 RNP983089:RNP983090 RXL983089:RXL983090 SHH983089:SHH983090 SRD983089:SRD983090 TAZ983089:TAZ983090 TKV983089:TKV983090 TUR983089:TUR983090 UEN983089:UEN983090 UOJ983089:UOJ983090 UYF983089:UYF983090 VIB983089:VIB983090 VRX983089:VRX983090 WBT983089:WBT983090 WLP983089:WLP983090 WVL983089:WVL983090" xr:uid="{00000000-0002-0000-0700-000000000000}">
      <formula1>" -,12,16,20"</formula1>
    </dataValidation>
    <dataValidation type="list" allowBlank="1" showInputMessage="1" showErrorMessage="1" sqref="E40 JA40 SW40 ACS40 AMO40 AWK40 BGG40 BQC40 BZY40 CJU40 CTQ40 DDM40 DNI40 DXE40 EHA40 EQW40 FAS40 FKO40 FUK40 GEG40 GOC40 GXY40 HHU40 HRQ40 IBM40 ILI40 IVE40 JFA40 JOW40 JYS40 KIO40 KSK40 LCG40 LMC40 LVY40 MFU40 MPQ40 MZM40 NJI40 NTE40 ODA40 OMW40 OWS40 PGO40 PQK40 QAG40 QKC40 QTY40 RDU40 RNQ40 RXM40 SHI40 SRE40 TBA40 TKW40 TUS40 UEO40 UOK40 UYG40 VIC40 VRY40 WBU40 WLQ40 WVM40 E65568 JA65568 SW65568 ACS65568 AMO65568 AWK65568 BGG65568 BQC65568 BZY65568 CJU65568 CTQ65568 DDM65568 DNI65568 DXE65568 EHA65568 EQW65568 FAS65568 FKO65568 FUK65568 GEG65568 GOC65568 GXY65568 HHU65568 HRQ65568 IBM65568 ILI65568 IVE65568 JFA65568 JOW65568 JYS65568 KIO65568 KSK65568 LCG65568 LMC65568 LVY65568 MFU65568 MPQ65568 MZM65568 NJI65568 NTE65568 ODA65568 OMW65568 OWS65568 PGO65568 PQK65568 QAG65568 QKC65568 QTY65568 RDU65568 RNQ65568 RXM65568 SHI65568 SRE65568 TBA65568 TKW65568 TUS65568 UEO65568 UOK65568 UYG65568 VIC65568 VRY65568 WBU65568 WLQ65568 WVM65568 E131104 JA131104 SW131104 ACS131104 AMO131104 AWK131104 BGG131104 BQC131104 BZY131104 CJU131104 CTQ131104 DDM131104 DNI131104 DXE131104 EHA131104 EQW131104 FAS131104 FKO131104 FUK131104 GEG131104 GOC131104 GXY131104 HHU131104 HRQ131104 IBM131104 ILI131104 IVE131104 JFA131104 JOW131104 JYS131104 KIO131104 KSK131104 LCG131104 LMC131104 LVY131104 MFU131104 MPQ131104 MZM131104 NJI131104 NTE131104 ODA131104 OMW131104 OWS131104 PGO131104 PQK131104 QAG131104 QKC131104 QTY131104 RDU131104 RNQ131104 RXM131104 SHI131104 SRE131104 TBA131104 TKW131104 TUS131104 UEO131104 UOK131104 UYG131104 VIC131104 VRY131104 WBU131104 WLQ131104 WVM131104 E196640 JA196640 SW196640 ACS196640 AMO196640 AWK196640 BGG196640 BQC196640 BZY196640 CJU196640 CTQ196640 DDM196640 DNI196640 DXE196640 EHA196640 EQW196640 FAS196640 FKO196640 FUK196640 GEG196640 GOC196640 GXY196640 HHU196640 HRQ196640 IBM196640 ILI196640 IVE196640 JFA196640 JOW196640 JYS196640 KIO196640 KSK196640 LCG196640 LMC196640 LVY196640 MFU196640 MPQ196640 MZM196640 NJI196640 NTE196640 ODA196640 OMW196640 OWS196640 PGO196640 PQK196640 QAG196640 QKC196640 QTY196640 RDU196640 RNQ196640 RXM196640 SHI196640 SRE196640 TBA196640 TKW196640 TUS196640 UEO196640 UOK196640 UYG196640 VIC196640 VRY196640 WBU196640 WLQ196640 WVM196640 E262176 JA262176 SW262176 ACS262176 AMO262176 AWK262176 BGG262176 BQC262176 BZY262176 CJU262176 CTQ262176 DDM262176 DNI262176 DXE262176 EHA262176 EQW262176 FAS262176 FKO262176 FUK262176 GEG262176 GOC262176 GXY262176 HHU262176 HRQ262176 IBM262176 ILI262176 IVE262176 JFA262176 JOW262176 JYS262176 KIO262176 KSK262176 LCG262176 LMC262176 LVY262176 MFU262176 MPQ262176 MZM262176 NJI262176 NTE262176 ODA262176 OMW262176 OWS262176 PGO262176 PQK262176 QAG262176 QKC262176 QTY262176 RDU262176 RNQ262176 RXM262176 SHI262176 SRE262176 TBA262176 TKW262176 TUS262176 UEO262176 UOK262176 UYG262176 VIC262176 VRY262176 WBU262176 WLQ262176 WVM262176 E327712 JA327712 SW327712 ACS327712 AMO327712 AWK327712 BGG327712 BQC327712 BZY327712 CJU327712 CTQ327712 DDM327712 DNI327712 DXE327712 EHA327712 EQW327712 FAS327712 FKO327712 FUK327712 GEG327712 GOC327712 GXY327712 HHU327712 HRQ327712 IBM327712 ILI327712 IVE327712 JFA327712 JOW327712 JYS327712 KIO327712 KSK327712 LCG327712 LMC327712 LVY327712 MFU327712 MPQ327712 MZM327712 NJI327712 NTE327712 ODA327712 OMW327712 OWS327712 PGO327712 PQK327712 QAG327712 QKC327712 QTY327712 RDU327712 RNQ327712 RXM327712 SHI327712 SRE327712 TBA327712 TKW327712 TUS327712 UEO327712 UOK327712 UYG327712 VIC327712 VRY327712 WBU327712 WLQ327712 WVM327712 E393248 JA393248 SW393248 ACS393248 AMO393248 AWK393248 BGG393248 BQC393248 BZY393248 CJU393248 CTQ393248 DDM393248 DNI393248 DXE393248 EHA393248 EQW393248 FAS393248 FKO393248 FUK393248 GEG393248 GOC393248 GXY393248 HHU393248 HRQ393248 IBM393248 ILI393248 IVE393248 JFA393248 JOW393248 JYS393248 KIO393248 KSK393248 LCG393248 LMC393248 LVY393248 MFU393248 MPQ393248 MZM393248 NJI393248 NTE393248 ODA393248 OMW393248 OWS393248 PGO393248 PQK393248 QAG393248 QKC393248 QTY393248 RDU393248 RNQ393248 RXM393248 SHI393248 SRE393248 TBA393248 TKW393248 TUS393248 UEO393248 UOK393248 UYG393248 VIC393248 VRY393248 WBU393248 WLQ393248 WVM393248 E458784 JA458784 SW458784 ACS458784 AMO458784 AWK458784 BGG458784 BQC458784 BZY458784 CJU458784 CTQ458784 DDM458784 DNI458784 DXE458784 EHA458784 EQW458784 FAS458784 FKO458784 FUK458784 GEG458784 GOC458784 GXY458784 HHU458784 HRQ458784 IBM458784 ILI458784 IVE458784 JFA458784 JOW458784 JYS458784 KIO458784 KSK458784 LCG458784 LMC458784 LVY458784 MFU458784 MPQ458784 MZM458784 NJI458784 NTE458784 ODA458784 OMW458784 OWS458784 PGO458784 PQK458784 QAG458784 QKC458784 QTY458784 RDU458784 RNQ458784 RXM458784 SHI458784 SRE458784 TBA458784 TKW458784 TUS458784 UEO458784 UOK458784 UYG458784 VIC458784 VRY458784 WBU458784 WLQ458784 WVM458784 E524320 JA524320 SW524320 ACS524320 AMO524320 AWK524320 BGG524320 BQC524320 BZY524320 CJU524320 CTQ524320 DDM524320 DNI524320 DXE524320 EHA524320 EQW524320 FAS524320 FKO524320 FUK524320 GEG524320 GOC524320 GXY524320 HHU524320 HRQ524320 IBM524320 ILI524320 IVE524320 JFA524320 JOW524320 JYS524320 KIO524320 KSK524320 LCG524320 LMC524320 LVY524320 MFU524320 MPQ524320 MZM524320 NJI524320 NTE524320 ODA524320 OMW524320 OWS524320 PGO524320 PQK524320 QAG524320 QKC524320 QTY524320 RDU524320 RNQ524320 RXM524320 SHI524320 SRE524320 TBA524320 TKW524320 TUS524320 UEO524320 UOK524320 UYG524320 VIC524320 VRY524320 WBU524320 WLQ524320 WVM524320 E589856 JA589856 SW589856 ACS589856 AMO589856 AWK589856 BGG589856 BQC589856 BZY589856 CJU589856 CTQ589856 DDM589856 DNI589856 DXE589856 EHA589856 EQW589856 FAS589856 FKO589856 FUK589856 GEG589856 GOC589856 GXY589856 HHU589856 HRQ589856 IBM589856 ILI589856 IVE589856 JFA589856 JOW589856 JYS589856 KIO589856 KSK589856 LCG589856 LMC589856 LVY589856 MFU589856 MPQ589856 MZM589856 NJI589856 NTE589856 ODA589856 OMW589856 OWS589856 PGO589856 PQK589856 QAG589856 QKC589856 QTY589856 RDU589856 RNQ589856 RXM589856 SHI589856 SRE589856 TBA589856 TKW589856 TUS589856 UEO589856 UOK589856 UYG589856 VIC589856 VRY589856 WBU589856 WLQ589856 WVM589856 E655392 JA655392 SW655392 ACS655392 AMO655392 AWK655392 BGG655392 BQC655392 BZY655392 CJU655392 CTQ655392 DDM655392 DNI655392 DXE655392 EHA655392 EQW655392 FAS655392 FKO655392 FUK655392 GEG655392 GOC655392 GXY655392 HHU655392 HRQ655392 IBM655392 ILI655392 IVE655392 JFA655392 JOW655392 JYS655392 KIO655392 KSK655392 LCG655392 LMC655392 LVY655392 MFU655392 MPQ655392 MZM655392 NJI655392 NTE655392 ODA655392 OMW655392 OWS655392 PGO655392 PQK655392 QAG655392 QKC655392 QTY655392 RDU655392 RNQ655392 RXM655392 SHI655392 SRE655392 TBA655392 TKW655392 TUS655392 UEO655392 UOK655392 UYG655392 VIC655392 VRY655392 WBU655392 WLQ655392 WVM655392 E720928 JA720928 SW720928 ACS720928 AMO720928 AWK720928 BGG720928 BQC720928 BZY720928 CJU720928 CTQ720928 DDM720928 DNI720928 DXE720928 EHA720928 EQW720928 FAS720928 FKO720928 FUK720928 GEG720928 GOC720928 GXY720928 HHU720928 HRQ720928 IBM720928 ILI720928 IVE720928 JFA720928 JOW720928 JYS720928 KIO720928 KSK720928 LCG720928 LMC720928 LVY720928 MFU720928 MPQ720928 MZM720928 NJI720928 NTE720928 ODA720928 OMW720928 OWS720928 PGO720928 PQK720928 QAG720928 QKC720928 QTY720928 RDU720928 RNQ720928 RXM720928 SHI720928 SRE720928 TBA720928 TKW720928 TUS720928 UEO720928 UOK720928 UYG720928 VIC720928 VRY720928 WBU720928 WLQ720928 WVM720928 E786464 JA786464 SW786464 ACS786464 AMO786464 AWK786464 BGG786464 BQC786464 BZY786464 CJU786464 CTQ786464 DDM786464 DNI786464 DXE786464 EHA786464 EQW786464 FAS786464 FKO786464 FUK786464 GEG786464 GOC786464 GXY786464 HHU786464 HRQ786464 IBM786464 ILI786464 IVE786464 JFA786464 JOW786464 JYS786464 KIO786464 KSK786464 LCG786464 LMC786464 LVY786464 MFU786464 MPQ786464 MZM786464 NJI786464 NTE786464 ODA786464 OMW786464 OWS786464 PGO786464 PQK786464 QAG786464 QKC786464 QTY786464 RDU786464 RNQ786464 RXM786464 SHI786464 SRE786464 TBA786464 TKW786464 TUS786464 UEO786464 UOK786464 UYG786464 VIC786464 VRY786464 WBU786464 WLQ786464 WVM786464 E852000 JA852000 SW852000 ACS852000 AMO852000 AWK852000 BGG852000 BQC852000 BZY852000 CJU852000 CTQ852000 DDM852000 DNI852000 DXE852000 EHA852000 EQW852000 FAS852000 FKO852000 FUK852000 GEG852000 GOC852000 GXY852000 HHU852000 HRQ852000 IBM852000 ILI852000 IVE852000 JFA852000 JOW852000 JYS852000 KIO852000 KSK852000 LCG852000 LMC852000 LVY852000 MFU852000 MPQ852000 MZM852000 NJI852000 NTE852000 ODA852000 OMW852000 OWS852000 PGO852000 PQK852000 QAG852000 QKC852000 QTY852000 RDU852000 RNQ852000 RXM852000 SHI852000 SRE852000 TBA852000 TKW852000 TUS852000 UEO852000 UOK852000 UYG852000 VIC852000 VRY852000 WBU852000 WLQ852000 WVM852000 E917536 JA917536 SW917536 ACS917536 AMO917536 AWK917536 BGG917536 BQC917536 BZY917536 CJU917536 CTQ917536 DDM917536 DNI917536 DXE917536 EHA917536 EQW917536 FAS917536 FKO917536 FUK917536 GEG917536 GOC917536 GXY917536 HHU917536 HRQ917536 IBM917536 ILI917536 IVE917536 JFA917536 JOW917536 JYS917536 KIO917536 KSK917536 LCG917536 LMC917536 LVY917536 MFU917536 MPQ917536 MZM917536 NJI917536 NTE917536 ODA917536 OMW917536 OWS917536 PGO917536 PQK917536 QAG917536 QKC917536 QTY917536 RDU917536 RNQ917536 RXM917536 SHI917536 SRE917536 TBA917536 TKW917536 TUS917536 UEO917536 UOK917536 UYG917536 VIC917536 VRY917536 WBU917536 WLQ917536 WVM917536 E983072 JA983072 SW983072 ACS983072 AMO983072 AWK983072 BGG983072 BQC983072 BZY983072 CJU983072 CTQ983072 DDM983072 DNI983072 DXE983072 EHA983072 EQW983072 FAS983072 FKO983072 FUK983072 GEG983072 GOC983072 GXY983072 HHU983072 HRQ983072 IBM983072 ILI983072 IVE983072 JFA983072 JOW983072 JYS983072 KIO983072 KSK983072 LCG983072 LMC983072 LVY983072 MFU983072 MPQ983072 MZM983072 NJI983072 NTE983072 ODA983072 OMW983072 OWS983072 PGO983072 PQK983072 QAG983072 QKC983072 QTY983072 RDU983072 RNQ983072 RXM983072 SHI983072 SRE983072 TBA983072 TKW983072 TUS983072 UEO983072 UOK983072 UYG983072 VIC983072 VRY983072 WBU983072 WLQ983072 WVM983072" xr:uid="{00000000-0002-0000-0700-000001000000}">
      <formula1>"15,20,25,30"</formula1>
    </dataValidation>
    <dataValidation type="list" allowBlank="1" showInputMessage="1" showErrorMessage="1" sqref="E41 JA41 SW41 ACS41 AMO41 AWK41 BGG41 BQC41 BZY41 CJU41 CTQ41 DDM41 DNI41 DXE41 EHA41 EQW41 FAS41 FKO41 FUK41 GEG41 GOC41 GXY41 HHU41 HRQ41 IBM41 ILI41 IVE41 JFA41 JOW41 JYS41 KIO41 KSK41 LCG41 LMC41 LVY41 MFU41 MPQ41 MZM41 NJI41 NTE41 ODA41 OMW41 OWS41 PGO41 PQK41 QAG41 QKC41 QTY41 RDU41 RNQ41 RXM41 SHI41 SRE41 TBA41 TKW41 TUS41 UEO41 UOK41 UYG41 VIC41 VRY41 WBU41 WLQ41 WVM41 E65569 JA65569 SW65569 ACS65569 AMO65569 AWK65569 BGG65569 BQC65569 BZY65569 CJU65569 CTQ65569 DDM65569 DNI65569 DXE65569 EHA65569 EQW65569 FAS65569 FKO65569 FUK65569 GEG65569 GOC65569 GXY65569 HHU65569 HRQ65569 IBM65569 ILI65569 IVE65569 JFA65569 JOW65569 JYS65569 KIO65569 KSK65569 LCG65569 LMC65569 LVY65569 MFU65569 MPQ65569 MZM65569 NJI65569 NTE65569 ODA65569 OMW65569 OWS65569 PGO65569 PQK65569 QAG65569 QKC65569 QTY65569 RDU65569 RNQ65569 RXM65569 SHI65569 SRE65569 TBA65569 TKW65569 TUS65569 UEO65569 UOK65569 UYG65569 VIC65569 VRY65569 WBU65569 WLQ65569 WVM65569 E131105 JA131105 SW131105 ACS131105 AMO131105 AWK131105 BGG131105 BQC131105 BZY131105 CJU131105 CTQ131105 DDM131105 DNI131105 DXE131105 EHA131105 EQW131105 FAS131105 FKO131105 FUK131105 GEG131105 GOC131105 GXY131105 HHU131105 HRQ131105 IBM131105 ILI131105 IVE131105 JFA131105 JOW131105 JYS131105 KIO131105 KSK131105 LCG131105 LMC131105 LVY131105 MFU131105 MPQ131105 MZM131105 NJI131105 NTE131105 ODA131105 OMW131105 OWS131105 PGO131105 PQK131105 QAG131105 QKC131105 QTY131105 RDU131105 RNQ131105 RXM131105 SHI131105 SRE131105 TBA131105 TKW131105 TUS131105 UEO131105 UOK131105 UYG131105 VIC131105 VRY131105 WBU131105 WLQ131105 WVM131105 E196641 JA196641 SW196641 ACS196641 AMO196641 AWK196641 BGG196641 BQC196641 BZY196641 CJU196641 CTQ196641 DDM196641 DNI196641 DXE196641 EHA196641 EQW196641 FAS196641 FKO196641 FUK196641 GEG196641 GOC196641 GXY196641 HHU196641 HRQ196641 IBM196641 ILI196641 IVE196641 JFA196641 JOW196641 JYS196641 KIO196641 KSK196641 LCG196641 LMC196641 LVY196641 MFU196641 MPQ196641 MZM196641 NJI196641 NTE196641 ODA196641 OMW196641 OWS196641 PGO196641 PQK196641 QAG196641 QKC196641 QTY196641 RDU196641 RNQ196641 RXM196641 SHI196641 SRE196641 TBA196641 TKW196641 TUS196641 UEO196641 UOK196641 UYG196641 VIC196641 VRY196641 WBU196641 WLQ196641 WVM196641 E262177 JA262177 SW262177 ACS262177 AMO262177 AWK262177 BGG262177 BQC262177 BZY262177 CJU262177 CTQ262177 DDM262177 DNI262177 DXE262177 EHA262177 EQW262177 FAS262177 FKO262177 FUK262177 GEG262177 GOC262177 GXY262177 HHU262177 HRQ262177 IBM262177 ILI262177 IVE262177 JFA262177 JOW262177 JYS262177 KIO262177 KSK262177 LCG262177 LMC262177 LVY262177 MFU262177 MPQ262177 MZM262177 NJI262177 NTE262177 ODA262177 OMW262177 OWS262177 PGO262177 PQK262177 QAG262177 QKC262177 QTY262177 RDU262177 RNQ262177 RXM262177 SHI262177 SRE262177 TBA262177 TKW262177 TUS262177 UEO262177 UOK262177 UYG262177 VIC262177 VRY262177 WBU262177 WLQ262177 WVM262177 E327713 JA327713 SW327713 ACS327713 AMO327713 AWK327713 BGG327713 BQC327713 BZY327713 CJU327713 CTQ327713 DDM327713 DNI327713 DXE327713 EHA327713 EQW327713 FAS327713 FKO327713 FUK327713 GEG327713 GOC327713 GXY327713 HHU327713 HRQ327713 IBM327713 ILI327713 IVE327713 JFA327713 JOW327713 JYS327713 KIO327713 KSK327713 LCG327713 LMC327713 LVY327713 MFU327713 MPQ327713 MZM327713 NJI327713 NTE327713 ODA327713 OMW327713 OWS327713 PGO327713 PQK327713 QAG327713 QKC327713 QTY327713 RDU327713 RNQ327713 RXM327713 SHI327713 SRE327713 TBA327713 TKW327713 TUS327713 UEO327713 UOK327713 UYG327713 VIC327713 VRY327713 WBU327713 WLQ327713 WVM327713 E393249 JA393249 SW393249 ACS393249 AMO393249 AWK393249 BGG393249 BQC393249 BZY393249 CJU393249 CTQ393249 DDM393249 DNI393249 DXE393249 EHA393249 EQW393249 FAS393249 FKO393249 FUK393249 GEG393249 GOC393249 GXY393249 HHU393249 HRQ393249 IBM393249 ILI393249 IVE393249 JFA393249 JOW393249 JYS393249 KIO393249 KSK393249 LCG393249 LMC393249 LVY393249 MFU393249 MPQ393249 MZM393249 NJI393249 NTE393249 ODA393249 OMW393249 OWS393249 PGO393249 PQK393249 QAG393249 QKC393249 QTY393249 RDU393249 RNQ393249 RXM393249 SHI393249 SRE393249 TBA393249 TKW393249 TUS393249 UEO393249 UOK393249 UYG393249 VIC393249 VRY393249 WBU393249 WLQ393249 WVM393249 E458785 JA458785 SW458785 ACS458785 AMO458785 AWK458785 BGG458785 BQC458785 BZY458785 CJU458785 CTQ458785 DDM458785 DNI458785 DXE458785 EHA458785 EQW458785 FAS458785 FKO458785 FUK458785 GEG458785 GOC458785 GXY458785 HHU458785 HRQ458785 IBM458785 ILI458785 IVE458785 JFA458785 JOW458785 JYS458785 KIO458785 KSK458785 LCG458785 LMC458785 LVY458785 MFU458785 MPQ458785 MZM458785 NJI458785 NTE458785 ODA458785 OMW458785 OWS458785 PGO458785 PQK458785 QAG458785 QKC458785 QTY458785 RDU458785 RNQ458785 RXM458785 SHI458785 SRE458785 TBA458785 TKW458785 TUS458785 UEO458785 UOK458785 UYG458785 VIC458785 VRY458785 WBU458785 WLQ458785 WVM458785 E524321 JA524321 SW524321 ACS524321 AMO524321 AWK524321 BGG524321 BQC524321 BZY524321 CJU524321 CTQ524321 DDM524321 DNI524321 DXE524321 EHA524321 EQW524321 FAS524321 FKO524321 FUK524321 GEG524321 GOC524321 GXY524321 HHU524321 HRQ524321 IBM524321 ILI524321 IVE524321 JFA524321 JOW524321 JYS524321 KIO524321 KSK524321 LCG524321 LMC524321 LVY524321 MFU524321 MPQ524321 MZM524321 NJI524321 NTE524321 ODA524321 OMW524321 OWS524321 PGO524321 PQK524321 QAG524321 QKC524321 QTY524321 RDU524321 RNQ524321 RXM524321 SHI524321 SRE524321 TBA524321 TKW524321 TUS524321 UEO524321 UOK524321 UYG524321 VIC524321 VRY524321 WBU524321 WLQ524321 WVM524321 E589857 JA589857 SW589857 ACS589857 AMO589857 AWK589857 BGG589857 BQC589857 BZY589857 CJU589857 CTQ589857 DDM589857 DNI589857 DXE589857 EHA589857 EQW589857 FAS589857 FKO589857 FUK589857 GEG589857 GOC589857 GXY589857 HHU589857 HRQ589857 IBM589857 ILI589857 IVE589857 JFA589857 JOW589857 JYS589857 KIO589857 KSK589857 LCG589857 LMC589857 LVY589857 MFU589857 MPQ589857 MZM589857 NJI589857 NTE589857 ODA589857 OMW589857 OWS589857 PGO589857 PQK589857 QAG589857 QKC589857 QTY589857 RDU589857 RNQ589857 RXM589857 SHI589857 SRE589857 TBA589857 TKW589857 TUS589857 UEO589857 UOK589857 UYG589857 VIC589857 VRY589857 WBU589857 WLQ589857 WVM589857 E655393 JA655393 SW655393 ACS655393 AMO655393 AWK655393 BGG655393 BQC655393 BZY655393 CJU655393 CTQ655393 DDM655393 DNI655393 DXE655393 EHA655393 EQW655393 FAS655393 FKO655393 FUK655393 GEG655393 GOC655393 GXY655393 HHU655393 HRQ655393 IBM655393 ILI655393 IVE655393 JFA655393 JOW655393 JYS655393 KIO655393 KSK655393 LCG655393 LMC655393 LVY655393 MFU655393 MPQ655393 MZM655393 NJI655393 NTE655393 ODA655393 OMW655393 OWS655393 PGO655393 PQK655393 QAG655393 QKC655393 QTY655393 RDU655393 RNQ655393 RXM655393 SHI655393 SRE655393 TBA655393 TKW655393 TUS655393 UEO655393 UOK655393 UYG655393 VIC655393 VRY655393 WBU655393 WLQ655393 WVM655393 E720929 JA720929 SW720929 ACS720929 AMO720929 AWK720929 BGG720929 BQC720929 BZY720929 CJU720929 CTQ720929 DDM720929 DNI720929 DXE720929 EHA720929 EQW720929 FAS720929 FKO720929 FUK720929 GEG720929 GOC720929 GXY720929 HHU720929 HRQ720929 IBM720929 ILI720929 IVE720929 JFA720929 JOW720929 JYS720929 KIO720929 KSK720929 LCG720929 LMC720929 LVY720929 MFU720929 MPQ720929 MZM720929 NJI720929 NTE720929 ODA720929 OMW720929 OWS720929 PGO720929 PQK720929 QAG720929 QKC720929 QTY720929 RDU720929 RNQ720929 RXM720929 SHI720929 SRE720929 TBA720929 TKW720929 TUS720929 UEO720929 UOK720929 UYG720929 VIC720929 VRY720929 WBU720929 WLQ720929 WVM720929 E786465 JA786465 SW786465 ACS786465 AMO786465 AWK786465 BGG786465 BQC786465 BZY786465 CJU786465 CTQ786465 DDM786465 DNI786465 DXE786465 EHA786465 EQW786465 FAS786465 FKO786465 FUK786465 GEG786465 GOC786465 GXY786465 HHU786465 HRQ786465 IBM786465 ILI786465 IVE786465 JFA786465 JOW786465 JYS786465 KIO786465 KSK786465 LCG786465 LMC786465 LVY786465 MFU786465 MPQ786465 MZM786465 NJI786465 NTE786465 ODA786465 OMW786465 OWS786465 PGO786465 PQK786465 QAG786465 QKC786465 QTY786465 RDU786465 RNQ786465 RXM786465 SHI786465 SRE786465 TBA786465 TKW786465 TUS786465 UEO786465 UOK786465 UYG786465 VIC786465 VRY786465 WBU786465 WLQ786465 WVM786465 E852001 JA852001 SW852001 ACS852001 AMO852001 AWK852001 BGG852001 BQC852001 BZY852001 CJU852001 CTQ852001 DDM852001 DNI852001 DXE852001 EHA852001 EQW852001 FAS852001 FKO852001 FUK852001 GEG852001 GOC852001 GXY852001 HHU852001 HRQ852001 IBM852001 ILI852001 IVE852001 JFA852001 JOW852001 JYS852001 KIO852001 KSK852001 LCG852001 LMC852001 LVY852001 MFU852001 MPQ852001 MZM852001 NJI852001 NTE852001 ODA852001 OMW852001 OWS852001 PGO852001 PQK852001 QAG852001 QKC852001 QTY852001 RDU852001 RNQ852001 RXM852001 SHI852001 SRE852001 TBA852001 TKW852001 TUS852001 UEO852001 UOK852001 UYG852001 VIC852001 VRY852001 WBU852001 WLQ852001 WVM852001 E917537 JA917537 SW917537 ACS917537 AMO917537 AWK917537 BGG917537 BQC917537 BZY917537 CJU917537 CTQ917537 DDM917537 DNI917537 DXE917537 EHA917537 EQW917537 FAS917537 FKO917537 FUK917537 GEG917537 GOC917537 GXY917537 HHU917537 HRQ917537 IBM917537 ILI917537 IVE917537 JFA917537 JOW917537 JYS917537 KIO917537 KSK917537 LCG917537 LMC917537 LVY917537 MFU917537 MPQ917537 MZM917537 NJI917537 NTE917537 ODA917537 OMW917537 OWS917537 PGO917537 PQK917537 QAG917537 QKC917537 QTY917537 RDU917537 RNQ917537 RXM917537 SHI917537 SRE917537 TBA917537 TKW917537 TUS917537 UEO917537 UOK917537 UYG917537 VIC917537 VRY917537 WBU917537 WLQ917537 WVM917537 E983073 JA983073 SW983073 ACS983073 AMO983073 AWK983073 BGG983073 BQC983073 BZY983073 CJU983073 CTQ983073 DDM983073 DNI983073 DXE983073 EHA983073 EQW983073 FAS983073 FKO983073 FUK983073 GEG983073 GOC983073 GXY983073 HHU983073 HRQ983073 IBM983073 ILI983073 IVE983073 JFA983073 JOW983073 JYS983073 KIO983073 KSK983073 LCG983073 LMC983073 LVY983073 MFU983073 MPQ983073 MZM983073 NJI983073 NTE983073 ODA983073 OMW983073 OWS983073 PGO983073 PQK983073 QAG983073 QKC983073 QTY983073 RDU983073 RNQ983073 RXM983073 SHI983073 SRE983073 TBA983073 TKW983073 TUS983073 UEO983073 UOK983073 UYG983073 VIC983073 VRY983073 WBU983073 WLQ983073 WVM983073" xr:uid="{00000000-0002-0000-0700-000002000000}">
      <formula1>"250,415,500"</formula1>
    </dataValidation>
  </dataValidations>
  <pageMargins left="0.75" right="0.75" top="1" bottom="1" header="0.5" footer="0.5"/>
  <pageSetup paperSize="9" scale="86" fitToWidth="0" orientation="portrait" r:id="rId1"/>
  <headerFooter alignWithMargins="0">
    <oddHeader xml:space="preserve">&amp;R4.3 Foundation Design </oddHeader>
  </headerFooter>
  <rowBreaks count="1" manualBreakCount="1">
    <brk id="59" min="1" max="7"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Slab</vt:lpstr>
      <vt:lpstr>Table (2)</vt:lpstr>
      <vt:lpstr>Ramp</vt:lpstr>
      <vt:lpstr>STAIR</vt:lpstr>
      <vt:lpstr>Foundation_Design</vt:lpstr>
      <vt:lpstr>Isolated Footing F1</vt:lpstr>
      <vt:lpstr>Foundation_Design!Print_Area</vt:lpstr>
      <vt:lpstr>'Isolated Footing F1'!Print_Area</vt:lpstr>
      <vt:lpstr>Ramp!Print_Area</vt:lpstr>
      <vt:lpstr>Slab!Print_Area</vt:lpstr>
      <vt:lpstr>STAIR!Print_Area</vt:lpstr>
      <vt:lpstr>'Table (2)'!Print_Area</vt:lpstr>
    </vt:vector>
  </TitlesOfParts>
  <Company>DFORUM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SATYA</dc:creator>
  <cp:lastModifiedBy>Nishan Thapa</cp:lastModifiedBy>
  <cp:lastPrinted>2020-03-29T09:36:46Z</cp:lastPrinted>
  <dcterms:created xsi:type="dcterms:W3CDTF">2005-11-17T22:07:55Z</dcterms:created>
  <dcterms:modified xsi:type="dcterms:W3CDTF">2023-03-08T04:55:46Z</dcterms:modified>
</cp:coreProperties>
</file>