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imtan\Desktop\Supply_chain\Supply_chain_Management\Excel\Ski_company\"/>
    </mc:Choice>
  </mc:AlternateContent>
  <xr:revisionPtr revIDLastSave="0" documentId="13_ncr:1_{2F3F9562-2DD8-461F-B501-553F0F7B35B3}" xr6:coauthVersionLast="47" xr6:coauthVersionMax="47" xr10:uidLastSave="{00000000-0000-0000-0000-000000000000}"/>
  <bookViews>
    <workbookView xWindow="-110" yWindow="-110" windowWidth="19420" windowHeight="10300" xr2:uid="{886A6A61-4BE5-4D49-8F64-F03F315B8F21}"/>
  </bookViews>
  <sheets>
    <sheet name="Final_Forecast" sheetId="7" r:id="rId1"/>
    <sheet name="Country_selection_total_cost" sheetId="8" r:id="rId2"/>
    <sheet name="Style_country_total_cost" sheetId="9" r:id="rId3"/>
    <sheet name="Exhibit 6" sheetId="2" r:id="rId4"/>
    <sheet name="Women_parka_cost" sheetId="3" r:id="rId5"/>
    <sheet name="Exhibit 8" sheetId="4" r:id="rId6"/>
    <sheet name="Cost_hong_kong" sheetId="5" r:id="rId7"/>
    <sheet name="Cost_china" sheetId="6" r:id="rId8"/>
    <sheet name="Ignore_this_professor"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9" l="1"/>
  <c r="E16" i="9"/>
  <c r="G4" i="9"/>
  <c r="G6" i="8"/>
  <c r="V5" i="7"/>
  <c r="J11" i="9"/>
  <c r="J4" i="9"/>
  <c r="L9" i="8"/>
  <c r="L8" i="8"/>
  <c r="L7" i="8"/>
  <c r="F22" i="10"/>
  <c r="E22" i="10"/>
  <c r="H10" i="10"/>
  <c r="D22" i="10"/>
  <c r="H8" i="10"/>
  <c r="F24" i="10"/>
  <c r="H15" i="10"/>
  <c r="E15" i="10"/>
  <c r="J15" i="10" s="1"/>
  <c r="H7" i="10"/>
  <c r="E7" i="10"/>
  <c r="J7" i="10" s="1"/>
  <c r="J7" i="9"/>
  <c r="J9" i="9"/>
  <c r="J10" i="9"/>
  <c r="J12" i="9"/>
  <c r="J13" i="9"/>
  <c r="I5" i="9"/>
  <c r="I6" i="9"/>
  <c r="I7" i="9"/>
  <c r="I8" i="9"/>
  <c r="I9" i="9"/>
  <c r="I10" i="9"/>
  <c r="I11" i="9"/>
  <c r="I12" i="9"/>
  <c r="I13" i="9"/>
  <c r="I4" i="9"/>
  <c r="G5" i="9"/>
  <c r="G6" i="9"/>
  <c r="G7" i="9"/>
  <c r="G8" i="9"/>
  <c r="J8" i="9" s="1"/>
  <c r="G9" i="9"/>
  <c r="G10" i="9"/>
  <c r="G11" i="9"/>
  <c r="G12" i="9"/>
  <c r="G13" i="9"/>
  <c r="L10" i="8"/>
  <c r="L11" i="8"/>
  <c r="L12" i="8"/>
  <c r="L13" i="8"/>
  <c r="L14" i="8"/>
  <c r="L15" i="8"/>
  <c r="L6" i="8"/>
  <c r="K7" i="8"/>
  <c r="K8" i="8"/>
  <c r="K9" i="8"/>
  <c r="K10" i="8"/>
  <c r="K11" i="8"/>
  <c r="K12" i="8"/>
  <c r="K13" i="8"/>
  <c r="K14" i="8"/>
  <c r="K15" i="8"/>
  <c r="K6" i="8"/>
  <c r="G7" i="8"/>
  <c r="G8" i="8"/>
  <c r="G9" i="8"/>
  <c r="H9" i="8" s="1"/>
  <c r="J9" i="8" s="1"/>
  <c r="G10" i="8"/>
  <c r="H10" i="8" s="1"/>
  <c r="J10" i="8" s="1"/>
  <c r="G11" i="8"/>
  <c r="H11" i="8" s="1"/>
  <c r="J11" i="8" s="1"/>
  <c r="G12" i="8"/>
  <c r="G13" i="8"/>
  <c r="H13" i="8" s="1"/>
  <c r="G14" i="8"/>
  <c r="G15" i="8"/>
  <c r="H15" i="8" s="1"/>
  <c r="I15" i="8" s="1"/>
  <c r="H6" i="8"/>
  <c r="I6" i="8" s="1"/>
  <c r="H16" i="8" l="1"/>
  <c r="J6" i="9"/>
  <c r="J5" i="9"/>
  <c r="J14" i="9" s="1"/>
  <c r="L16" i="8"/>
  <c r="K16" i="8"/>
  <c r="D20" i="8" s="1"/>
  <c r="I11" i="8"/>
  <c r="I10" i="8"/>
  <c r="I9" i="8"/>
  <c r="I13" i="8"/>
  <c r="J13" i="8"/>
  <c r="H14" i="8"/>
  <c r="J14" i="8" s="1"/>
  <c r="J15" i="8"/>
  <c r="H12" i="8"/>
  <c r="I12" i="8" s="1"/>
  <c r="H8" i="8"/>
  <c r="I8" i="8" s="1"/>
  <c r="H7" i="8"/>
  <c r="I7" i="8" s="1"/>
  <c r="J6" i="8"/>
  <c r="H18" i="10"/>
  <c r="E8" i="10"/>
  <c r="E18" i="10"/>
  <c r="O6" i="7"/>
  <c r="O7" i="7"/>
  <c r="O8" i="7"/>
  <c r="O9" i="7"/>
  <c r="O10" i="7"/>
  <c r="O11" i="7"/>
  <c r="O12" i="7"/>
  <c r="O13" i="7"/>
  <c r="O14" i="7"/>
  <c r="O5" i="7"/>
  <c r="N6" i="7"/>
  <c r="N7" i="7"/>
  <c r="N8" i="7"/>
  <c r="N9" i="7"/>
  <c r="N10" i="7"/>
  <c r="N11" i="7"/>
  <c r="N12" i="7"/>
  <c r="N13" i="7"/>
  <c r="N14" i="7"/>
  <c r="N5" i="7"/>
  <c r="L5" i="7"/>
  <c r="L6" i="7"/>
  <c r="L7" i="7"/>
  <c r="L8" i="7"/>
  <c r="L9" i="7"/>
  <c r="L10" i="7"/>
  <c r="L11" i="7"/>
  <c r="L12" i="7"/>
  <c r="L13" i="7"/>
  <c r="L14" i="7"/>
  <c r="P6" i="7" l="1"/>
  <c r="Q6" i="7" s="1"/>
  <c r="R6" i="7" s="1"/>
  <c r="I14" i="8"/>
  <c r="I16" i="8" s="1"/>
  <c r="J12" i="8"/>
  <c r="J8" i="8"/>
  <c r="J7" i="8"/>
  <c r="J16" i="8" s="1"/>
  <c r="M8" i="7"/>
  <c r="M7" i="7"/>
  <c r="M6" i="7"/>
  <c r="M9" i="7"/>
  <c r="S9" i="7" s="1"/>
  <c r="P7" i="7"/>
  <c r="Q7" i="7" s="1"/>
  <c r="R7" i="7" s="1"/>
  <c r="S7" i="7" s="1"/>
  <c r="M10" i="7"/>
  <c r="M13" i="7"/>
  <c r="S13" i="7"/>
  <c r="M12" i="7"/>
  <c r="M11" i="7"/>
  <c r="M5" i="7"/>
  <c r="M14" i="7"/>
  <c r="P14" i="7"/>
  <c r="Q14" i="7" s="1"/>
  <c r="R14" i="7" s="1"/>
  <c r="P12" i="7"/>
  <c r="Q12" i="7" s="1"/>
  <c r="R12" i="7" s="1"/>
  <c r="S12" i="7" s="1"/>
  <c r="P11" i="7"/>
  <c r="Q11" i="7" s="1"/>
  <c r="R11" i="7" s="1"/>
  <c r="P10" i="7"/>
  <c r="Q10" i="7" s="1"/>
  <c r="R10" i="7" s="1"/>
  <c r="S10" i="7" s="1"/>
  <c r="P5" i="7"/>
  <c r="Q5" i="7" s="1"/>
  <c r="R5" i="7" s="1"/>
  <c r="P13" i="7"/>
  <c r="Q13" i="7" s="1"/>
  <c r="R13" i="7" s="1"/>
  <c r="P9" i="7"/>
  <c r="Q9" i="7" s="1"/>
  <c r="R9" i="7" s="1"/>
  <c r="P8" i="7"/>
  <c r="Q8" i="7" s="1"/>
  <c r="R8" i="7" s="1"/>
  <c r="S8" i="7" s="1"/>
  <c r="S6" i="7" l="1"/>
  <c r="E18" i="9"/>
  <c r="D19" i="8"/>
  <c r="F19" i="8" s="1"/>
  <c r="E19" i="9"/>
  <c r="S11" i="7"/>
  <c r="S14" i="7"/>
  <c r="M15" i="7"/>
  <c r="R15" i="7"/>
  <c r="S5" i="7"/>
  <c r="S15" i="7" l="1"/>
  <c r="T6" i="7"/>
  <c r="T9" i="7"/>
  <c r="V9" i="7" s="1"/>
  <c r="T10" i="7"/>
  <c r="T11" i="7"/>
  <c r="V11" i="7" s="1"/>
  <c r="T13" i="7"/>
  <c r="V13" i="7" s="1"/>
  <c r="T14" i="7"/>
  <c r="V14" i="7" s="1"/>
  <c r="T12" i="7"/>
  <c r="U10" i="7" l="1"/>
  <c r="V10" i="7"/>
  <c r="V6" i="7"/>
  <c r="U6" i="7"/>
  <c r="T7" i="7"/>
  <c r="T5" i="7"/>
  <c r="T8" i="7"/>
  <c r="U12" i="7"/>
  <c r="V12" i="7"/>
  <c r="U14" i="7"/>
  <c r="U13" i="7"/>
  <c r="U11" i="7"/>
  <c r="U9" i="7"/>
  <c r="V8" i="7" l="1"/>
  <c r="U8" i="7"/>
  <c r="U5" i="7"/>
  <c r="V7" i="7"/>
  <c r="U7" i="7"/>
  <c r="V15" i="7" l="1"/>
  <c r="U15" i="7"/>
  <c r="W8" i="7" l="1"/>
  <c r="X8" i="7" s="1"/>
  <c r="W6" i="7"/>
  <c r="X6" i="7" s="1"/>
  <c r="W7" i="7"/>
  <c r="X7" i="7" s="1"/>
  <c r="W9" i="7"/>
  <c r="X9" i="7" s="1"/>
  <c r="W10" i="7"/>
  <c r="X10" i="7" s="1"/>
  <c r="W11" i="7"/>
  <c r="X11" i="7" s="1"/>
  <c r="W13" i="7"/>
  <c r="X13" i="7" s="1"/>
  <c r="W12" i="7"/>
  <c r="X12" i="7" s="1"/>
  <c r="W5" i="7"/>
  <c r="X5" i="7" s="1"/>
  <c r="W14" i="7"/>
  <c r="X14" i="7" s="1"/>
  <c r="X15" i="7" l="1"/>
  <c r="Y13" i="7" l="1"/>
  <c r="Z13" i="7" s="1"/>
  <c r="Y14" i="7"/>
  <c r="Z14" i="7" s="1"/>
  <c r="Y5" i="7"/>
  <c r="Z5" i="7" s="1"/>
  <c r="Y6" i="7"/>
  <c r="Z6" i="7" s="1"/>
  <c r="Y7" i="7"/>
  <c r="Z7" i="7" s="1"/>
  <c r="Y8" i="7"/>
  <c r="Z8" i="7" s="1"/>
  <c r="Y9" i="7"/>
  <c r="Z9" i="7" s="1"/>
  <c r="Y10" i="7"/>
  <c r="Z10" i="7" s="1"/>
  <c r="Y12" i="7"/>
  <c r="Z12" i="7" s="1"/>
  <c r="Y11" i="7"/>
  <c r="Z11" i="7" s="1"/>
  <c r="Z15" i="7" l="1"/>
  <c r="AA14" i="7" l="1"/>
  <c r="AB14" i="7" s="1"/>
  <c r="AA5" i="7"/>
  <c r="AB5" i="7" s="1"/>
  <c r="AA10" i="7"/>
  <c r="AB10" i="7" s="1"/>
  <c r="AA6" i="7"/>
  <c r="AB6" i="7" s="1"/>
  <c r="AA7" i="7"/>
  <c r="AB7" i="7" s="1"/>
  <c r="AA8" i="7"/>
  <c r="AB8" i="7" s="1"/>
  <c r="AA9" i="7"/>
  <c r="AB9" i="7" s="1"/>
  <c r="AA11" i="7"/>
  <c r="AB11" i="7" s="1"/>
  <c r="AA12" i="7"/>
  <c r="AB12" i="7" s="1"/>
  <c r="AA13" i="7"/>
  <c r="AB13" i="7" s="1"/>
  <c r="AB15" i="7" l="1"/>
  <c r="AC10" i="7" l="1"/>
  <c r="AD10" i="7" s="1"/>
  <c r="AC11" i="7"/>
  <c r="AD11" i="7" s="1"/>
  <c r="AC13" i="7"/>
  <c r="AD13" i="7" s="1"/>
  <c r="AC14" i="7"/>
  <c r="AD14" i="7" s="1"/>
  <c r="AC5" i="7"/>
  <c r="AD5" i="7" s="1"/>
  <c r="AC6" i="7"/>
  <c r="AD6" i="7" s="1"/>
  <c r="AC7" i="7"/>
  <c r="AD7" i="7" s="1"/>
  <c r="AC8" i="7"/>
  <c r="AD8" i="7" s="1"/>
  <c r="AC9" i="7"/>
  <c r="AD9" i="7" s="1"/>
  <c r="AC12" i="7"/>
  <c r="AD12" i="7" s="1"/>
  <c r="AD15" i="7" l="1"/>
  <c r="AE7" i="7" l="1"/>
  <c r="AF7" i="7" s="1"/>
  <c r="AE8" i="7"/>
  <c r="AF8" i="7" s="1"/>
  <c r="AE9" i="7"/>
  <c r="AF9" i="7" s="1"/>
  <c r="AE10" i="7"/>
  <c r="AF10" i="7" s="1"/>
  <c r="AE11" i="7"/>
  <c r="AF11" i="7" s="1"/>
  <c r="AE12" i="7"/>
  <c r="AF12" i="7" s="1"/>
  <c r="AE14" i="7"/>
  <c r="AF14" i="7" s="1"/>
  <c r="AE5" i="7"/>
  <c r="AF5" i="7" s="1"/>
  <c r="AE13" i="7"/>
  <c r="AF13" i="7" s="1"/>
  <c r="AE6" i="7"/>
  <c r="AF6" i="7" s="1"/>
  <c r="AF1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tc={DC104DB1-DFF3-4D14-BEC7-5EF5182BA733}</author>
    <author>tc={802D188D-82B2-4E23-ACE2-F1BF4C89A447}</author>
    <author>tc={DA91C6C2-FF70-4D23-87AF-B4C286B11217}</author>
    <author>tc={C8D9E4E8-D04C-4159-8986-16774DCD9E99}</author>
    <author>tc={E147409D-A911-491B-B0FB-7437E8618BDF}</author>
    <author>tc={077F98D2-36D1-4AB0-B499-4EAFC56FB401}</author>
    <author>tc={44AE60B8-763B-416B-AB8B-E169067A4F18}</author>
    <author>tc={A59D2997-1FD3-442D-A4AC-E90B3027BAC4}</author>
    <author>tc={26F6EDA5-FC59-4A50-BABB-68E82B027F42}</author>
  </authors>
  <commentList>
    <comment ref="N3" authorId="0" shapeId="0" xr:uid="{DC104DB1-DFF3-4D14-BEC7-5EF5182BA733}">
      <text>
        <t>[Threaded comment]
Your version of Excel allows you to read this threaded comment; however, any edits to it will get removed if the file is opened in a newer version of Excel. Learn more: https://go.microsoft.com/fwlink/?linkid=870924
Comment:
    Newsvendor model: taught by professor Anh</t>
      </text>
    </comment>
    <comment ref="S3" authorId="1" shapeId="0" xr:uid="{802D188D-82B2-4E23-ACE2-F1BF4C89A447}">
      <text>
        <t xml:space="preserve">[Threaded comment]
Your version of Excel allows you to read this threaded comment; however, any edits to it will get removed if the file is opened in a newer version of Excel. Learn more: https://go.microsoft.com/fwlink/?linkid=870924
Comment:
    RISK ASSESMENT WITH FORECAST
Logic: 
For low COV styles (where I’m confident in the forecast), I will rely on the Newsvendor model (to take risk) to determine my production quantities.
For high COV styles, I will use the more conservative COV based approach (low risk) to avoid overproduction and reduce the risk of excess inventory.
</t>
      </text>
    </comment>
    <comment ref="T3" authorId="2" shapeId="0" xr:uid="{DA91C6C2-FF70-4D23-87AF-B4C286B11217}">
      <text>
        <t>[Threaded comment]
Your version of Excel allows you to read this threaded comment; however, any edits to it will get removed if the file is opened in a newer version of Excel. Learn more: https://go.microsoft.com/fwlink/?linkid=870924
Comment:
    scaling factor approach I used because now I have to reduce the production to 10,000 from 19,627</t>
      </text>
    </comment>
    <comment ref="U3" authorId="3" shapeId="0" xr:uid="{C8D9E4E8-D04C-4159-8986-16774DCD9E99}">
      <text>
        <t>[Threaded comment]
Your version of Excel allows you to read this threaded comment; however, any edits to it will get removed if the file is opened in a newer version of Excel. Learn more: https://go.microsoft.com/fwlink/?linkid=870924
Comment:
    Forecasting done by using Scaling Factor and Coefficient of Variation ONLY</t>
      </text>
    </comment>
    <comment ref="V3" authorId="4" shapeId="0" xr:uid="{E147409D-A911-491B-B0FB-7437E8618BDF}">
      <text>
        <t>[Threaded comment]
Your version of Excel allows you to read this threaded comment; however, any edits to it will get removed if the file is opened in a newer version of Excel. Learn more: https://go.microsoft.com/fwlink/?linkid=870924
Comment:
    RISK ASSESMENT WITH FORECAST (MOQ)
Logic: 
For low COV styles (where I’m confident in the forecast), I will rely on the Newsvendor model (to take risk)and multiply it with Scaling factor to determine my production quantities in MOQ.
For high COV styles, I will use the more conservative COV based approach (low risk) and multiple it with SCALING FACTOR  with usage of MAX function (MOQ 600) to avoid overproduction and reduce the risk of excess inventory.
I will keep on multiplying it with new SCALING FACTOR until I get total production 10,000 units.</t>
      </text>
    </comment>
    <comment ref="L4" authorId="5" shapeId="0" xr:uid="{077F98D2-36D1-4AB0-B499-4EAFC56FB401}">
      <text>
        <t>[Threaded comment]
Your version of Excel allows you to read this threaded comment; however, any edits to it will get removed if the file is opened in a newer version of Excel. Learn more: https://go.microsoft.com/fwlink/?linkid=870924
Comment:
    Logic: If my coefficient of variance is 0.2 or less I am sure about my forecasting. For more than that I will produce less</t>
      </text>
    </comment>
    <comment ref="M4" authorId="6" shapeId="0" xr:uid="{44AE60B8-763B-416B-AB8B-E169067A4F18}">
      <text>
        <t xml:space="preserve">[Threaded comment]
Your version of Excel allows you to read this threaded comment; however, any edits to it will get removed if the file is opened in a newer version of Excel. Learn more: https://go.microsoft.com/fwlink/?linkid=870924
Comment:
    For products with a low CV (≤ 0.2), my strategy of producing 100% of the forecasted amount makes sense because these forecasts are more reliable.
For products with a moderate CV (0.2 &lt; CV ≤ 0.3), I will produce only 90% of the forecast as a prudent way to hedge against the risk of overproduction.
For high-uncertainty forecasts (CV &gt; 0.3), I plan to produce only 80% of the forecasted amount as a conservative approach to avoid excess inventory, which could lead to markdowns and losses.
</t>
      </text>
    </comment>
    <comment ref="N4" authorId="7" shapeId="0" xr:uid="{A59D2997-1FD3-442D-A4AC-E90B3027BAC4}">
      <text>
        <t>[Threaded comment]
Your version of Excel allows you to read this threaded comment; however, any edits to it will get removed if the file is opened in a newer version of Excel. Learn more: https://go.microsoft.com/fwlink/?linkid=870924
Comment:
    Profit margin is 24% (lost profit if you don’t have enough units to meet demand)</t>
      </text>
    </comment>
    <comment ref="O4" authorId="8" shapeId="0" xr:uid="{26F6EDA5-FC59-4A50-BABB-68E82B027F42}">
      <text>
        <t>[Threaded comment]
Your version of Excel allows you to read this threaded comment; however, any edits to it will get removed if the file is opened in a newer version of Excel. Learn more: https://go.microsoft.com/fwlink/?linkid=870924
Comment:
    8% loss of wholesale price. Cost of holding excess inventory (including markdown and losses)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tc={95044C2F-570C-41C8-BF3D-7BC79A9FF0E7}</author>
    <author>tc={D1D85C8A-0058-4EE9-9299-6596F3159B15}</author>
  </authors>
  <commentList>
    <comment ref="B2" authorId="0" shapeId="0" xr:uid="{95044C2F-570C-41C8-BF3D-7BC79A9FF0E7}">
      <text>
        <t xml:space="preserve">[Threaded comment]
Your version of Excel allows you to read this threaded comment; however, any edits to it will get removed if the file is opened in a newer version of Excel. Learn more: https://go.microsoft.com/fwlink/?linkid=870924
Comment:
    Styles with quantities ≥ 1,200 units are produced in China to take advantage of lower costs.
Styles with quantities between 600 and 1,200 units are produced in Hong Kong where the MOQ is lower.
</t>
      </text>
    </comment>
    <comment ref="B3" authorId="1" shapeId="0" xr:uid="{D1D85C8A-0058-4EE9-9299-6596F3159B15}">
      <text>
        <t xml:space="preserve">[Threaded comment]
Your version of Excel allows you to read this threaded comment; however, any edits to it will get removed if the file is opened in a newer version of Excel. Learn more: https://go.microsoft.com/fwlink/?linkid=870924
Comment:
    Produce all styles exclusively in Hong Kong, where the MOQ is lower (600 units per style).
This simplifies logistics, reduces the complexity of managing multiple suppliers, and ensures more consistent quality.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tc={1DEEED4E-DCEB-4E04-A89E-507F6CDEBD9C}</author>
    <author>tc={362E8CD8-E371-4BBB-8DC7-7E7EA1DE16A7}</author>
    <author>tc={BD2B7B89-C1A4-4EFD-A91C-1D26B6629A83}</author>
  </authors>
  <commentList>
    <comment ref="D3" authorId="0" shapeId="0" xr:uid="{1DEEED4E-DCEB-4E04-A89E-507F6CDEBD9C}">
      <text>
        <t xml:space="preserve">[Threaded comment]
Your version of Excel allows you to read this threaded comment; however, any edits to it will get removed if the file is opened in a newer version of Excel. Learn more: https://go.microsoft.com/fwlink/?linkid=870924
Comment:
    Hong Kong
7.8 HK: 1 USD
China
5.7 RMB: 1 USD
Hourly Wage 
(Hong kong) = 30HK
In USD 30HK/ 7.8
7.8 HK : 1 USD
30 HK : X
X= 30/ 7.8 = 3.85 USD/ HR
----------------------
CHINA
Hourly Wage: 0.91 RMB
</t>
      </text>
    </comment>
    <comment ref="E3" authorId="1" shapeId="0" xr:uid="{362E8CD8-E371-4BBB-8DC7-7E7EA1DE16A7}">
      <text>
        <t xml:space="preserve">[Threaded comment]
Your version of Excel allows you to read this threaded comment; however, any edits to it will get removed if the file is opened in a newer version of Excel. Learn more: https://go.microsoft.com/fwlink/?linkid=870924
Comment:
    China
5.7 RMB: 1 USD
Hourly Wage: 0.91 RMB
Hourly wage in USD = 5.7/ 0.91 = 0.16
</t>
      </text>
    </comment>
    <comment ref="F3" authorId="2" shapeId="0" xr:uid="{BD2B7B89-C1A4-4EFD-A91C-1D26B6629A83}">
      <text>
        <t>[Threaded comment]
Your version of Excel allows you to read this threaded comment; however, any edits to it will get removed if the file is opened in a newer version of Excel. Learn more: https://go.microsoft.com/fwlink/?linkid=870924
Comment:
    Given in the case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tc={0D8B7052-35D5-4762-8674-D2570C8D1685}</author>
  </authors>
  <commentList>
    <comment ref="F23" authorId="0" shapeId="0" xr:uid="{0D8B7052-35D5-4762-8674-D2570C8D1685}">
      <text>
        <t xml:space="preserve">[Threaded comment]
Your version of Excel allows you to read this threaded comment; however, any edits to it will get removed if the file is opened in a newer version of Excel. Learn more: https://go.microsoft.com/fwlink/?linkid=870924
Comment:
    Salary needs to pay irrespective of using it or not
</t>
      </text>
    </comment>
  </commentList>
</comments>
</file>

<file path=xl/sharedStrings.xml><?xml version="1.0" encoding="utf-8"?>
<sst xmlns="http://schemas.openxmlformats.org/spreadsheetml/2006/main" count="344" uniqueCount="272">
  <si>
    <r>
      <t xml:space="preserve">Exhibit 6 </t>
    </r>
    <r>
      <rPr>
        <sz val="10"/>
        <rFont val="Arial"/>
        <family val="2"/>
      </rPr>
      <t>Procurement Information for Obermeyer's Parka Components</t>
    </r>
  </si>
  <si>
    <t>Component</t>
  </si>
  <si>
    <t>Variety</t>
  </si>
  <si>
    <t>Country of Origin</t>
  </si>
  <si>
    <t>Procurement Lead Time</t>
  </si>
  <si>
    <t>Minimums</t>
  </si>
  <si>
    <t>Usage per Parka</t>
  </si>
  <si>
    <t>Avg. % of Total Parka Material Cost</t>
  </si>
  <si>
    <t>Greige Shell Fabric</t>
  </si>
  <si>
    <t>Japan, USA, Switzerland, Germany, Austria, Korea, Taiwan</t>
  </si>
  <si>
    <t>45-90 days</t>
  </si>
  <si>
    <t>5,000-10,000 yards</t>
  </si>
  <si>
    <t>Finishing of Shell Fabric</t>
  </si>
  <si>
    <t>8-12 color-prints per fabric</t>
  </si>
  <si>
    <t>Finishing takes place in country of origin (see above)</t>
  </si>
  <si>
    <t>Dyeing or Printing: 45-60 days</t>
  </si>
  <si>
    <t>Finished Lining Fabric</t>
  </si>
  <si>
    <t>Nylon: Korea, Taiwan Fleece: Korea, Taiwan, USA</t>
  </si>
  <si>
    <t>45-60 days</t>
  </si>
  <si>
    <t>600-1,000 yards</t>
  </si>
  <si>
    <t>Insulation</t>
  </si>
  <si>
    <t>3-4 different weights used (from 80-240 grams/meter)</t>
  </si>
  <si>
    <t>Hong Kong, Korea, Taiwan, China</t>
  </si>
  <si>
    <t>2-3 weeks</t>
  </si>
  <si>
    <t>50-100 yards</t>
  </si>
  <si>
    <t>Zippers</t>
  </si>
  <si>
    <t>Hong Kong, Japan</t>
  </si>
  <si>
    <t>500 yards (standard colors) 1000 yards (custom colors)</t>
  </si>
  <si>
    <t>~ 1 yard</t>
  </si>
  <si>
    <t>Thread</t>
  </si>
  <si>
    <t>80 colors</t>
  </si>
  <si>
    <t>Hong Kong</t>
  </si>
  <si>
    <t>30 days</t>
  </si>
  <si>
    <t>5,000 yards</t>
  </si>
  <si>
    <t>2,000-3,000 yards</t>
  </si>
  <si>
    <t>Logo Patches, Drawcords, Hang Tags, etc.</t>
  </si>
  <si>
    <t>various</t>
  </si>
  <si>
    <t>Mostly from Hong Kong</t>
  </si>
  <si>
    <t>15-30 days</t>
  </si>
  <si>
    <t>Snaps (undyed)</t>
  </si>
  <si>
    <t>Germany, Italy, Hong Kong</t>
  </si>
  <si>
    <t>1-2 months</t>
  </si>
  <si>
    <t>1,000 pieces</t>
  </si>
  <si>
    <t>5-10 pieces</t>
  </si>
  <si>
    <t>Dyeing of Snaps</t>
  </si>
  <si>
    <t>50 colors</t>
  </si>
  <si>
    <t>1000 pieces per color</t>
  </si>
  <si>
    <t>2 .2-2.5 yards per adult parka
1.5-2 yards per child's parka</t>
  </si>
  <si>
    <t>Dyeing: 1,000 yards
Printing: 3,000 yards per design, at least 1,000 yards per color in any design</t>
  </si>
  <si>
    <t>2.25-2.5 yards per adult parka
1.5-2 yards per child's parka</t>
  </si>
  <si>
    <t>~ 2 yards per adult parka
~ 1.2-1.5 yards per child's parka</t>
  </si>
  <si>
    <t>400 standard tape colors
4 teeth gauges
4-5 teeth colors
2-3 teeth materials
5-6 slider types</t>
  </si>
  <si>
    <r>
      <t>Standard (from Hong Kong): 60 days
Custom (from Japan): 90</t>
    </r>
    <r>
      <rPr>
        <vertAlign val="superscript"/>
        <sz val="10"/>
        <rFont val="Arial"/>
        <family val="2"/>
      </rPr>
      <t>+</t>
    </r>
    <r>
      <rPr>
        <sz val="10"/>
        <rFont val="Arial"/>
        <family val="2"/>
      </rPr>
      <t xml:space="preserve"> days</t>
    </r>
  </si>
  <si>
    <t>Source: Obersport</t>
  </si>
  <si>
    <r>
      <t xml:space="preserve">Exhibit 7 </t>
    </r>
    <r>
      <rPr>
        <sz val="10"/>
        <rFont val="Arial"/>
        <family val="2"/>
      </rPr>
      <t>Sample—Parka Assembly Operations for the Rococo Women's Parka</t>
    </r>
  </si>
  <si>
    <t>HK$/ Piece</t>
  </si>
  <si>
    <t>Operation</t>
  </si>
  <si>
    <t>Make belt loop (× 1). (Subcomponent completed by outside subcontractor)</t>
  </si>
  <si>
    <r>
      <t>Invisible-stitch front bellow facing (×</t>
    </r>
    <r>
      <rPr>
        <b/>
        <sz val="10"/>
        <rFont val="Arial"/>
        <family val="2"/>
      </rPr>
      <t xml:space="preserve"> </t>
    </r>
    <r>
      <rPr>
        <sz val="10"/>
        <rFont val="Arial"/>
        <family val="2"/>
      </rPr>
      <t>2).</t>
    </r>
  </si>
  <si>
    <r>
      <t>Double top-stitch front bellow facing (×</t>
    </r>
    <r>
      <rPr>
        <b/>
        <sz val="10"/>
        <rFont val="Arial"/>
        <family val="2"/>
      </rPr>
      <t xml:space="preserve"> </t>
    </r>
    <r>
      <rPr>
        <sz val="10"/>
        <rFont val="Arial"/>
        <family val="2"/>
      </rPr>
      <t>2).</t>
    </r>
  </si>
  <si>
    <r>
      <t>Zig-zag stitch front bellow seam (×</t>
    </r>
    <r>
      <rPr>
        <b/>
        <sz val="10"/>
        <rFont val="Arial"/>
        <family val="2"/>
      </rPr>
      <t xml:space="preserve"> </t>
    </r>
    <r>
      <rPr>
        <sz val="10"/>
        <rFont val="Arial"/>
        <family val="2"/>
      </rPr>
      <t>2).</t>
    </r>
  </si>
  <si>
    <r>
      <t>Set double-jetted zipped pocket (×</t>
    </r>
    <r>
      <rPr>
        <b/>
        <sz val="10"/>
        <rFont val="Arial"/>
        <family val="2"/>
      </rPr>
      <t xml:space="preserve"> </t>
    </r>
    <r>
      <rPr>
        <sz val="10"/>
        <rFont val="Arial"/>
        <family val="2"/>
      </rPr>
      <t>2) and insert D-ring (×</t>
    </r>
    <r>
      <rPr>
        <b/>
        <sz val="10"/>
        <rFont val="Arial"/>
        <family val="2"/>
      </rPr>
      <t xml:space="preserve"> </t>
    </r>
    <r>
      <rPr>
        <sz val="10"/>
        <rFont val="Arial"/>
        <family val="2"/>
      </rPr>
      <t>1).</t>
    </r>
  </si>
  <si>
    <r>
      <t>Five-stitch overlock pocket bag (×</t>
    </r>
    <r>
      <rPr>
        <b/>
        <sz val="10"/>
        <rFont val="Arial"/>
        <family val="2"/>
      </rPr>
      <t xml:space="preserve"> </t>
    </r>
    <r>
      <rPr>
        <sz val="10"/>
        <rFont val="Arial"/>
        <family val="2"/>
      </rPr>
      <t>2).</t>
    </r>
  </si>
  <si>
    <r>
      <t>Invisible-stitch bottom bellow facing, sew front shoulder pleat (×</t>
    </r>
    <r>
      <rPr>
        <b/>
        <sz val="10"/>
        <rFont val="Arial"/>
        <family val="2"/>
      </rPr>
      <t xml:space="preserve"> </t>
    </r>
    <r>
      <rPr>
        <sz val="10"/>
        <rFont val="Arial"/>
        <family val="2"/>
      </rPr>
      <t>2), insert front body facing.</t>
    </r>
  </si>
  <si>
    <r>
      <t>1/4" double stitch the front and back shoulder seam (×</t>
    </r>
    <r>
      <rPr>
        <b/>
        <sz val="10"/>
        <rFont val="Arial"/>
        <family val="2"/>
      </rPr>
      <t xml:space="preserve"> </t>
    </r>
    <r>
      <rPr>
        <sz val="10"/>
        <rFont val="Arial"/>
        <family val="2"/>
      </rPr>
      <t>4).</t>
    </r>
  </si>
  <si>
    <r>
      <t>Single top stitch (the middle of double top-stitching) the front and back shoulder seam (×</t>
    </r>
    <r>
      <rPr>
        <b/>
        <sz val="10"/>
        <rFont val="Arial"/>
        <family val="2"/>
      </rPr>
      <t xml:space="preserve"> </t>
    </r>
    <r>
      <rPr>
        <sz val="10"/>
        <rFont val="Arial"/>
        <family val="2"/>
      </rPr>
      <t>4).</t>
    </r>
  </si>
  <si>
    <t>Turn over the body and attach collar, sew zipper; invisible-stitch bottom and sleeve opening,</t>
  </si>
  <si>
    <t>leave a small opening at the bottom of left front zipper.</t>
  </si>
  <si>
    <t>1/4" double stitch the front zipper seam from bottom to collar top.</t>
  </si>
  <si>
    <r>
      <t>Invisible stitch the back bellow seam (×</t>
    </r>
    <r>
      <rPr>
        <b/>
        <sz val="10"/>
        <rFont val="Arial"/>
        <family val="2"/>
      </rPr>
      <t xml:space="preserve"> </t>
    </r>
    <r>
      <rPr>
        <sz val="10"/>
        <rFont val="Arial"/>
        <family val="2"/>
      </rPr>
      <t>2).</t>
    </r>
  </si>
  <si>
    <t>1/4" double stitch the back bellow seam.</t>
  </si>
  <si>
    <r>
      <t>Zig-zag stitch back bellow seam (×</t>
    </r>
    <r>
      <rPr>
        <b/>
        <sz val="10"/>
        <rFont val="Arial"/>
        <family val="2"/>
      </rPr>
      <t xml:space="preserve"> </t>
    </r>
    <r>
      <rPr>
        <sz val="10"/>
        <rFont val="Arial"/>
        <family val="2"/>
      </rPr>
      <t>2).</t>
    </r>
  </si>
  <si>
    <r>
      <t>Close side seam with invisible stitching, match seam ends (×</t>
    </r>
    <r>
      <rPr>
        <b/>
        <sz val="10"/>
        <rFont val="Arial"/>
        <family val="2"/>
      </rPr>
      <t xml:space="preserve"> </t>
    </r>
    <r>
      <rPr>
        <sz val="10"/>
        <rFont val="Arial"/>
        <family val="2"/>
      </rPr>
      <t>6).</t>
    </r>
  </si>
  <si>
    <t>Three-stitch overlock the side seam.</t>
  </si>
  <si>
    <t>Sew sleeve opening, bottom hem with invisible stitching.</t>
  </si>
  <si>
    <t>Invisible stitch front placket seam, then 1/4" double top-stitch the placket seam.</t>
  </si>
  <si>
    <r>
      <t>1/4" double top-stitch raglan sleeve seam and sleeve panel seam (×</t>
    </r>
    <r>
      <rPr>
        <b/>
        <sz val="10"/>
        <rFont val="Arial"/>
        <family val="2"/>
      </rPr>
      <t xml:space="preserve"> </t>
    </r>
    <r>
      <rPr>
        <sz val="10"/>
        <rFont val="Arial"/>
        <family val="2"/>
      </rPr>
      <t>6).</t>
    </r>
  </si>
  <si>
    <r>
      <t>Invisible stitch the armhole seam (×</t>
    </r>
    <r>
      <rPr>
        <b/>
        <sz val="10"/>
        <rFont val="Arial"/>
        <family val="2"/>
      </rPr>
      <t xml:space="preserve"> </t>
    </r>
    <r>
      <rPr>
        <sz val="10"/>
        <rFont val="Arial"/>
        <family val="2"/>
      </rPr>
      <t>2), match the notch of armhole seam (×</t>
    </r>
    <r>
      <rPr>
        <b/>
        <sz val="10"/>
        <rFont val="Arial"/>
        <family val="2"/>
      </rPr>
      <t xml:space="preserve"> </t>
    </r>
    <r>
      <rPr>
        <sz val="10"/>
        <rFont val="Arial"/>
        <family val="2"/>
      </rPr>
      <t>2).</t>
    </r>
  </si>
  <si>
    <r>
      <t>Double stitch armhole seam (×</t>
    </r>
    <r>
      <rPr>
        <b/>
        <sz val="10"/>
        <rFont val="Arial"/>
        <family val="2"/>
      </rPr>
      <t xml:space="preserve"> </t>
    </r>
    <r>
      <rPr>
        <sz val="10"/>
        <rFont val="Arial"/>
        <family val="2"/>
      </rPr>
      <t>2).</t>
    </r>
  </si>
  <si>
    <r>
      <t>Single lockstitch to close bottom hem facing (×</t>
    </r>
    <r>
      <rPr>
        <b/>
        <sz val="10"/>
        <rFont val="Arial"/>
        <family val="2"/>
      </rPr>
      <t xml:space="preserve"> </t>
    </r>
    <r>
      <rPr>
        <sz val="10"/>
        <rFont val="Arial"/>
        <family val="2"/>
      </rPr>
      <t>1), insert the drawstring to bottom hem.</t>
    </r>
  </si>
  <si>
    <r>
      <t>Invisible stitch sleeve opening, insert/sew elastic to sleeve opening (×</t>
    </r>
    <r>
      <rPr>
        <b/>
        <sz val="10"/>
        <rFont val="Arial"/>
        <family val="2"/>
      </rPr>
      <t xml:space="preserve"> </t>
    </r>
    <r>
      <rPr>
        <sz val="10"/>
        <rFont val="Arial"/>
        <family val="2"/>
      </rPr>
      <t>2).</t>
    </r>
  </si>
  <si>
    <r>
      <t>1/4" double needle stitch at middle part of placket (×</t>
    </r>
    <r>
      <rPr>
        <b/>
        <sz val="10"/>
        <rFont val="Arial"/>
        <family val="2"/>
      </rPr>
      <t xml:space="preserve"> </t>
    </r>
    <r>
      <rPr>
        <sz val="10"/>
        <rFont val="Arial"/>
        <family val="2"/>
      </rPr>
      <t>1).</t>
    </r>
  </si>
  <si>
    <r>
      <t>Zig-zag stitch at the center of double needle stitch at placket (×</t>
    </r>
    <r>
      <rPr>
        <b/>
        <sz val="10"/>
        <rFont val="Arial"/>
        <family val="2"/>
      </rPr>
      <t xml:space="preserve"> </t>
    </r>
    <r>
      <rPr>
        <sz val="10"/>
        <rFont val="Arial"/>
        <family val="2"/>
      </rPr>
      <t>1).</t>
    </r>
  </si>
  <si>
    <r>
      <t>Running stitch to close the end of filled placket (×</t>
    </r>
    <r>
      <rPr>
        <b/>
        <sz val="10"/>
        <rFont val="Arial"/>
        <family val="2"/>
      </rPr>
      <t xml:space="preserve"> </t>
    </r>
    <r>
      <rPr>
        <sz val="10"/>
        <rFont val="Arial"/>
        <family val="2"/>
      </rPr>
      <t>1).</t>
    </r>
  </si>
  <si>
    <t>Sew main label, and insert the label at side seam, and then sew size label.</t>
  </si>
  <si>
    <t>Sew the inside pocket: pocket with zipper at left, pocket with velcro at right.</t>
  </si>
  <si>
    <r>
      <t>Set front facing with 1/16" edge stitching (×</t>
    </r>
    <r>
      <rPr>
        <b/>
        <sz val="10"/>
        <rFont val="Arial"/>
        <family val="2"/>
      </rPr>
      <t xml:space="preserve"> </t>
    </r>
    <r>
      <rPr>
        <sz val="10"/>
        <rFont val="Arial"/>
        <family val="2"/>
      </rPr>
      <t>2).</t>
    </r>
  </si>
  <si>
    <r>
      <t>3 stitch overlock lining pocket bag (×</t>
    </r>
    <r>
      <rPr>
        <b/>
        <sz val="10"/>
        <rFont val="Arial"/>
        <family val="2"/>
      </rPr>
      <t xml:space="preserve"> </t>
    </r>
    <r>
      <rPr>
        <sz val="10"/>
        <rFont val="Arial"/>
        <family val="2"/>
      </rPr>
      <t>2).</t>
    </r>
  </si>
  <si>
    <t>Sew 13 top stitching at the lining body.</t>
  </si>
  <si>
    <t>Five stitch overlock the lining body.</t>
  </si>
  <si>
    <r>
      <t>Set shoulder pad (×</t>
    </r>
    <r>
      <rPr>
        <b/>
        <sz val="10"/>
        <rFont val="Arial"/>
        <family val="2"/>
      </rPr>
      <t xml:space="preserve"> </t>
    </r>
    <r>
      <rPr>
        <sz val="10"/>
        <rFont val="Arial"/>
        <family val="2"/>
      </rPr>
      <t>2).</t>
    </r>
  </si>
  <si>
    <r>
      <t>Sew front shoulder seam with invisible stitching. Quilt all over: lining (×</t>
    </r>
    <r>
      <rPr>
        <b/>
        <sz val="10"/>
        <rFont val="Arial"/>
        <family val="2"/>
      </rPr>
      <t xml:space="preserve"> </t>
    </r>
    <r>
      <rPr>
        <sz val="10"/>
        <rFont val="Arial"/>
        <family val="2"/>
      </rPr>
      <t>5), front placket (×</t>
    </r>
    <r>
      <rPr>
        <b/>
        <sz val="10"/>
        <rFont val="Arial"/>
        <family val="2"/>
      </rPr>
      <t xml:space="preserve"> </t>
    </r>
    <r>
      <rPr>
        <sz val="10"/>
        <rFont val="Arial"/>
        <family val="2"/>
      </rPr>
      <t>1), and collar (× 2). (Subcomponent completed by outside subcontractor)</t>
    </r>
  </si>
  <si>
    <r>
      <t>Join under facing of back bellow seam with invisible stitching (×</t>
    </r>
    <r>
      <rPr>
        <b/>
        <sz val="10"/>
        <rFont val="Arial"/>
        <family val="2"/>
      </rPr>
      <t xml:space="preserve"> </t>
    </r>
    <r>
      <rPr>
        <sz val="10"/>
        <rFont val="Arial"/>
        <family val="2"/>
      </rPr>
      <t>2). Join front and back shoulder seam with invisible stitching (× 4).</t>
    </r>
  </si>
  <si>
    <t>Invisible stitch the sleeve seam (x 4); invisible stitch sleeve panel seam, sew pleats at sleeve panel seam (× 2).</t>
  </si>
  <si>
    <t>Single lockstitch raglan sleeve seam and sleeve panel seam, double stitch the center of sleeve panel seam (× 6).</t>
  </si>
  <si>
    <r>
      <t>Sew collar facing (×</t>
    </r>
    <r>
      <rPr>
        <b/>
        <sz val="10"/>
        <rFont val="Arial"/>
        <family val="2"/>
      </rPr>
      <t xml:space="preserve"> </t>
    </r>
    <r>
      <rPr>
        <sz val="10"/>
        <rFont val="Arial"/>
        <family val="2"/>
      </rPr>
      <t>1), invisible stitch the collar top, close bottom of collar, insert belt loop, change thread.</t>
    </r>
  </si>
  <si>
    <t>Sew triangular stitching at ends of zipper facing, invisible stitch at zipper facing seam, turn out and 1/16" edge-stitching (× 1).</t>
  </si>
  <si>
    <t>Note: Total Average Labor Cost for the Rococo parka = $HK78. Column does not add since some operations were performed multiple times to completely assemble one parka.</t>
  </si>
  <si>
    <r>
      <t xml:space="preserve">Exhibit 8 </t>
    </r>
    <r>
      <rPr>
        <sz val="10"/>
        <rFont val="Arial"/>
        <family val="2"/>
      </rPr>
      <t>Comparison of Operations in Hong Kong and China</t>
    </r>
  </si>
  <si>
    <t>Topic</t>
  </si>
  <si>
    <t>China</t>
  </si>
  <si>
    <t>Hourly Wage</t>
  </si>
  <si>
    <t>HK$30</t>
  </si>
  <si>
    <t>RMB 0.91</t>
  </si>
  <si>
    <t>Exchange Rate</t>
  </si>
  <si>
    <t>HK$7.8 = US$1</t>
  </si>
  <si>
    <t>RMB (Renminbi) 5.7 = US$1</t>
  </si>
  <si>
    <t>Working Hours</t>
  </si>
  <si>
    <t>8 hours/day, 6 days/week</t>
  </si>
  <si>
    <t>9 hours/day, 6.5 days/week</t>
  </si>
  <si>
    <t>=&gt; Total = 48 hours/week</t>
  </si>
  <si>
    <t>=&gt; Total = 58.5 hours/week</t>
  </si>
  <si>
    <t>Maximum overtime allowed = 200 hours/year</t>
  </si>
  <si>
    <t>During peak production periods, workers work 13 hours/day, 6.5 days/week</t>
  </si>
  <si>
    <t>Weekly (Nonpeak) Output/Worker</t>
  </si>
  <si>
    <t>19 parkas</t>
  </si>
  <si>
    <t>12 parkas</t>
  </si>
  <si>
    <t>Actual labor content per parka (including repair work)</t>
  </si>
  <si>
    <t>~2.35 hours</t>
  </si>
  <si>
    <t>~3.6 hours</t>
  </si>
  <si>
    <t>Paid labor time per parka (including repair work)</t>
  </si>
  <si>
    <t>~2.53 hours/parka</t>
  </si>
  <si>
    <t>~4.88 hours/parka</t>
  </si>
  <si>
    <t>Labor Cost/Garment</t>
  </si>
  <si>
    <t>HK$75.6</t>
  </si>
  <si>
    <t>RMB4.45</t>
  </si>
  <si>
    <t>Line Configuration</t>
  </si>
  <si>
    <t>10-12 people/line</t>
  </si>
  <si>
    <t>40 people/line</t>
  </si>
  <si>
    <t>Training</t>
  </si>
  <si>
    <t>Cross-trained</t>
  </si>
  <si>
    <t>Trained for single operation only</t>
  </si>
  <si>
    <t>Minimum Order Quantity</t>
  </si>
  <si>
    <t>600 units in same style</t>
  </si>
  <si>
    <t>1,200 units in same style</t>
  </si>
  <si>
    <t>Repair Rate</t>
  </si>
  <si>
    <t>1-2%</t>
  </si>
  <si>
    <t>~10%</t>
  </si>
  <si>
    <t>Challenges</t>
  </si>
  <si>
    <t>● Wage Rate</t>
  </si>
  <si>
    <t>● Workforce:</t>
  </si>
  <si>
    <t>● Low unemployment (~2%)</t>
  </si>
  <si>
    <t>● Younger workers prefer office jobs</t>
  </si>
  <si>
    <t>● Less quality and cleanliness conscious</t>
  </si>
  <si>
    <t>● Training requirements</t>
  </si>
  <si>
    <r>
      <t xml:space="preserve">Exhibit 9A </t>
    </r>
    <r>
      <rPr>
        <sz val="10"/>
        <rFont val="Arial"/>
        <family val="2"/>
      </rPr>
      <t>Cost Information for Rococo Parka (Made in Hong Kong)</t>
    </r>
  </si>
  <si>
    <t>Obermeyer Landed Cost</t>
  </si>
  <si>
    <r>
      <t>Cost FOB Obersport</t>
    </r>
    <r>
      <rPr>
        <vertAlign val="superscript"/>
        <sz val="10"/>
        <rFont val="Arial"/>
        <family val="2"/>
      </rPr>
      <t>a</t>
    </r>
  </si>
  <si>
    <t>Agent's Fee (to Obersport, 7%)</t>
  </si>
  <si>
    <r>
      <t>Freight (Ocean Carrier)</t>
    </r>
    <r>
      <rPr>
        <vertAlign val="superscript"/>
        <sz val="10"/>
        <rFont val="Arial"/>
        <family val="2"/>
      </rPr>
      <t>b</t>
    </r>
  </si>
  <si>
    <t>Duty, Insurance, and Miscellaneous</t>
  </si>
  <si>
    <t>Total Landed Cost</t>
  </si>
  <si>
    <t>Cost FOB Obersport:</t>
  </si>
  <si>
    <t>Material</t>
  </si>
  <si>
    <t>Labor</t>
  </si>
  <si>
    <t>Total</t>
  </si>
  <si>
    <t>Hong Kong Quota, Obersport Profit and Overhead</t>
  </si>
  <si>
    <t>All figures in US Dollars</t>
  </si>
  <si>
    <r>
      <t xml:space="preserve">Exhibit 9B </t>
    </r>
    <r>
      <rPr>
        <sz val="10"/>
        <rFont val="Arial"/>
        <family val="2"/>
      </rPr>
      <t>Estimated Cost Information for Rococo Parka (if assembled in China)</t>
    </r>
  </si>
  <si>
    <t>Transportation within China and China Overhead</t>
  </si>
  <si>
    <t>China Quota, Obersport Profit and Overhead</t>
  </si>
  <si>
    <r>
      <t>b</t>
    </r>
    <r>
      <rPr>
        <sz val="8"/>
        <rFont val="Arial"/>
        <family val="2"/>
      </rPr>
      <t>If transportation by air, cost would be approximately $5.00 per parka.</t>
    </r>
  </si>
  <si>
    <r>
      <t>a</t>
    </r>
    <r>
      <rPr>
        <sz val="8"/>
        <rFont val="Arial"/>
        <family val="2"/>
      </rPr>
      <t>FOB (free on board) Obersport means Obermeyer paid for freight and owned products while they were in transit.</t>
    </r>
  </si>
  <si>
    <r>
      <t xml:space="preserve">Exhibit 10 </t>
    </r>
    <r>
      <rPr>
        <sz val="10"/>
        <rFont val="Arial"/>
        <family val="2"/>
      </rPr>
      <t>Sample Buying Committee Forecasts, 10 Styles of Women's Parkas</t>
    </r>
  </si>
  <si>
    <t>Style</t>
  </si>
  <si>
    <r>
      <t>Price</t>
    </r>
    <r>
      <rPr>
        <vertAlign val="superscript"/>
        <sz val="10"/>
        <rFont val="Arial"/>
        <family val="2"/>
      </rPr>
      <t>a</t>
    </r>
  </si>
  <si>
    <t>Laura</t>
  </si>
  <si>
    <t>Carolyn</t>
  </si>
  <si>
    <t>Greg</t>
  </si>
  <si>
    <t>Wendy</t>
  </si>
  <si>
    <t>Tom</t>
  </si>
  <si>
    <t>Wally</t>
  </si>
  <si>
    <t>Average Forecast</t>
  </si>
  <si>
    <t>Standard Deviation</t>
  </si>
  <si>
    <t>2 x Std. Deviation</t>
  </si>
  <si>
    <t>Gail</t>
  </si>
  <si>
    <t>Isis</t>
  </si>
  <si>
    <t>Entice</t>
  </si>
  <si>
    <t>Assault</t>
  </si>
  <si>
    <t>Teri</t>
  </si>
  <si>
    <t>Electra</t>
  </si>
  <si>
    <t>Stephanie</t>
  </si>
  <si>
    <t>Seduced</t>
  </si>
  <si>
    <t>Anita</t>
  </si>
  <si>
    <t>Daphne</t>
  </si>
  <si>
    <t>Totals</t>
  </si>
  <si>
    <t>Individual Forecasts</t>
  </si>
  <si>
    <r>
      <t>a</t>
    </r>
    <r>
      <rPr>
        <sz val="8"/>
        <rFont val="Arial"/>
        <family val="2"/>
      </rPr>
      <t>Obermeyer's wholesale price</t>
    </r>
  </si>
  <si>
    <t>Notes</t>
  </si>
  <si>
    <t>Laura Kornashiewicz was marketing director</t>
  </si>
  <si>
    <t>Carolyn Gray was customer service manager</t>
  </si>
  <si>
    <t>Greg Hunter was production manager</t>
  </si>
  <si>
    <t>Wendy Hemphill was production coordinator</t>
  </si>
  <si>
    <t>Tom Tweed was a sales representative</t>
  </si>
  <si>
    <t>Wally Obermeyer was vice president</t>
  </si>
  <si>
    <t>2-2.25 yards per adult parka
1.25-1.75 yards per child's parka</t>
  </si>
  <si>
    <t>Forecast_COV</t>
  </si>
  <si>
    <t>Coefficient of Variation (COV)</t>
  </si>
  <si>
    <t>1st Approach (COV)</t>
  </si>
  <si>
    <t>Cost of understocking</t>
  </si>
  <si>
    <t xml:space="preserve"> Cost of understocking</t>
  </si>
  <si>
    <t>Critical Ratio</t>
  </si>
  <si>
    <t>Z Score</t>
  </si>
  <si>
    <t>Forecast_CR</t>
  </si>
  <si>
    <t>2nd Approach (Newsvendor model/ Critical ratio)</t>
  </si>
  <si>
    <t>Final_Forecast</t>
  </si>
  <si>
    <t>Hybrid_approach (combing both approaches)</t>
  </si>
  <si>
    <t>Final Forecast</t>
  </si>
  <si>
    <t>Landed cost in China</t>
  </si>
  <si>
    <t>Landed costed in Hong kong</t>
  </si>
  <si>
    <t>Production Quantity</t>
  </si>
  <si>
    <t>Total Cost</t>
  </si>
  <si>
    <t>Hybrid Approach (Hong + China)</t>
  </si>
  <si>
    <t>Country</t>
  </si>
  <si>
    <t>Model</t>
  </si>
  <si>
    <t>Only Hong kong</t>
  </si>
  <si>
    <t>FOB cost China</t>
  </si>
  <si>
    <t>FOB cost Hong Kong</t>
  </si>
  <si>
    <t>Decission (Hybrid cost)</t>
  </si>
  <si>
    <t>Total FOB Cost (hybrid)</t>
  </si>
  <si>
    <t>Total Landed Cost (Hybrid)</t>
  </si>
  <si>
    <t>Total FOB (Hong kong only)</t>
  </si>
  <si>
    <t>Total Landed (Hong Kong only)</t>
  </si>
  <si>
    <t>Hybrid Model</t>
  </si>
  <si>
    <t>Saving</t>
  </si>
  <si>
    <t>Status</t>
  </si>
  <si>
    <t>Approved</t>
  </si>
  <si>
    <t>Rejected</t>
  </si>
  <si>
    <t xml:space="preserve">Final Forecast </t>
  </si>
  <si>
    <t>Total Labour cost</t>
  </si>
  <si>
    <t>Hourly Wage (HK)</t>
  </si>
  <si>
    <t>Hourly Wage (China)</t>
  </si>
  <si>
    <t>Labour cost/ parka in HK</t>
  </si>
  <si>
    <t>Labour time (hours)/ parka (HK)</t>
  </si>
  <si>
    <t>Labour cost/ parka in China</t>
  </si>
  <si>
    <t>Labour time (hours) / parka (China)</t>
  </si>
  <si>
    <t>Country to manufacture</t>
  </si>
  <si>
    <t>Total FOB cost</t>
  </si>
  <si>
    <t>Total LANDED cost</t>
  </si>
  <si>
    <t>TOTAL COST</t>
  </si>
  <si>
    <t>Total LABOUR cost</t>
  </si>
  <si>
    <t>HYBRID MODEL vs HONKG KONG</t>
  </si>
  <si>
    <t>Scaling Factor</t>
  </si>
  <si>
    <t>Direct_MAX_Approach</t>
  </si>
  <si>
    <t>Scaling _factor</t>
  </si>
  <si>
    <t>Hybrid_Approach</t>
  </si>
  <si>
    <t>Scaling_factor</t>
  </si>
  <si>
    <t>Hybrid</t>
  </si>
  <si>
    <t>Scalin_factor</t>
  </si>
  <si>
    <t>10 Stops</t>
  </si>
  <si>
    <t>Aha move</t>
  </si>
  <si>
    <t>Cost/ stop</t>
  </si>
  <si>
    <t>Total cost</t>
  </si>
  <si>
    <t>GHN</t>
  </si>
  <si>
    <t>Fixed salart</t>
  </si>
  <si>
    <t>Per stop</t>
  </si>
  <si>
    <t>7 stops</t>
  </si>
  <si>
    <t>Difference</t>
  </si>
  <si>
    <t>Route_1</t>
  </si>
  <si>
    <t>Route_2</t>
  </si>
  <si>
    <t>Total earning</t>
  </si>
  <si>
    <t>Bonus</t>
  </si>
  <si>
    <t>1st</t>
  </si>
  <si>
    <t>2nd</t>
  </si>
  <si>
    <t>3rd</t>
  </si>
  <si>
    <t>4th</t>
  </si>
  <si>
    <t>5th</t>
  </si>
  <si>
    <t>Only COV</t>
  </si>
  <si>
    <t>MOQ ~ 10,000 UNITS 2 Approaches a) Scaling Factor x Forecast from COV b) Hybrid Approach, Scaling Factor X Forecast from both COV and NEWLETTER</t>
  </si>
  <si>
    <t>Hong Kong (Only)</t>
  </si>
  <si>
    <t>→</t>
  </si>
  <si>
    <t>Final_forecast_last column_ 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</si>
</sst>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0_);\(0\)"/>
    <numFmt numFmtId="165" formatCode="0.0000000"/>
    <numFmt numFmtId="166" formatCode="&quot;$&quot;#,##0.00"/>
  </numFmts>
  <fonts count="18" x14ac:knownFonts="1">
    <font>
      <sz val="10"/>
      <name val="Arial"/>
    </font>
    <font>
      <sz val="10"/>
      <name val="Arial"/>
      <family val="2"/>
    </font>
    <font>
      <b/>
      <sz val="10"/>
      <name val="Arial"/>
      <family val="2"/>
    </font>
    <font>
      <sz val="8"/>
      <name val="Arial"/>
      <family val="2"/>
    </font>
    <font>
      <sz val="10"/>
      <name val="Arial"/>
      <family val="2"/>
    </font>
    <font>
      <sz val="12"/>
      <name val="Book Antiqua"/>
      <family val="1"/>
    </font>
    <font>
      <vertAlign val="superscript"/>
      <sz val="10"/>
      <name val="Arial"/>
      <family val="2"/>
    </font>
    <font>
      <sz val="8"/>
      <name val="Arial"/>
      <family val="2"/>
    </font>
    <font>
      <i/>
      <sz val="10"/>
      <name val="Arial"/>
      <family val="2"/>
    </font>
    <font>
      <vertAlign val="superscript"/>
      <sz val="8"/>
      <name val="Arial"/>
      <family val="2"/>
    </font>
    <font>
      <sz val="10"/>
      <name val="Arial"/>
      <family val="2"/>
    </font>
    <font>
      <b/>
      <sz val="10"/>
      <color theme="3"/>
      <name val="Arial"/>
      <family val="2"/>
    </font>
    <font>
      <sz val="9"/>
      <color indexed="81"/>
      <name val="Tahoma"/>
      <family val="2"/>
    </font>
    <font>
      <sz val="9"/>
      <color indexed="81"/>
      <name val="Tahoma"/>
      <charset val="1"/>
    </font>
    <font>
      <sz val="12"/>
      <name val="Arial"/>
      <family val="2"/>
    </font>
    <font>
      <b/>
      <sz val="12"/>
      <name val="Arial"/>
      <family val="2"/>
    </font>
    <font>
      <b/>
      <sz val="11"/>
      <name val="Arial"/>
      <family val="2"/>
    </font>
    <font>
      <sz val="72"/>
      <name val="Aptos Narrow"/>
      <family val="2"/>
    </font>
  </fonts>
  <fills count="13">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0" fillId="0" borderId="0" applyFont="0" applyFill="0" applyBorder="0" applyAlignment="0" applyProtection="0"/>
  </cellStyleXfs>
  <cellXfs count="161">
    <xf numFmtId="0" fontId="0" fillId="0" borderId="0" xfId="0"/>
    <xf numFmtId="3" fontId="0" fillId="0" borderId="0" xfId="0" applyNumberFormat="1" applyAlignment="1">
      <alignment horizontal="right"/>
    </xf>
    <xf numFmtId="0" fontId="0" fillId="0" borderId="0" xfId="0" applyAlignment="1">
      <alignment horizontal="left"/>
    </xf>
    <xf numFmtId="0" fontId="3" fillId="0" borderId="0" xfId="0" applyFont="1" applyAlignment="1">
      <alignment horizontal="center"/>
    </xf>
    <xf numFmtId="0" fontId="4" fillId="0" borderId="1" xfId="0" applyFont="1" applyBorder="1" applyAlignment="1">
      <alignment vertical="top" wrapText="1"/>
    </xf>
    <xf numFmtId="0" fontId="0" fillId="0" borderId="2" xfId="0" applyBorder="1" applyAlignment="1">
      <alignment vertical="top" wrapText="1"/>
    </xf>
    <xf numFmtId="0" fontId="4" fillId="0" borderId="2" xfId="0" applyFont="1" applyBorder="1" applyAlignment="1">
      <alignment vertical="top" wrapText="1"/>
    </xf>
    <xf numFmtId="0" fontId="4" fillId="0" borderId="0" xfId="0" applyFont="1"/>
    <xf numFmtId="0" fontId="2" fillId="0" borderId="3" xfId="0" applyFont="1" applyBorder="1" applyAlignment="1">
      <alignment vertical="top" wrapText="1"/>
    </xf>
    <xf numFmtId="0" fontId="2" fillId="0" borderId="0" xfId="0" applyFont="1" applyAlignment="1">
      <alignment horizontal="center"/>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9" fontId="4" fillId="0" borderId="2" xfId="0" applyNumberFormat="1" applyFont="1" applyBorder="1" applyAlignment="1">
      <alignment horizontal="left" vertical="top" wrapText="1"/>
    </xf>
    <xf numFmtId="9" fontId="4" fillId="0" borderId="0" xfId="0" applyNumberFormat="1" applyFont="1" applyAlignment="1">
      <alignment horizontal="left"/>
    </xf>
    <xf numFmtId="9" fontId="4" fillId="0" borderId="4" xfId="0" applyNumberFormat="1" applyFont="1" applyBorder="1" applyAlignment="1">
      <alignment horizontal="left" vertical="top" wrapText="1"/>
    </xf>
    <xf numFmtId="0" fontId="0" fillId="0" borderId="0" xfId="0" applyAlignment="1">
      <alignment horizontal="center"/>
    </xf>
    <xf numFmtId="0" fontId="0" fillId="0" borderId="5" xfId="0" applyBorder="1" applyAlignment="1">
      <alignment horizontal="right"/>
    </xf>
    <xf numFmtId="0" fontId="2" fillId="0" borderId="6" xfId="0" applyFont="1" applyBorder="1" applyAlignment="1">
      <alignment wrapText="1"/>
    </xf>
    <xf numFmtId="0" fontId="2" fillId="0" borderId="7" xfId="0" applyFont="1" applyBorder="1" applyAlignment="1">
      <alignment horizontal="center" wrapText="1"/>
    </xf>
    <xf numFmtId="0" fontId="2" fillId="0" borderId="6" xfId="0" applyFont="1" applyBorder="1" applyAlignment="1">
      <alignment horizontal="center" wrapText="1"/>
    </xf>
    <xf numFmtId="0" fontId="4" fillId="0" borderId="0" xfId="0" applyFont="1" applyAlignment="1">
      <alignment vertical="top" wrapText="1"/>
    </xf>
    <xf numFmtId="8" fontId="4" fillId="0" borderId="0" xfId="0" applyNumberFormat="1" applyFont="1" applyAlignment="1">
      <alignment vertical="top" wrapText="1"/>
    </xf>
    <xf numFmtId="0" fontId="4" fillId="0" borderId="4" xfId="0" applyFont="1" applyBorder="1" applyAlignment="1">
      <alignment vertical="top" wrapText="1"/>
    </xf>
    <xf numFmtId="8" fontId="4" fillId="0" borderId="4" xfId="0" applyNumberFormat="1" applyFont="1" applyBorder="1" applyAlignment="1">
      <alignment vertical="top" wrapText="1"/>
    </xf>
    <xf numFmtId="0" fontId="2" fillId="0" borderId="0" xfId="0" applyFont="1"/>
    <xf numFmtId="0" fontId="2" fillId="0" borderId="0" xfId="0" applyFont="1" applyAlignment="1">
      <alignment horizontal="center" wrapText="1"/>
    </xf>
    <xf numFmtId="3" fontId="0" fillId="0" borderId="0" xfId="0" applyNumberFormat="1" applyAlignment="1">
      <alignment horizontal="center"/>
    </xf>
    <xf numFmtId="164" fontId="0" fillId="0" borderId="0" xfId="0" applyNumberFormat="1" applyAlignment="1">
      <alignment horizontal="center"/>
    </xf>
    <xf numFmtId="0" fontId="4" fillId="0" borderId="0" xfId="0" applyFont="1" applyAlignment="1">
      <alignment horizontal="left" vertical="top" wrapText="1"/>
    </xf>
    <xf numFmtId="0" fontId="4" fillId="0" borderId="4" xfId="0" applyFont="1" applyBorder="1" applyAlignment="1">
      <alignment horizontal="left" vertical="top" wrapText="1"/>
    </xf>
    <xf numFmtId="8" fontId="4" fillId="0" borderId="0" xfId="0" applyNumberFormat="1" applyFont="1" applyAlignment="1">
      <alignment horizontal="center" vertical="top" wrapText="1"/>
    </xf>
    <xf numFmtId="8" fontId="4" fillId="0" borderId="4" xfId="0" applyNumberFormat="1" applyFont="1" applyBorder="1" applyAlignment="1">
      <alignment horizontal="center" vertical="top" wrapText="1"/>
    </xf>
    <xf numFmtId="0" fontId="4" fillId="0" borderId="3" xfId="0" applyFont="1" applyBorder="1" applyAlignment="1">
      <alignment vertical="top" wrapText="1"/>
    </xf>
    <xf numFmtId="0" fontId="4" fillId="0" borderId="0" xfId="0" applyFont="1" applyAlignment="1">
      <alignment horizontal="center" vertical="top" wrapText="1"/>
    </xf>
    <xf numFmtId="0" fontId="2" fillId="0" borderId="3" xfId="0" applyFont="1" applyBorder="1" applyAlignment="1">
      <alignment horizontal="center" vertical="top" wrapText="1"/>
    </xf>
    <xf numFmtId="0" fontId="1" fillId="0" borderId="0" xfId="0" applyFont="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5" fillId="0" borderId="8" xfId="0" applyFont="1" applyBorder="1" applyAlignment="1">
      <alignment vertical="top" wrapText="1"/>
    </xf>
    <xf numFmtId="0" fontId="5" fillId="0" borderId="1" xfId="0" applyFont="1" applyBorder="1" applyAlignment="1">
      <alignment vertical="top" wrapText="1"/>
    </xf>
    <xf numFmtId="0" fontId="4" fillId="0" borderId="9" xfId="0" applyFont="1" applyBorder="1" applyAlignment="1">
      <alignment horizontal="left" vertical="top" wrapText="1" indent="1"/>
    </xf>
    <xf numFmtId="0" fontId="4" fillId="0" borderId="2" xfId="0" applyFont="1" applyBorder="1" applyAlignment="1">
      <alignment horizontal="left" vertical="top" wrapText="1" indent="1"/>
    </xf>
    <xf numFmtId="0" fontId="4" fillId="0" borderId="10" xfId="0" applyFont="1" applyBorder="1" applyAlignment="1">
      <alignment vertical="top" wrapText="1"/>
    </xf>
    <xf numFmtId="0" fontId="2" fillId="0" borderId="11" xfId="0" applyFont="1" applyBorder="1" applyAlignment="1">
      <alignment vertical="top" wrapText="1"/>
    </xf>
    <xf numFmtId="0" fontId="4" fillId="0" borderId="12" xfId="0" applyFont="1" applyBorder="1" applyAlignment="1">
      <alignment vertical="top" wrapText="1"/>
    </xf>
    <xf numFmtId="0" fontId="2" fillId="0" borderId="5" xfId="0" applyFont="1" applyBorder="1" applyAlignment="1">
      <alignment vertical="top" wrapText="1"/>
    </xf>
    <xf numFmtId="8" fontId="2" fillId="0" borderId="9" xfId="0" applyNumberFormat="1" applyFont="1" applyBorder="1" applyAlignment="1">
      <alignment vertical="top" wrapText="1"/>
    </xf>
    <xf numFmtId="0" fontId="8" fillId="0" borderId="5" xfId="0" applyFont="1" applyBorder="1" applyAlignment="1">
      <alignment vertical="top" wrapText="1"/>
    </xf>
    <xf numFmtId="8" fontId="4" fillId="0" borderId="2" xfId="0" applyNumberFormat="1"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5" xfId="0" applyFont="1" applyBorder="1" applyAlignment="1">
      <alignment horizontal="left" vertical="top" wrapText="1" indent="4"/>
    </xf>
    <xf numFmtId="0" fontId="4" fillId="0" borderId="12" xfId="0" applyFont="1" applyBorder="1" applyAlignment="1">
      <alignment horizontal="left" vertical="top" wrapText="1" indent="4"/>
    </xf>
    <xf numFmtId="3" fontId="4"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4" fillId="0" borderId="7" xfId="0" applyFont="1" applyBorder="1" applyAlignment="1">
      <alignment horizontal="center" vertical="top" wrapText="1"/>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1" fillId="4" borderId="0" xfId="0" applyFont="1" applyFill="1" applyAlignment="1">
      <alignment horizontal="center"/>
    </xf>
    <xf numFmtId="0" fontId="1" fillId="4" borderId="9" xfId="0" applyFont="1" applyFill="1" applyBorder="1" applyAlignment="1">
      <alignment horizontal="center"/>
    </xf>
    <xf numFmtId="8" fontId="1" fillId="4" borderId="5" xfId="0" applyNumberFormat="1" applyFont="1" applyFill="1" applyBorder="1" applyAlignment="1">
      <alignment horizontal="center"/>
    </xf>
    <xf numFmtId="8" fontId="1" fillId="4" borderId="0" xfId="0" applyNumberFormat="1" applyFont="1" applyFill="1" applyAlignment="1">
      <alignment horizontal="center"/>
    </xf>
    <xf numFmtId="0" fontId="1" fillId="4" borderId="12" xfId="0" applyFont="1" applyFill="1" applyBorder="1" applyAlignment="1">
      <alignment horizontal="center"/>
    </xf>
    <xf numFmtId="0" fontId="1" fillId="4" borderId="4" xfId="0" applyFont="1" applyFill="1" applyBorder="1" applyAlignment="1">
      <alignment horizontal="center"/>
    </xf>
    <xf numFmtId="0" fontId="0" fillId="3" borderId="9" xfId="0" applyFill="1" applyBorder="1" applyAlignment="1">
      <alignment horizontal="center"/>
    </xf>
    <xf numFmtId="0" fontId="0" fillId="3" borderId="12" xfId="0" applyFill="1" applyBorder="1" applyAlignment="1">
      <alignment horizontal="center"/>
    </xf>
    <xf numFmtId="0" fontId="4" fillId="0" borderId="15" xfId="0" applyFont="1" applyBorder="1" applyAlignment="1">
      <alignment horizontal="center" vertical="top" wrapText="1"/>
    </xf>
    <xf numFmtId="6" fontId="4" fillId="0" borderId="2" xfId="0" applyNumberFormat="1" applyFont="1" applyBorder="1" applyAlignment="1">
      <alignment horizontal="center" vertical="top" wrapText="1"/>
    </xf>
    <xf numFmtId="3" fontId="4" fillId="0" borderId="2" xfId="0" applyNumberFormat="1" applyFont="1" applyBorder="1" applyAlignment="1">
      <alignment horizontal="center" vertical="top" wrapText="1"/>
    </xf>
    <xf numFmtId="6" fontId="4" fillId="2" borderId="2" xfId="0" applyNumberFormat="1" applyFont="1" applyFill="1" applyBorder="1" applyAlignment="1">
      <alignment horizontal="center" vertical="top" wrapText="1"/>
    </xf>
    <xf numFmtId="0" fontId="4" fillId="2" borderId="2" xfId="0" applyFont="1" applyFill="1" applyBorder="1" applyAlignment="1">
      <alignment horizontal="center" vertical="top" wrapText="1"/>
    </xf>
    <xf numFmtId="3" fontId="4" fillId="2" borderId="2" xfId="0" applyNumberFormat="1" applyFont="1" applyFill="1" applyBorder="1" applyAlignment="1">
      <alignment horizontal="center" vertical="top" wrapText="1"/>
    </xf>
    <xf numFmtId="0" fontId="5" fillId="0" borderId="2" xfId="0" applyFont="1" applyBorder="1" applyAlignment="1">
      <alignment horizontal="center" vertical="top" wrapText="1"/>
    </xf>
    <xf numFmtId="0" fontId="0" fillId="3" borderId="6" xfId="0" applyFill="1" applyBorder="1" applyAlignment="1">
      <alignment horizontal="center"/>
    </xf>
    <xf numFmtId="0" fontId="1" fillId="4" borderId="6" xfId="0" applyFont="1" applyFill="1" applyBorder="1" applyAlignment="1">
      <alignment horizontal="center"/>
    </xf>
    <xf numFmtId="0" fontId="2" fillId="4" borderId="6" xfId="0" applyFont="1" applyFill="1" applyBorder="1" applyAlignment="1">
      <alignment horizontal="center"/>
    </xf>
    <xf numFmtId="0" fontId="2" fillId="3" borderId="6" xfId="0" applyFont="1" applyFill="1" applyBorder="1" applyAlignment="1">
      <alignment horizontal="center"/>
    </xf>
    <xf numFmtId="0" fontId="4" fillId="0" borderId="6" xfId="0" applyFont="1" applyBorder="1" applyAlignment="1">
      <alignment horizontal="center" vertical="top" wrapText="1"/>
    </xf>
    <xf numFmtId="0" fontId="0" fillId="5" borderId="0" xfId="0" applyFill="1" applyAlignment="1">
      <alignment horizontal="center"/>
    </xf>
    <xf numFmtId="0" fontId="4" fillId="2" borderId="1" xfId="0" applyFont="1" applyFill="1" applyBorder="1" applyAlignment="1">
      <alignment horizontal="center" vertical="top" wrapText="1"/>
    </xf>
    <xf numFmtId="0" fontId="0" fillId="0" borderId="6" xfId="0" applyBorder="1" applyAlignment="1">
      <alignment horizontal="center"/>
    </xf>
    <xf numFmtId="0" fontId="0" fillId="0" borderId="6" xfId="0" applyBorder="1" applyAlignment="1">
      <alignment horizontal="center" vertical="center"/>
    </xf>
    <xf numFmtId="0" fontId="0" fillId="6" borderId="6" xfId="0" applyFill="1" applyBorder="1" applyAlignment="1">
      <alignment horizontal="center"/>
    </xf>
    <xf numFmtId="0" fontId="0" fillId="7" borderId="6" xfId="0" applyFill="1" applyBorder="1" applyAlignment="1">
      <alignment horizontal="center"/>
    </xf>
    <xf numFmtId="44" fontId="0" fillId="0" borderId="6" xfId="0" applyNumberFormat="1" applyBorder="1" applyAlignment="1">
      <alignment horizontal="center"/>
    </xf>
    <xf numFmtId="0" fontId="0" fillId="10" borderId="6" xfId="0" applyFill="1" applyBorder="1" applyAlignment="1">
      <alignment horizontal="center"/>
    </xf>
    <xf numFmtId="166" fontId="0" fillId="0" borderId="6" xfId="0" applyNumberFormat="1" applyBorder="1" applyAlignment="1">
      <alignment horizontal="center"/>
    </xf>
    <xf numFmtId="165" fontId="0" fillId="3" borderId="5" xfId="0" applyNumberFormat="1" applyFill="1" applyBorder="1" applyAlignment="1">
      <alignment horizontal="center"/>
    </xf>
    <xf numFmtId="1" fontId="0" fillId="0" borderId="6" xfId="0" applyNumberFormat="1" applyBorder="1" applyAlignment="1">
      <alignment horizontal="center"/>
    </xf>
    <xf numFmtId="44" fontId="0" fillId="0" borderId="6" xfId="1" applyFont="1" applyBorder="1" applyAlignment="1">
      <alignment horizontal="center"/>
    </xf>
    <xf numFmtId="44" fontId="0" fillId="6" borderId="6" xfId="1" applyFont="1" applyFill="1" applyBorder="1" applyAlignment="1">
      <alignment horizontal="center"/>
    </xf>
    <xf numFmtId="44" fontId="0" fillId="7" borderId="6" xfId="0" applyNumberFormat="1" applyFill="1" applyBorder="1" applyAlignment="1">
      <alignment horizontal="center"/>
    </xf>
    <xf numFmtId="0" fontId="1" fillId="0" borderId="6" xfId="0" applyFont="1" applyBorder="1" applyAlignment="1">
      <alignment horizontal="center"/>
    </xf>
    <xf numFmtId="0" fontId="0" fillId="6" borderId="6" xfId="0" applyFill="1" applyBorder="1"/>
    <xf numFmtId="44" fontId="0" fillId="6" borderId="6" xfId="0" applyNumberFormat="1" applyFill="1" applyBorder="1"/>
    <xf numFmtId="0" fontId="0" fillId="11" borderId="6" xfId="0" applyFill="1" applyBorder="1"/>
    <xf numFmtId="44" fontId="0" fillId="11" borderId="6" xfId="0" applyNumberFormat="1" applyFill="1" applyBorder="1"/>
    <xf numFmtId="0" fontId="0" fillId="4" borderId="6" xfId="0" applyFill="1" applyBorder="1"/>
    <xf numFmtId="44" fontId="0" fillId="4" borderId="6" xfId="0" applyNumberFormat="1" applyFill="1" applyBorder="1"/>
    <xf numFmtId="0" fontId="2" fillId="12" borderId="6" xfId="0" applyFont="1" applyFill="1" applyBorder="1"/>
    <xf numFmtId="44" fontId="2" fillId="12" borderId="6" xfId="0" applyNumberFormat="1" applyFont="1" applyFill="1" applyBorder="1"/>
    <xf numFmtId="3" fontId="0" fillId="0" borderId="0" xfId="0" applyNumberFormat="1"/>
    <xf numFmtId="0" fontId="0" fillId="8" borderId="0" xfId="0" applyFill="1"/>
    <xf numFmtId="3" fontId="0" fillId="8" borderId="0" xfId="0" applyNumberFormat="1" applyFill="1"/>
    <xf numFmtId="0" fontId="0" fillId="2" borderId="0" xfId="0" applyFill="1"/>
    <xf numFmtId="0" fontId="0" fillId="12" borderId="0" xfId="0" applyFill="1"/>
    <xf numFmtId="3" fontId="0" fillId="12" borderId="0" xfId="0" applyNumberFormat="1" applyFill="1"/>
    <xf numFmtId="0" fontId="0" fillId="3" borderId="0" xfId="0" applyFill="1" applyAlignment="1">
      <alignment horizontal="center"/>
    </xf>
    <xf numFmtId="0" fontId="0" fillId="3" borderId="0" xfId="0" applyFill="1"/>
    <xf numFmtId="0" fontId="3" fillId="0" borderId="0" xfId="0" applyFont="1" applyAlignment="1">
      <alignment vertical="top" wrapText="1"/>
    </xf>
    <xf numFmtId="0" fontId="2" fillId="0" borderId="0" xfId="0" applyFont="1" applyAlignment="1">
      <alignment horizontal="left" vertical="top" wrapText="1"/>
    </xf>
    <xf numFmtId="0" fontId="9" fillId="0" borderId="0" xfId="0" applyFont="1" applyAlignment="1">
      <alignment vertical="top" wrapText="1"/>
    </xf>
    <xf numFmtId="0" fontId="2" fillId="0" borderId="7" xfId="0" applyFont="1" applyBorder="1" applyAlignment="1">
      <alignment horizontal="center" vertical="top" wrapText="1"/>
    </xf>
    <xf numFmtId="0" fontId="2" fillId="0" borderId="6" xfId="0" applyFont="1" applyBorder="1" applyAlignment="1">
      <alignment horizontal="center" vertical="top" wrapText="1"/>
    </xf>
    <xf numFmtId="0" fontId="4" fillId="0" borderId="10" xfId="0" applyFont="1" applyBorder="1" applyAlignment="1">
      <alignment horizontal="center" vertical="top" wrapText="1"/>
    </xf>
    <xf numFmtId="0" fontId="4" fillId="0" borderId="1" xfId="0" applyFont="1" applyBorder="1" applyAlignment="1">
      <alignment horizontal="center" vertical="top" wrapText="1"/>
    </xf>
    <xf numFmtId="0" fontId="2" fillId="3" borderId="11" xfId="0" applyFont="1" applyFill="1" applyBorder="1" applyAlignment="1">
      <alignment horizontal="center"/>
    </xf>
    <xf numFmtId="0" fontId="2" fillId="3" borderId="14" xfId="0" applyFont="1" applyFill="1" applyBorder="1" applyAlignment="1">
      <alignment horizontal="center"/>
    </xf>
    <xf numFmtId="0" fontId="2" fillId="4" borderId="11" xfId="0" applyFont="1" applyFill="1" applyBorder="1" applyAlignment="1">
      <alignment horizontal="center"/>
    </xf>
    <xf numFmtId="0" fontId="2" fillId="4" borderId="13" xfId="0" applyFont="1" applyFill="1" applyBorder="1" applyAlignment="1">
      <alignment horizontal="center"/>
    </xf>
    <xf numFmtId="0" fontId="2" fillId="4" borderId="14" xfId="0" applyFont="1" applyFill="1" applyBorder="1" applyAlignment="1">
      <alignment horizontal="center"/>
    </xf>
    <xf numFmtId="0" fontId="0" fillId="0" borderId="4" xfId="0" applyBorder="1" applyAlignment="1">
      <alignment horizontal="center"/>
    </xf>
    <xf numFmtId="0" fontId="0" fillId="0" borderId="0" xfId="0" applyAlignment="1">
      <alignment horizontal="center"/>
    </xf>
    <xf numFmtId="0" fontId="4" fillId="0" borderId="13" xfId="0" applyFont="1" applyBorder="1" applyAlignment="1">
      <alignment horizontal="center" vertical="top" wrapText="1"/>
    </xf>
    <xf numFmtId="0" fontId="0" fillId="0" borderId="6" xfId="0" applyBorder="1" applyAlignment="1">
      <alignment horizontal="center"/>
    </xf>
    <xf numFmtId="0" fontId="1" fillId="0" borderId="6" xfId="0" applyFont="1" applyBorder="1" applyAlignment="1">
      <alignment horizontal="center"/>
    </xf>
    <xf numFmtId="0" fontId="2"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top" wrapText="1"/>
    </xf>
    <xf numFmtId="0" fontId="0" fillId="0" borderId="13" xfId="0" applyBorder="1" applyAlignment="1">
      <alignment horizontal="center"/>
    </xf>
    <xf numFmtId="0" fontId="3" fillId="0" borderId="0" xfId="0" applyFont="1" applyAlignment="1">
      <alignment horizontal="left" vertical="top" wrapText="1"/>
    </xf>
    <xf numFmtId="0" fontId="9" fillId="0" borderId="0" xfId="0" applyFont="1" applyAlignment="1">
      <alignment horizontal="left" vertical="top" wrapText="1"/>
    </xf>
    <xf numFmtId="0" fontId="4" fillId="0" borderId="0" xfId="0" applyFont="1" applyAlignment="1">
      <alignment horizontal="center" vertical="top" wrapText="1"/>
    </xf>
    <xf numFmtId="0" fontId="4" fillId="0" borderId="4"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 fontId="0" fillId="6" borderId="0" xfId="0" applyNumberFormat="1" applyFill="1" applyAlignment="1">
      <alignment horizontal="center"/>
    </xf>
    <xf numFmtId="0" fontId="11" fillId="5" borderId="15"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0" fillId="5" borderId="15" xfId="0" applyFill="1" applyBorder="1" applyAlignment="1">
      <alignment horizontal="center"/>
    </xf>
    <xf numFmtId="0" fontId="1" fillId="3" borderId="1" xfId="0" applyFont="1" applyFill="1" applyBorder="1" applyAlignment="1">
      <alignment horizontal="center"/>
    </xf>
    <xf numFmtId="0" fontId="1" fillId="4" borderId="15" xfId="0" applyFont="1" applyFill="1" applyBorder="1" applyAlignment="1">
      <alignment horizontal="center"/>
    </xf>
    <xf numFmtId="0" fontId="1" fillId="7" borderId="6" xfId="0" applyFont="1" applyFill="1" applyBorder="1" applyAlignment="1">
      <alignment horizontal="center"/>
    </xf>
    <xf numFmtId="0" fontId="2" fillId="6" borderId="6" xfId="0" applyFont="1" applyFill="1" applyBorder="1" applyAlignment="1">
      <alignment horizontal="center"/>
    </xf>
    <xf numFmtId="44" fontId="2" fillId="4" borderId="6" xfId="0" applyNumberFormat="1" applyFont="1" applyFill="1" applyBorder="1" applyAlignment="1">
      <alignment horizontal="center"/>
    </xf>
    <xf numFmtId="0" fontId="2" fillId="9" borderId="6" xfId="0" applyFont="1" applyFill="1" applyBorder="1" applyAlignment="1">
      <alignment horizontal="center"/>
    </xf>
    <xf numFmtId="44" fontId="2" fillId="8" borderId="6" xfId="0" applyNumberFormat="1" applyFont="1" applyFill="1" applyBorder="1" applyAlignment="1">
      <alignment horizontal="center"/>
    </xf>
    <xf numFmtId="0" fontId="2" fillId="0" borderId="0" xfId="0" applyFont="1" applyAlignment="1">
      <alignment horizontal="center" vertical="top" wrapText="1"/>
    </xf>
    <xf numFmtId="0" fontId="0" fillId="0" borderId="1" xfId="0" applyBorder="1" applyAlignment="1">
      <alignment horizontal="center"/>
    </xf>
    <xf numFmtId="0" fontId="1" fillId="0" borderId="1" xfId="0" applyFont="1"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16" fillId="3" borderId="6" xfId="0" applyFont="1" applyFill="1" applyBorder="1" applyAlignment="1">
      <alignment horizontal="center" vertical="center"/>
    </xf>
    <xf numFmtId="0" fontId="14" fillId="3" borderId="6" xfId="0" applyFont="1" applyFill="1" applyBorder="1" applyAlignment="1">
      <alignment horizontal="center"/>
    </xf>
    <xf numFmtId="0" fontId="15" fillId="3" borderId="6" xfId="0" applyFont="1" applyFill="1" applyBorder="1" applyAlignment="1">
      <alignment horizontal="center"/>
    </xf>
    <xf numFmtId="1" fontId="14" fillId="3" borderId="6" xfId="0" applyNumberFormat="1" applyFont="1" applyFill="1" applyBorder="1" applyAlignment="1">
      <alignment horizontal="center"/>
    </xf>
    <xf numFmtId="0" fontId="2" fillId="6" borderId="6" xfId="0" applyFont="1" applyFill="1" applyBorder="1" applyAlignment="1">
      <alignment horizontal="center"/>
    </xf>
    <xf numFmtId="0" fontId="17" fillId="0" borderId="6" xfId="0" applyFont="1" applyBorder="1" applyAlignment="1">
      <alignment horizontal="center"/>
    </xf>
  </cellXfs>
  <cellStyles count="2">
    <cellStyle name="Currency" xfId="1" builtinId="4"/>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hinde, Tanvay" id="{C32364B4-E3D1-4850-9AF2-2D8D336B9E04}" userId="S::tnshinde@wm.edu::4f3376a0-5099-4775-a9c8-dca63cba1d9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3" dT="2024-11-17T18:29:39.68" personId="{C32364B4-E3D1-4850-9AF2-2D8D336B9E04}" id="{DC104DB1-DFF3-4D14-BEC7-5EF5182BA733}">
    <text>Newsvendor model: taught by professor Anh</text>
  </threadedComment>
  <threadedComment ref="S3" dT="2024-11-16T21:55:40.76" personId="{C32364B4-E3D1-4850-9AF2-2D8D336B9E04}" id="{802D188D-82B2-4E23-ACE2-F1BF4C89A447}">
    <text xml:space="preserve">RISK ASSESMENT WITH FORECAST
Logic: 
For low COV styles (where I’m confident in the forecast), I will rely on the Newsvendor model (to take risk) to determine my production quantities.
For high COV styles, I will use the more conservative COV based approach (low risk) to avoid overproduction and reduce the risk of excess inventory.
</text>
  </threadedComment>
  <threadedComment ref="T3" dT="2024-11-18T03:31:42.71" personId="{C32364B4-E3D1-4850-9AF2-2D8D336B9E04}" id="{DA91C6C2-FF70-4D23-87AF-B4C286B11217}">
    <text>scaling factor approach I used because now I have to reduce the production to 10,000 from 19,627</text>
  </threadedComment>
  <threadedComment ref="U3" dT="2024-11-19T02:37:20.42" personId="{C32364B4-E3D1-4850-9AF2-2D8D336B9E04}" id="{C8D9E4E8-D04C-4159-8986-16774DCD9E99}">
    <text>Forecasting done by using Scaling Factor and Coefficient of Variation ONLY</text>
  </threadedComment>
  <threadedComment ref="V3" dT="2024-11-19T02:42:26.93" personId="{C32364B4-E3D1-4850-9AF2-2D8D336B9E04}" id="{E147409D-A911-491B-B0FB-7437E8618BDF}">
    <text>RISK ASSESMENT WITH FORECAST (MOQ)
Logic: 
For low COV styles (where I’m confident in the forecast), I will rely on the Newsvendor model (to take risk)and multiply it with Scaling factor to determine my production quantities in MOQ.
For high COV styles, I will use the more conservative COV based approach (low risk) and multiple it with SCALING FACTOR  with usage of MAX function (MOQ 600) to avoid overproduction and reduce the risk of excess inventory.
I will keep on multiplying it with new SCALING FACTOR until I get total production 10,000 units.</text>
  </threadedComment>
  <threadedComment ref="L4" dT="2024-11-16T20:58:36.12" personId="{C32364B4-E3D1-4850-9AF2-2D8D336B9E04}" id="{077F98D2-36D1-4AB0-B499-4EAFC56FB401}">
    <text>Logic: If my coefficient of variance is 0.2 or less I am sure about my forecasting. For more than that I will produce less</text>
  </threadedComment>
  <threadedComment ref="M4" dT="2024-11-16T21:06:07.73" personId="{C32364B4-E3D1-4850-9AF2-2D8D336B9E04}" id="{44AE60B8-763B-416B-AB8B-E169067A4F18}">
    <text xml:space="preserve">For products with a low CV (≤ 0.2), my strategy of producing 100% of the forecasted amount makes sense because these forecasts are more reliable.
For products with a moderate CV (0.2 &lt; CV ≤ 0.3), I will produce only 90% of the forecast as a prudent way to hedge against the risk of overproduction.
For high-uncertainty forecasts (CV &gt; 0.3), I plan to produce only 80% of the forecasted amount as a conservative approach to avoid excess inventory, which could lead to markdowns and losses.
</text>
  </threadedComment>
  <threadedComment ref="N4" dT="2024-11-16T21:18:39.47" personId="{C32364B4-E3D1-4850-9AF2-2D8D336B9E04}" id="{A59D2997-1FD3-442D-A4AC-E90B3027BAC4}">
    <text>Profit margin is 24% (lost profit if you don’t have enough units to meet demand)</text>
  </threadedComment>
  <threadedComment ref="O4" dT="2024-11-16T21:21:31.32" personId="{C32364B4-E3D1-4850-9AF2-2D8D336B9E04}" id="{26F6EDA5-FC59-4A50-BABB-68E82B027F42}">
    <text>8% loss of wholesale price. Cost of holding excess inventory (including markdown and losses)</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1-17T00:45:06.07" personId="{C32364B4-E3D1-4850-9AF2-2D8D336B9E04}" id="{95044C2F-570C-41C8-BF3D-7BC79A9FF0E7}">
    <text xml:space="preserve">Styles with quantities ≥ 1,200 units are produced in China to take advantage of lower costs.
Styles with quantities between 600 and 1,200 units are produced in Hong Kong where the MOQ is lower.
</text>
  </threadedComment>
  <threadedComment ref="B3" dT="2024-11-17T00:45:27.38" personId="{C32364B4-E3D1-4850-9AF2-2D8D336B9E04}" id="{D1D85C8A-0058-4EE9-9299-6596F3159B15}">
    <text xml:space="preserve">Produce all styles exclusively in Hong Kong, where the MOQ is lower (600 units per style).
This simplifies logistics, reduces the complexity of managing multiple suppliers, and ensures more consistent quality.
</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4-11-17T01:53:37.20" personId="{C32364B4-E3D1-4850-9AF2-2D8D336B9E04}" id="{1DEEED4E-DCEB-4E04-A89E-507F6CDEBD9C}">
    <text xml:space="preserve">Hong Kong
7.8 HK: 1 USD
China
5.7 RMB: 1 USD
Hourly Wage 
(Hong kong) = 30HK
In USD 30HK/ 7.8
7.8 HK : 1 USD
30 HK : X
X= 30/ 7.8 = 3.85 USD/ HR
----------------------
CHINA
Hourly Wage: 0.91 RMB
</text>
  </threadedComment>
  <threadedComment ref="E3" dT="2024-11-19T02:50:01.03" personId="{C32364B4-E3D1-4850-9AF2-2D8D336B9E04}" id="{362E8CD8-E371-4BBB-8DC7-7E7EA1DE16A7}">
    <text xml:space="preserve">China
5.7 RMB: 1 USD
Hourly Wage: 0.91 RMB
Hourly wage in USD = 5.7/ 0.91 = 0.16
</text>
  </threadedComment>
  <threadedComment ref="F3" dT="2024-11-19T02:48:30.67" personId="{C32364B4-E3D1-4850-9AF2-2D8D336B9E04}" id="{BD2B7B89-C1A4-4EFD-A91C-1D26B6629A83}">
    <text>Given in the case</text>
  </threadedComment>
</ThreadedComments>
</file>

<file path=xl/threadedComments/threadedComment4.xml><?xml version="1.0" encoding="utf-8"?>
<ThreadedComments xmlns="http://schemas.microsoft.com/office/spreadsheetml/2018/threadedcomments" xmlns:x="http://schemas.openxmlformats.org/spreadsheetml/2006/main">
  <threadedComment ref="F23" dT="2024-11-18T15:33:05.92" personId="{C32364B4-E3D1-4850-9AF2-2D8D336B9E04}" id="{0D8B7052-35D5-4762-8674-D2570C8D1685}">
    <text xml:space="preserve">Salary needs to pay irrespective of using it or not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D66F-D82D-4E02-9BBF-65F672AE6447}">
  <dimension ref="A1:AF45"/>
  <sheetViews>
    <sheetView tabSelected="1" topLeftCell="L1" zoomScale="73" workbookViewId="0">
      <selection activeCell="R20" sqref="R20"/>
    </sheetView>
  </sheetViews>
  <sheetFormatPr defaultRowHeight="12.5" x14ac:dyDescent="0.25"/>
  <cols>
    <col min="1" max="1" width="9.26953125" bestFit="1" customWidth="1"/>
    <col min="2" max="2" width="6" bestFit="1" customWidth="1"/>
    <col min="3" max="3" width="6.54296875" bestFit="1" customWidth="1"/>
    <col min="4" max="4" width="7.26953125" bestFit="1" customWidth="1"/>
    <col min="5" max="5" width="6.54296875" bestFit="1" customWidth="1"/>
    <col min="6" max="6" width="6.81640625" bestFit="1" customWidth="1"/>
    <col min="7" max="8" width="6.54296875" bestFit="1" customWidth="1"/>
    <col min="9" max="9" width="8.26953125" bestFit="1" customWidth="1"/>
    <col min="10" max="11" width="8.453125" bestFit="1" customWidth="1"/>
    <col min="12" max="12" width="26.6328125" bestFit="1" customWidth="1"/>
    <col min="13" max="13" width="13.36328125" bestFit="1" customWidth="1"/>
    <col min="14" max="14" width="20.1796875" bestFit="1" customWidth="1"/>
    <col min="15" max="15" width="20.7265625" bestFit="1" customWidth="1"/>
    <col min="16" max="16" width="11.81640625" bestFit="1" customWidth="1"/>
    <col min="17" max="17" width="10.81640625" bestFit="1" customWidth="1"/>
    <col min="18" max="18" width="11.90625" bestFit="1" customWidth="1"/>
    <col min="19" max="19" width="22.1796875" customWidth="1"/>
    <col min="20" max="20" width="13.81640625" bestFit="1" customWidth="1"/>
    <col min="21" max="21" width="20.26953125" style="110" bestFit="1" customWidth="1"/>
    <col min="22" max="22" width="16" bestFit="1" customWidth="1"/>
    <col min="23" max="23" width="13.54296875" bestFit="1" customWidth="1"/>
    <col min="24" max="24" width="11.81640625" bestFit="1" customWidth="1"/>
    <col min="25" max="25" width="13.54296875" bestFit="1" customWidth="1"/>
    <col min="26" max="26" width="11.81640625" bestFit="1" customWidth="1"/>
    <col min="27" max="27" width="13.54296875" bestFit="1" customWidth="1"/>
    <col min="28" max="28" width="11.81640625" bestFit="1" customWidth="1"/>
    <col min="29" max="29" width="13.54296875" bestFit="1" customWidth="1"/>
    <col min="30" max="30" width="11.81640625" bestFit="1" customWidth="1"/>
    <col min="31" max="31" width="12.26953125" bestFit="1" customWidth="1"/>
    <col min="32" max="32" width="18.08984375" style="111" customWidth="1"/>
  </cols>
  <sheetData>
    <row r="1" spans="1:32" ht="14.25" customHeight="1" x14ac:dyDescent="0.25">
      <c r="A1" s="150" t="s">
        <v>163</v>
      </c>
      <c r="B1" s="150"/>
      <c r="C1" s="150"/>
      <c r="D1" s="150"/>
      <c r="E1" s="150"/>
      <c r="F1" s="150"/>
      <c r="G1" s="150"/>
      <c r="H1" s="150"/>
      <c r="I1" s="150"/>
      <c r="J1" s="150"/>
      <c r="K1" s="150"/>
      <c r="L1" s="15"/>
      <c r="M1" s="15"/>
      <c r="N1" s="15"/>
      <c r="O1" s="15"/>
      <c r="P1" s="15"/>
      <c r="Q1" s="15"/>
      <c r="R1" s="15"/>
      <c r="S1" s="15"/>
      <c r="T1" s="15"/>
      <c r="V1" s="15"/>
      <c r="W1" s="15"/>
      <c r="X1" s="15"/>
      <c r="Y1" s="15"/>
      <c r="Z1" s="15"/>
      <c r="AA1" s="15"/>
      <c r="AB1" s="15"/>
      <c r="AC1" s="15"/>
      <c r="AD1" s="15"/>
      <c r="AE1" s="15"/>
      <c r="AF1" s="110"/>
    </row>
    <row r="2" spans="1:32" ht="32.5" customHeight="1" x14ac:dyDescent="0.25">
      <c r="A2" s="124"/>
      <c r="B2" s="125"/>
      <c r="C2" s="124"/>
      <c r="D2" s="124"/>
      <c r="E2" s="124"/>
      <c r="F2" s="124"/>
      <c r="G2" s="124"/>
      <c r="H2" s="124"/>
      <c r="I2" s="124"/>
      <c r="J2" s="124"/>
      <c r="K2" s="124"/>
      <c r="L2" s="15"/>
      <c r="M2" s="15"/>
      <c r="N2" s="15"/>
      <c r="O2" s="15"/>
      <c r="P2" s="15"/>
      <c r="Q2" s="15"/>
      <c r="R2" s="15"/>
      <c r="S2" s="15"/>
      <c r="T2" s="15"/>
      <c r="U2" s="155" t="s">
        <v>268</v>
      </c>
      <c r="V2" s="155"/>
      <c r="W2" s="155"/>
      <c r="X2" s="155"/>
      <c r="Y2" s="155"/>
      <c r="Z2" s="155"/>
      <c r="AA2" s="155"/>
      <c r="AB2" s="155"/>
      <c r="AC2" s="155"/>
      <c r="AD2" s="155"/>
      <c r="AE2" s="155"/>
      <c r="AF2" s="155"/>
    </row>
    <row r="3" spans="1:32" ht="24.5" customHeight="1" x14ac:dyDescent="0.35">
      <c r="A3" s="69"/>
      <c r="B3" s="34"/>
      <c r="C3" s="115" t="s">
        <v>186</v>
      </c>
      <c r="D3" s="116"/>
      <c r="E3" s="116"/>
      <c r="F3" s="116"/>
      <c r="G3" s="116"/>
      <c r="H3" s="116"/>
      <c r="I3" s="117" t="s">
        <v>172</v>
      </c>
      <c r="J3" s="117" t="s">
        <v>173</v>
      </c>
      <c r="K3" s="117" t="s">
        <v>174</v>
      </c>
      <c r="L3" s="119" t="s">
        <v>198</v>
      </c>
      <c r="M3" s="120"/>
      <c r="N3" s="121" t="s">
        <v>204</v>
      </c>
      <c r="O3" s="122"/>
      <c r="P3" s="122"/>
      <c r="Q3" s="122"/>
      <c r="R3" s="123"/>
      <c r="S3" s="140" t="s">
        <v>206</v>
      </c>
      <c r="T3" s="95" t="s">
        <v>242</v>
      </c>
      <c r="U3" s="143" t="s">
        <v>267</v>
      </c>
      <c r="V3" s="151"/>
      <c r="W3" s="152" t="s">
        <v>262</v>
      </c>
      <c r="X3" s="151"/>
      <c r="Y3" s="151" t="s">
        <v>263</v>
      </c>
      <c r="Z3" s="151"/>
      <c r="AA3" s="151" t="s">
        <v>264</v>
      </c>
      <c r="AB3" s="151"/>
      <c r="AC3" s="151" t="s">
        <v>265</v>
      </c>
      <c r="AD3" s="151"/>
      <c r="AE3" s="153" t="s">
        <v>266</v>
      </c>
      <c r="AF3" s="156" t="s">
        <v>247</v>
      </c>
    </row>
    <row r="4" spans="1:32" ht="15.5" x14ac:dyDescent="0.35">
      <c r="A4" s="80" t="s">
        <v>164</v>
      </c>
      <c r="B4" s="59" t="s">
        <v>165</v>
      </c>
      <c r="C4" s="58" t="s">
        <v>166</v>
      </c>
      <c r="D4" s="58" t="s">
        <v>167</v>
      </c>
      <c r="E4" s="58" t="s">
        <v>168</v>
      </c>
      <c r="F4" s="58" t="s">
        <v>169</v>
      </c>
      <c r="G4" s="58" t="s">
        <v>170</v>
      </c>
      <c r="H4" s="58" t="s">
        <v>171</v>
      </c>
      <c r="I4" s="118"/>
      <c r="J4" s="118"/>
      <c r="K4" s="118"/>
      <c r="L4" s="79" t="s">
        <v>197</v>
      </c>
      <c r="M4" s="79" t="s">
        <v>196</v>
      </c>
      <c r="N4" s="78" t="s">
        <v>199</v>
      </c>
      <c r="O4" s="78" t="s">
        <v>200</v>
      </c>
      <c r="P4" s="78" t="s">
        <v>201</v>
      </c>
      <c r="Q4" s="78" t="s">
        <v>202</v>
      </c>
      <c r="R4" s="78" t="s">
        <v>203</v>
      </c>
      <c r="S4" s="141" t="s">
        <v>205</v>
      </c>
      <c r="T4" s="77" t="s">
        <v>244</v>
      </c>
      <c r="U4" s="79" t="s">
        <v>243</v>
      </c>
      <c r="V4" s="77" t="s">
        <v>245</v>
      </c>
      <c r="W4" s="77" t="s">
        <v>246</v>
      </c>
      <c r="X4" s="77" t="s">
        <v>247</v>
      </c>
      <c r="Y4" s="77" t="s">
        <v>246</v>
      </c>
      <c r="Z4" s="77" t="s">
        <v>247</v>
      </c>
      <c r="AA4" s="77" t="s">
        <v>246</v>
      </c>
      <c r="AB4" s="77" t="s">
        <v>247</v>
      </c>
      <c r="AC4" s="77" t="s">
        <v>246</v>
      </c>
      <c r="AD4" s="77" t="s">
        <v>247</v>
      </c>
      <c r="AE4" s="144" t="s">
        <v>248</v>
      </c>
      <c r="AF4" s="157" t="s">
        <v>207</v>
      </c>
    </row>
    <row r="5" spans="1:32" ht="15.5" x14ac:dyDescent="0.35">
      <c r="A5" s="60" t="s">
        <v>175</v>
      </c>
      <c r="B5" s="70">
        <v>110</v>
      </c>
      <c r="C5" s="59">
        <v>900</v>
      </c>
      <c r="D5" s="71">
        <v>1000</v>
      </c>
      <c r="E5" s="59">
        <v>900</v>
      </c>
      <c r="F5" s="71">
        <v>1300</v>
      </c>
      <c r="G5" s="59">
        <v>800</v>
      </c>
      <c r="H5" s="71">
        <v>1200</v>
      </c>
      <c r="I5" s="71">
        <v>1017</v>
      </c>
      <c r="J5" s="59">
        <v>194</v>
      </c>
      <c r="K5" s="59">
        <v>388</v>
      </c>
      <c r="L5" s="90">
        <f t="shared" ref="L5:L14" si="0">J5/I5</f>
        <v>0.19075712881022616</v>
      </c>
      <c r="M5" s="67">
        <f t="shared" ref="M5:M14" si="1">IF(L5 &lt;= 0.2, I5, IF(L5 &lt;= 0.3, I5 * 0.9, I5 * 0.8))</f>
        <v>1017</v>
      </c>
      <c r="N5" s="63">
        <f t="shared" ref="N5:N14" si="2">0.24*B5</f>
        <v>26.4</v>
      </c>
      <c r="O5" s="64">
        <f t="shared" ref="O5:O14" si="3">0.08*B5</f>
        <v>8.8000000000000007</v>
      </c>
      <c r="P5" s="61">
        <f>N5/(N5+O5)</f>
        <v>0.74999999999999989</v>
      </c>
      <c r="Q5" s="61">
        <f>_xlfn.NORM.S.INV(P5)</f>
        <v>0.67448975019608159</v>
      </c>
      <c r="R5" s="62">
        <f>I5+(Q5*J5)</f>
        <v>1147.8510115380398</v>
      </c>
      <c r="S5" s="81">
        <f>IF(L5&lt;=0.2,R5,M5)</f>
        <v>1147.8510115380398</v>
      </c>
      <c r="T5" s="83">
        <f>10000/$S$15</f>
        <v>0.50949024564127932</v>
      </c>
      <c r="U5" s="76">
        <f>MAX(M5*T5,600)</f>
        <v>600</v>
      </c>
      <c r="V5" s="83">
        <f>MAX(IF(L5&lt;=0.2,R5,M5)*T5,600)</f>
        <v>600</v>
      </c>
      <c r="W5" s="83">
        <f>10000/$V$15</f>
        <v>0.9534280427863937</v>
      </c>
      <c r="X5" s="83">
        <f>MAX(V5*W5,600)</f>
        <v>600</v>
      </c>
      <c r="Y5" s="83">
        <f>10000/$X$15</f>
        <v>0.98894628067120594</v>
      </c>
      <c r="Z5" s="83">
        <f>MAX(X5*Y5,600)</f>
        <v>600</v>
      </c>
      <c r="AA5" s="83">
        <f>10000/$Z$15</f>
        <v>0.99735412657921085</v>
      </c>
      <c r="AB5" s="83">
        <f>MAX(Z5*AA5,600)</f>
        <v>600</v>
      </c>
      <c r="AC5" s="83">
        <f>10000/$AB$15</f>
        <v>0.99936539336033237</v>
      </c>
      <c r="AD5" s="83">
        <f>MAX(AB5*AC5,600)</f>
        <v>600</v>
      </c>
      <c r="AE5" s="154">
        <f>10000/$AD$15</f>
        <v>0.99984771759994129</v>
      </c>
      <c r="AF5" s="156">
        <f>MAX(AD5*AE5,600)</f>
        <v>600</v>
      </c>
    </row>
    <row r="6" spans="1:32" ht="15.5" x14ac:dyDescent="0.35">
      <c r="A6" s="82" t="s">
        <v>176</v>
      </c>
      <c r="B6" s="72">
        <v>99</v>
      </c>
      <c r="C6" s="73">
        <v>800</v>
      </c>
      <c r="D6" s="73">
        <v>700</v>
      </c>
      <c r="E6" s="74">
        <v>1000</v>
      </c>
      <c r="F6" s="74">
        <v>1600</v>
      </c>
      <c r="G6" s="73">
        <v>950</v>
      </c>
      <c r="H6" s="74">
        <v>1200</v>
      </c>
      <c r="I6" s="74">
        <v>1042</v>
      </c>
      <c r="J6" s="73">
        <v>323</v>
      </c>
      <c r="K6" s="73">
        <v>646</v>
      </c>
      <c r="L6" s="90">
        <f t="shared" si="0"/>
        <v>0.30998080614203455</v>
      </c>
      <c r="M6" s="67">
        <f t="shared" si="1"/>
        <v>833.6</v>
      </c>
      <c r="N6" s="63">
        <f t="shared" si="2"/>
        <v>23.759999999999998</v>
      </c>
      <c r="O6" s="64">
        <f t="shared" si="3"/>
        <v>7.92</v>
      </c>
      <c r="P6" s="61">
        <f>N6/(N6+O6)</f>
        <v>0.74999999999999989</v>
      </c>
      <c r="Q6" s="61">
        <f t="shared" ref="Q6:Q14" si="4">_xlfn.NORM.S.INV(P6)</f>
        <v>0.67448975019608159</v>
      </c>
      <c r="R6" s="62">
        <f t="shared" ref="R6:R14" si="5">I6+(Q6*J6)</f>
        <v>1259.8601893133343</v>
      </c>
      <c r="S6" s="81">
        <f t="shared" ref="S6:S14" si="6">IF(L6&lt;=0.2,R6,M6)</f>
        <v>833.6</v>
      </c>
      <c r="T6" s="83">
        <f t="shared" ref="T6:T14" si="7">10000/$S$15</f>
        <v>0.50949024564127932</v>
      </c>
      <c r="U6" s="76">
        <f>MAX(M6*T6,600)</f>
        <v>600</v>
      </c>
      <c r="V6" s="83">
        <f>MAX(IF(L6&lt;=0.2,R6,M6)*T6,600)</f>
        <v>600</v>
      </c>
      <c r="W6" s="83">
        <f t="shared" ref="W6:W14" si="8">10000/$V$15</f>
        <v>0.9534280427863937</v>
      </c>
      <c r="X6" s="83">
        <f t="shared" ref="X6:X14" si="9">MAX(V6*W6,600)</f>
        <v>600</v>
      </c>
      <c r="Y6" s="83">
        <f t="shared" ref="Y6:Y14" si="10">10000/$X$15</f>
        <v>0.98894628067120594</v>
      </c>
      <c r="Z6" s="83">
        <f t="shared" ref="Z6:Z14" si="11">MAX(X6*Y6,600)</f>
        <v>600</v>
      </c>
      <c r="AA6" s="83">
        <f t="shared" ref="AA6:AA14" si="12">10000/$Z$15</f>
        <v>0.99735412657921085</v>
      </c>
      <c r="AB6" s="83">
        <f t="shared" ref="AB6:AB14" si="13">MAX(Z6*AA6,600)</f>
        <v>600</v>
      </c>
      <c r="AC6" s="83">
        <f t="shared" ref="AC6:AC14" si="14">10000/$AB$15</f>
        <v>0.99936539336033237</v>
      </c>
      <c r="AD6" s="83">
        <f t="shared" ref="AD6:AD14" si="15">MAX(AB6*AC6,600)</f>
        <v>600</v>
      </c>
      <c r="AE6" s="154">
        <f t="shared" ref="AE6:AE14" si="16">10000/$AD$15</f>
        <v>0.99984771759994129</v>
      </c>
      <c r="AF6" s="156">
        <f t="shared" ref="AF6:AF14" si="17">MAX(AD6*AE6,600)</f>
        <v>600</v>
      </c>
    </row>
    <row r="7" spans="1:32" ht="15.5" x14ac:dyDescent="0.35">
      <c r="A7" s="60" t="s">
        <v>177</v>
      </c>
      <c r="B7" s="70">
        <v>80</v>
      </c>
      <c r="C7" s="71">
        <v>1200</v>
      </c>
      <c r="D7" s="71">
        <v>1600</v>
      </c>
      <c r="E7" s="71">
        <v>1500</v>
      </c>
      <c r="F7" s="71">
        <v>1550</v>
      </c>
      <c r="G7" s="59">
        <v>950</v>
      </c>
      <c r="H7" s="71">
        <v>1350</v>
      </c>
      <c r="I7" s="71">
        <v>1358</v>
      </c>
      <c r="J7" s="59">
        <v>248</v>
      </c>
      <c r="K7" s="59">
        <v>496</v>
      </c>
      <c r="L7" s="90">
        <f t="shared" si="0"/>
        <v>0.18262150220913106</v>
      </c>
      <c r="M7" s="67">
        <f t="shared" si="1"/>
        <v>1358</v>
      </c>
      <c r="N7" s="63">
        <f t="shared" si="2"/>
        <v>19.2</v>
      </c>
      <c r="O7" s="64">
        <f t="shared" si="3"/>
        <v>6.4</v>
      </c>
      <c r="P7" s="61">
        <f>N7/(N7+O7)</f>
        <v>0.74999999999999989</v>
      </c>
      <c r="Q7" s="61">
        <f t="shared" si="4"/>
        <v>0.67448975019608159</v>
      </c>
      <c r="R7" s="62">
        <f t="shared" si="5"/>
        <v>1525.2734580486283</v>
      </c>
      <c r="S7" s="81">
        <f t="shared" si="6"/>
        <v>1525.2734580486283</v>
      </c>
      <c r="T7" s="83">
        <f t="shared" si="7"/>
        <v>0.50949024564127932</v>
      </c>
      <c r="U7" s="76">
        <f>MAX(M7*T7,600)</f>
        <v>691.88775358085729</v>
      </c>
      <c r="V7" s="83">
        <f>MAX(IF(L7&lt;=0.2,R7,M7)*T7,600)</f>
        <v>777.11194881131917</v>
      </c>
      <c r="W7" s="83">
        <f t="shared" si="8"/>
        <v>0.9534280427863937</v>
      </c>
      <c r="X7" s="83">
        <f t="shared" si="9"/>
        <v>740.92032438109618</v>
      </c>
      <c r="Y7" s="83">
        <f t="shared" si="10"/>
        <v>0.98894628067120594</v>
      </c>
      <c r="Z7" s="83">
        <f t="shared" si="11"/>
        <v>732.73039907038844</v>
      </c>
      <c r="AA7" s="83">
        <f t="shared" si="12"/>
        <v>0.99735412657921085</v>
      </c>
      <c r="AB7" s="83">
        <f t="shared" si="13"/>
        <v>730.79168718288383</v>
      </c>
      <c r="AC7" s="83">
        <f t="shared" si="14"/>
        <v>0.99936539336033237</v>
      </c>
      <c r="AD7" s="83">
        <f t="shared" si="15"/>
        <v>730.32792192598367</v>
      </c>
      <c r="AE7" s="154">
        <f t="shared" si="16"/>
        <v>0.99984771759994129</v>
      </c>
      <c r="AF7" s="156">
        <f t="shared" si="17"/>
        <v>730.21670583720288</v>
      </c>
    </row>
    <row r="8" spans="1:32" ht="15.5" x14ac:dyDescent="0.35">
      <c r="A8" s="60" t="s">
        <v>178</v>
      </c>
      <c r="B8" s="70">
        <v>90</v>
      </c>
      <c r="C8" s="71">
        <v>2500</v>
      </c>
      <c r="D8" s="71">
        <v>1900</v>
      </c>
      <c r="E8" s="71">
        <v>2700</v>
      </c>
      <c r="F8" s="71">
        <v>2450</v>
      </c>
      <c r="G8" s="71">
        <v>2800</v>
      </c>
      <c r="H8" s="71">
        <v>2800</v>
      </c>
      <c r="I8" s="71">
        <v>2525</v>
      </c>
      <c r="J8" s="59">
        <v>340</v>
      </c>
      <c r="K8" s="59">
        <v>680</v>
      </c>
      <c r="L8" s="90">
        <f t="shared" si="0"/>
        <v>0.13465346534653466</v>
      </c>
      <c r="M8" s="67">
        <f t="shared" si="1"/>
        <v>2525</v>
      </c>
      <c r="N8" s="63">
        <f t="shared" si="2"/>
        <v>21.599999999999998</v>
      </c>
      <c r="O8" s="64">
        <f t="shared" si="3"/>
        <v>7.2</v>
      </c>
      <c r="P8" s="61">
        <f t="shared" ref="P8:P14" si="18">N8/(N8+O8)</f>
        <v>0.75</v>
      </c>
      <c r="Q8" s="61">
        <f t="shared" si="4"/>
        <v>0.67448975019608193</v>
      </c>
      <c r="R8" s="62">
        <f t="shared" si="5"/>
        <v>2754.326515066668</v>
      </c>
      <c r="S8" s="81">
        <f t="shared" si="6"/>
        <v>2754.326515066668</v>
      </c>
      <c r="T8" s="83">
        <f>10000/$S$15</f>
        <v>0.50949024564127932</v>
      </c>
      <c r="U8" s="76">
        <f t="shared" ref="U8:U14" si="19">MAX(M8*T8,600)</f>
        <v>1286.4628702442303</v>
      </c>
      <c r="V8" s="83">
        <f>MAX(IF(L8&lt;=0.2,R8,M8)*T8,600)</f>
        <v>1403.3024927376055</v>
      </c>
      <c r="W8" s="83">
        <f t="shared" si="8"/>
        <v>0.9534280427863937</v>
      </c>
      <c r="X8" s="83">
        <f t="shared" si="9"/>
        <v>1337.9479490880826</v>
      </c>
      <c r="Y8" s="83">
        <f>10000/$X$15</f>
        <v>0.98894628067120594</v>
      </c>
      <c r="Z8" s="83">
        <f t="shared" si="11"/>
        <v>1323.1586479823272</v>
      </c>
      <c r="AA8" s="83">
        <f t="shared" si="12"/>
        <v>0.99735412657921085</v>
      </c>
      <c r="AB8" s="83">
        <f t="shared" si="13"/>
        <v>1319.6577376841435</v>
      </c>
      <c r="AC8" s="83">
        <f t="shared" si="14"/>
        <v>0.99936539336033237</v>
      </c>
      <c r="AD8" s="83">
        <f t="shared" si="15"/>
        <v>1318.8202741217203</v>
      </c>
      <c r="AE8" s="154">
        <f t="shared" si="16"/>
        <v>0.99984771759994129</v>
      </c>
      <c r="AF8" s="156">
        <f t="shared" si="17"/>
        <v>1318.619441005131</v>
      </c>
    </row>
    <row r="9" spans="1:32" ht="15.5" x14ac:dyDescent="0.35">
      <c r="A9" s="82" t="s">
        <v>179</v>
      </c>
      <c r="B9" s="72">
        <v>123</v>
      </c>
      <c r="C9" s="73">
        <v>800</v>
      </c>
      <c r="D9" s="73">
        <v>900</v>
      </c>
      <c r="E9" s="74">
        <v>1000</v>
      </c>
      <c r="F9" s="74">
        <v>1100</v>
      </c>
      <c r="G9" s="73">
        <v>950</v>
      </c>
      <c r="H9" s="74">
        <v>1850</v>
      </c>
      <c r="I9" s="74">
        <v>1100</v>
      </c>
      <c r="J9" s="73">
        <v>381</v>
      </c>
      <c r="K9" s="73">
        <v>762</v>
      </c>
      <c r="L9" s="90">
        <f t="shared" si="0"/>
        <v>0.34636363636363637</v>
      </c>
      <c r="M9" s="67">
        <f t="shared" si="1"/>
        <v>880</v>
      </c>
      <c r="N9" s="63">
        <f t="shared" si="2"/>
        <v>29.52</v>
      </c>
      <c r="O9" s="64">
        <f t="shared" si="3"/>
        <v>9.84</v>
      </c>
      <c r="P9" s="61">
        <f t="shared" si="18"/>
        <v>0.75</v>
      </c>
      <c r="Q9" s="61">
        <f t="shared" si="4"/>
        <v>0.67448975019608193</v>
      </c>
      <c r="R9" s="62">
        <f t="shared" si="5"/>
        <v>1356.9805948247072</v>
      </c>
      <c r="S9" s="81">
        <f t="shared" si="6"/>
        <v>880</v>
      </c>
      <c r="T9" s="83">
        <f t="shared" si="7"/>
        <v>0.50949024564127932</v>
      </c>
      <c r="U9" s="76">
        <f t="shared" si="19"/>
        <v>600</v>
      </c>
      <c r="V9" s="83">
        <f>MAX(IF(L9&lt;=0.2,R9,M9)*T9,600)</f>
        <v>600</v>
      </c>
      <c r="W9" s="83">
        <f t="shared" si="8"/>
        <v>0.9534280427863937</v>
      </c>
      <c r="X9" s="83">
        <f t="shared" si="9"/>
        <v>600</v>
      </c>
      <c r="Y9" s="83">
        <f t="shared" si="10"/>
        <v>0.98894628067120594</v>
      </c>
      <c r="Z9" s="83">
        <f t="shared" si="11"/>
        <v>600</v>
      </c>
      <c r="AA9" s="83">
        <f t="shared" si="12"/>
        <v>0.99735412657921085</v>
      </c>
      <c r="AB9" s="83">
        <f t="shared" si="13"/>
        <v>600</v>
      </c>
      <c r="AC9" s="83">
        <f t="shared" si="14"/>
        <v>0.99936539336033237</v>
      </c>
      <c r="AD9" s="83">
        <f t="shared" si="15"/>
        <v>600</v>
      </c>
      <c r="AE9" s="154">
        <f t="shared" si="16"/>
        <v>0.99984771759994129</v>
      </c>
      <c r="AF9" s="156">
        <f t="shared" si="17"/>
        <v>600</v>
      </c>
    </row>
    <row r="10" spans="1:32" ht="15.5" x14ac:dyDescent="0.35">
      <c r="A10" s="60" t="s">
        <v>180</v>
      </c>
      <c r="B10" s="70">
        <v>173</v>
      </c>
      <c r="C10" s="71">
        <v>2500</v>
      </c>
      <c r="D10" s="71">
        <v>1900</v>
      </c>
      <c r="E10" s="71">
        <v>1900</v>
      </c>
      <c r="F10" s="71">
        <v>2800</v>
      </c>
      <c r="G10" s="71">
        <v>1800</v>
      </c>
      <c r="H10" s="71">
        <v>2000</v>
      </c>
      <c r="I10" s="71">
        <v>2150</v>
      </c>
      <c r="J10" s="59">
        <v>404</v>
      </c>
      <c r="K10" s="59">
        <v>807</v>
      </c>
      <c r="L10" s="90">
        <f t="shared" si="0"/>
        <v>0.18790697674418605</v>
      </c>
      <c r="M10" s="67">
        <f t="shared" si="1"/>
        <v>2150</v>
      </c>
      <c r="N10" s="63">
        <f t="shared" si="2"/>
        <v>41.519999999999996</v>
      </c>
      <c r="O10" s="64">
        <f t="shared" si="3"/>
        <v>13.84</v>
      </c>
      <c r="P10" s="61">
        <f t="shared" si="18"/>
        <v>0.74999999999999989</v>
      </c>
      <c r="Q10" s="61">
        <f t="shared" si="4"/>
        <v>0.67448975019608159</v>
      </c>
      <c r="R10" s="62">
        <f t="shared" si="5"/>
        <v>2422.4938590792171</v>
      </c>
      <c r="S10" s="81">
        <f t="shared" si="6"/>
        <v>2422.4938590792171</v>
      </c>
      <c r="T10" s="83">
        <f t="shared" si="7"/>
        <v>0.50949024564127932</v>
      </c>
      <c r="U10" s="76">
        <f t="shared" si="19"/>
        <v>1095.4040281287505</v>
      </c>
      <c r="V10" s="83">
        <f>MAX(IF(L10&lt;=0.2,R10,M10)*T10,600)</f>
        <v>1234.236991326761</v>
      </c>
      <c r="W10" s="83">
        <f t="shared" si="8"/>
        <v>0.9534280427863937</v>
      </c>
      <c r="X10" s="83">
        <f t="shared" si="9"/>
        <v>1176.7561589752409</v>
      </c>
      <c r="Y10" s="83">
        <f t="shared" si="10"/>
        <v>0.98894628067120594</v>
      </c>
      <c r="Z10" s="83">
        <f t="shared" si="11"/>
        <v>1163.7486266754988</v>
      </c>
      <c r="AA10" s="83">
        <f t="shared" si="12"/>
        <v>0.99735412657921085</v>
      </c>
      <c r="AB10" s="83">
        <f t="shared" si="13"/>
        <v>1160.6694951156983</v>
      </c>
      <c r="AC10" s="83">
        <f t="shared" si="14"/>
        <v>0.99936539336033237</v>
      </c>
      <c r="AD10" s="83">
        <f t="shared" si="15"/>
        <v>1159.9329265476381</v>
      </c>
      <c r="AE10" s="154">
        <f t="shared" si="16"/>
        <v>0.99984771759994129</v>
      </c>
      <c r="AF10" s="156">
        <f t="shared" si="17"/>
        <v>1159.7562891776763</v>
      </c>
    </row>
    <row r="11" spans="1:32" ht="15.5" x14ac:dyDescent="0.35">
      <c r="A11" s="82" t="s">
        <v>181</v>
      </c>
      <c r="B11" s="72">
        <v>133</v>
      </c>
      <c r="C11" s="73">
        <v>600</v>
      </c>
      <c r="D11" s="73">
        <v>900</v>
      </c>
      <c r="E11" s="74">
        <v>1000</v>
      </c>
      <c r="F11" s="74">
        <v>1100</v>
      </c>
      <c r="G11" s="73">
        <v>950</v>
      </c>
      <c r="H11" s="74">
        <v>2125</v>
      </c>
      <c r="I11" s="74">
        <v>1113</v>
      </c>
      <c r="J11" s="73">
        <v>524</v>
      </c>
      <c r="K11" s="74">
        <v>1048</v>
      </c>
      <c r="L11" s="90">
        <f t="shared" si="0"/>
        <v>0.47079964061096136</v>
      </c>
      <c r="M11" s="67">
        <f t="shared" si="1"/>
        <v>890.40000000000009</v>
      </c>
      <c r="N11" s="63">
        <f t="shared" si="2"/>
        <v>31.919999999999998</v>
      </c>
      <c r="O11" s="64">
        <f t="shared" si="3"/>
        <v>10.64</v>
      </c>
      <c r="P11" s="61">
        <f t="shared" si="18"/>
        <v>0.74999999999999989</v>
      </c>
      <c r="Q11" s="61">
        <f t="shared" si="4"/>
        <v>0.67448975019608159</v>
      </c>
      <c r="R11" s="62">
        <f t="shared" si="5"/>
        <v>1466.4326291027469</v>
      </c>
      <c r="S11" s="81">
        <f t="shared" si="6"/>
        <v>890.40000000000009</v>
      </c>
      <c r="T11" s="83">
        <f t="shared" si="7"/>
        <v>0.50949024564127932</v>
      </c>
      <c r="U11" s="76">
        <f t="shared" si="19"/>
        <v>600</v>
      </c>
      <c r="V11" s="83">
        <f>MAX(IF(L11&lt;=0.2,R11,M11)*T11,600)</f>
        <v>600</v>
      </c>
      <c r="W11" s="83">
        <f t="shared" si="8"/>
        <v>0.9534280427863937</v>
      </c>
      <c r="X11" s="83">
        <f t="shared" si="9"/>
        <v>600</v>
      </c>
      <c r="Y11" s="83">
        <f t="shared" si="10"/>
        <v>0.98894628067120594</v>
      </c>
      <c r="Z11" s="83">
        <f t="shared" si="11"/>
        <v>600</v>
      </c>
      <c r="AA11" s="83">
        <f t="shared" si="12"/>
        <v>0.99735412657921085</v>
      </c>
      <c r="AB11" s="83">
        <f t="shared" si="13"/>
        <v>600</v>
      </c>
      <c r="AC11" s="83">
        <f t="shared" si="14"/>
        <v>0.99936539336033237</v>
      </c>
      <c r="AD11" s="83">
        <f t="shared" si="15"/>
        <v>600</v>
      </c>
      <c r="AE11" s="154">
        <f t="shared" si="16"/>
        <v>0.99984771759994129</v>
      </c>
      <c r="AF11" s="156">
        <f t="shared" si="17"/>
        <v>600</v>
      </c>
    </row>
    <row r="12" spans="1:32" ht="15.5" x14ac:dyDescent="0.35">
      <c r="A12" s="60" t="s">
        <v>182</v>
      </c>
      <c r="B12" s="70">
        <v>73</v>
      </c>
      <c r="C12" s="71">
        <v>4600</v>
      </c>
      <c r="D12" s="71">
        <v>4300</v>
      </c>
      <c r="E12" s="71">
        <v>3900</v>
      </c>
      <c r="F12" s="71">
        <v>4000</v>
      </c>
      <c r="G12" s="71">
        <v>4300</v>
      </c>
      <c r="H12" s="71">
        <v>3000</v>
      </c>
      <c r="I12" s="71">
        <v>4017</v>
      </c>
      <c r="J12" s="59">
        <v>556</v>
      </c>
      <c r="K12" s="71">
        <v>1113</v>
      </c>
      <c r="L12" s="90">
        <f t="shared" si="0"/>
        <v>0.13841175006223549</v>
      </c>
      <c r="M12" s="67">
        <f t="shared" si="1"/>
        <v>4017</v>
      </c>
      <c r="N12" s="63">
        <f t="shared" si="2"/>
        <v>17.52</v>
      </c>
      <c r="O12" s="64">
        <f t="shared" si="3"/>
        <v>5.84</v>
      </c>
      <c r="P12" s="61">
        <f t="shared" si="18"/>
        <v>0.75</v>
      </c>
      <c r="Q12" s="61">
        <f t="shared" si="4"/>
        <v>0.67448975019608193</v>
      </c>
      <c r="R12" s="62">
        <f t="shared" si="5"/>
        <v>4392.0163011090217</v>
      </c>
      <c r="S12" s="81">
        <f t="shared" si="6"/>
        <v>4392.0163011090217</v>
      </c>
      <c r="T12" s="83">
        <f t="shared" si="7"/>
        <v>0.50949024564127932</v>
      </c>
      <c r="U12" s="76">
        <f t="shared" si="19"/>
        <v>2046.6223167410189</v>
      </c>
      <c r="V12" s="83">
        <f>MAX(IF(L12&lt;=0.2,R12,M12)*T12,600)</f>
        <v>2237.6894641125386</v>
      </c>
      <c r="W12" s="83">
        <f t="shared" si="8"/>
        <v>0.9534280427863937</v>
      </c>
      <c r="X12" s="83">
        <f t="shared" si="9"/>
        <v>2133.4758861325518</v>
      </c>
      <c r="Y12" s="83">
        <f t="shared" si="10"/>
        <v>0.98894628067120594</v>
      </c>
      <c r="Z12" s="83">
        <f t="shared" si="11"/>
        <v>2109.8930424924924</v>
      </c>
      <c r="AA12" s="83">
        <f t="shared" si="12"/>
        <v>0.99735412657921085</v>
      </c>
      <c r="AB12" s="83">
        <f t="shared" si="13"/>
        <v>2104.3105325706538</v>
      </c>
      <c r="AC12" s="83">
        <f t="shared" si="14"/>
        <v>0.99936539336033237</v>
      </c>
      <c r="AD12" s="83">
        <f t="shared" si="15"/>
        <v>2102.9751231347618</v>
      </c>
      <c r="AE12" s="154">
        <f t="shared" si="16"/>
        <v>0.99984771759994129</v>
      </c>
      <c r="AF12" s="156">
        <f t="shared" si="17"/>
        <v>2102.6548770357472</v>
      </c>
    </row>
    <row r="13" spans="1:32" ht="15.5" x14ac:dyDescent="0.35">
      <c r="A13" s="82" t="s">
        <v>183</v>
      </c>
      <c r="B13" s="72">
        <v>93</v>
      </c>
      <c r="C13" s="74">
        <v>4400</v>
      </c>
      <c r="D13" s="74">
        <v>3300</v>
      </c>
      <c r="E13" s="74">
        <v>3500</v>
      </c>
      <c r="F13" s="74">
        <v>1500</v>
      </c>
      <c r="G13" s="74">
        <v>4200</v>
      </c>
      <c r="H13" s="74">
        <v>2875</v>
      </c>
      <c r="I13" s="74">
        <v>3296</v>
      </c>
      <c r="J13" s="74">
        <v>1047</v>
      </c>
      <c r="K13" s="74">
        <v>2094</v>
      </c>
      <c r="L13" s="90">
        <f t="shared" si="0"/>
        <v>0.31765776699029125</v>
      </c>
      <c r="M13" s="67">
        <f t="shared" si="1"/>
        <v>2636.8</v>
      </c>
      <c r="N13" s="63">
        <f t="shared" si="2"/>
        <v>22.32</v>
      </c>
      <c r="O13" s="64">
        <f t="shared" si="3"/>
        <v>7.44</v>
      </c>
      <c r="P13" s="61">
        <f t="shared" si="18"/>
        <v>0.75</v>
      </c>
      <c r="Q13" s="61">
        <f t="shared" si="4"/>
        <v>0.67448975019608193</v>
      </c>
      <c r="R13" s="62">
        <f t="shared" si="5"/>
        <v>4002.190768455298</v>
      </c>
      <c r="S13" s="81">
        <f t="shared" si="6"/>
        <v>2636.8</v>
      </c>
      <c r="T13" s="83">
        <f t="shared" si="7"/>
        <v>0.50949024564127932</v>
      </c>
      <c r="U13" s="76">
        <f t="shared" si="19"/>
        <v>1343.4238797069254</v>
      </c>
      <c r="V13" s="83">
        <f>MAX(IF(L13&lt;=0.2,R13,M13)*T13,600)</f>
        <v>1343.4238797069254</v>
      </c>
      <c r="W13" s="83">
        <f t="shared" si="8"/>
        <v>0.9534280427863937</v>
      </c>
      <c r="X13" s="83">
        <f t="shared" si="9"/>
        <v>1280.8580002614774</v>
      </c>
      <c r="Y13" s="83">
        <f t="shared" si="10"/>
        <v>0.98894628067120594</v>
      </c>
      <c r="Z13" s="83">
        <f t="shared" si="11"/>
        <v>1266.6997554265465</v>
      </c>
      <c r="AA13" s="83">
        <f t="shared" si="12"/>
        <v>0.99735412657921085</v>
      </c>
      <c r="AB13" s="83">
        <f t="shared" si="13"/>
        <v>1263.3482282115433</v>
      </c>
      <c r="AC13" s="83">
        <f t="shared" si="14"/>
        <v>0.99936539336033237</v>
      </c>
      <c r="AD13" s="83">
        <f t="shared" si="15"/>
        <v>1262.5464990377079</v>
      </c>
      <c r="AE13" s="154">
        <f t="shared" si="16"/>
        <v>0.99984771759994129</v>
      </c>
      <c r="AF13" s="156">
        <f t="shared" si="17"/>
        <v>1262.3542354266488</v>
      </c>
    </row>
    <row r="14" spans="1:32" ht="15.5" x14ac:dyDescent="0.35">
      <c r="A14" s="82" t="s">
        <v>184</v>
      </c>
      <c r="B14" s="72">
        <v>148</v>
      </c>
      <c r="C14" s="74">
        <v>1700</v>
      </c>
      <c r="D14" s="74">
        <v>3500</v>
      </c>
      <c r="E14" s="74">
        <v>2600</v>
      </c>
      <c r="F14" s="74">
        <v>2600</v>
      </c>
      <c r="G14" s="74">
        <v>2300</v>
      </c>
      <c r="H14" s="74">
        <v>1600</v>
      </c>
      <c r="I14" s="74">
        <v>2383</v>
      </c>
      <c r="J14" s="73">
        <v>697</v>
      </c>
      <c r="K14" s="74">
        <v>1394</v>
      </c>
      <c r="L14" s="90">
        <f t="shared" si="0"/>
        <v>0.29248845992446498</v>
      </c>
      <c r="M14" s="67">
        <f t="shared" si="1"/>
        <v>2144.7000000000003</v>
      </c>
      <c r="N14" s="63">
        <f t="shared" si="2"/>
        <v>35.519999999999996</v>
      </c>
      <c r="O14" s="64">
        <f t="shared" si="3"/>
        <v>11.84</v>
      </c>
      <c r="P14" s="61">
        <f t="shared" si="18"/>
        <v>0.74999999999999989</v>
      </c>
      <c r="Q14" s="61">
        <f t="shared" si="4"/>
        <v>0.67448975019608159</v>
      </c>
      <c r="R14" s="62">
        <f t="shared" si="5"/>
        <v>2853.1193558866689</v>
      </c>
      <c r="S14" s="81">
        <f t="shared" si="6"/>
        <v>2144.7000000000003</v>
      </c>
      <c r="T14" s="83">
        <f t="shared" si="7"/>
        <v>0.50949024564127932</v>
      </c>
      <c r="U14" s="76">
        <f t="shared" si="19"/>
        <v>1092.7037298268519</v>
      </c>
      <c r="V14" s="83">
        <f>MAX(IF(L14&lt;=0.2,R14,M14)*T14,600)</f>
        <v>1092.7037298268519</v>
      </c>
      <c r="W14" s="83">
        <f t="shared" si="8"/>
        <v>0.9534280427863937</v>
      </c>
      <c r="X14" s="83">
        <f t="shared" si="9"/>
        <v>1041.8143784742078</v>
      </c>
      <c r="Y14" s="83">
        <f t="shared" si="10"/>
        <v>0.98894628067120594</v>
      </c>
      <c r="Z14" s="83">
        <f t="shared" si="11"/>
        <v>1030.2984547418519</v>
      </c>
      <c r="AA14" s="83">
        <f t="shared" si="12"/>
        <v>0.99735412657921085</v>
      </c>
      <c r="AB14" s="83">
        <f t="shared" si="13"/>
        <v>1027.5724154449701</v>
      </c>
      <c r="AC14" s="83">
        <f t="shared" si="14"/>
        <v>0.99936539336033237</v>
      </c>
      <c r="AD14" s="83">
        <f t="shared" si="15"/>
        <v>1026.9203111673894</v>
      </c>
      <c r="AE14" s="154">
        <f t="shared" si="16"/>
        <v>0.99984771759994129</v>
      </c>
      <c r="AF14" s="156">
        <f t="shared" si="17"/>
        <v>1026.7639292777358</v>
      </c>
    </row>
    <row r="15" spans="1:32" ht="15.5" x14ac:dyDescent="0.35">
      <c r="A15" s="60" t="s">
        <v>185</v>
      </c>
      <c r="B15" s="75"/>
      <c r="C15" s="71">
        <v>20000</v>
      </c>
      <c r="D15" s="71">
        <v>20000</v>
      </c>
      <c r="E15" s="71">
        <v>20000</v>
      </c>
      <c r="F15" s="71">
        <v>20000</v>
      </c>
      <c r="G15" s="71">
        <v>20000</v>
      </c>
      <c r="H15" s="71">
        <v>20000</v>
      </c>
      <c r="I15" s="71">
        <v>20000</v>
      </c>
      <c r="J15" s="75"/>
      <c r="K15" s="75"/>
      <c r="L15" s="68"/>
      <c r="M15" s="76">
        <f>SUM(M5:M14)</f>
        <v>18452.5</v>
      </c>
      <c r="N15" s="65"/>
      <c r="O15" s="66"/>
      <c r="P15" s="66"/>
      <c r="Q15" s="66"/>
      <c r="R15" s="77">
        <f>SUM(R5:R14)</f>
        <v>23180.54468242433</v>
      </c>
      <c r="S15" s="142">
        <f>SUM(S5:S14)</f>
        <v>19627.461144841574</v>
      </c>
      <c r="T15" s="83"/>
      <c r="U15" s="76">
        <f>SUM(U5:U14)</f>
        <v>9956.5045782286343</v>
      </c>
      <c r="V15" s="83">
        <f>SUM(V5:V14)</f>
        <v>10488.468506522</v>
      </c>
      <c r="W15" s="83"/>
      <c r="X15" s="83">
        <f>SUM(X5:X14)</f>
        <v>10111.772697312657</v>
      </c>
      <c r="Y15" s="83"/>
      <c r="Z15" s="83">
        <f>SUM(Z5:Z14)</f>
        <v>10026.528926389106</v>
      </c>
      <c r="AA15" s="83"/>
      <c r="AB15" s="83">
        <f>SUM(AB5:AB14)</f>
        <v>10006.350096209893</v>
      </c>
      <c r="AC15" s="83"/>
      <c r="AD15" s="83">
        <f>SUM(AD5:AD14)</f>
        <v>10001.5230559352</v>
      </c>
      <c r="AE15" s="154"/>
      <c r="AF15" s="158">
        <f>SUM(AF5:AF14)</f>
        <v>10000.36547776014</v>
      </c>
    </row>
    <row r="16" spans="1:32" x14ac:dyDescent="0.25">
      <c r="A16" s="126"/>
      <c r="B16" s="126"/>
      <c r="C16" s="126"/>
      <c r="D16" s="126"/>
      <c r="E16" s="126"/>
      <c r="F16" s="126"/>
      <c r="G16" s="126"/>
      <c r="H16" s="126"/>
      <c r="I16" s="126"/>
      <c r="J16" s="126"/>
      <c r="K16" s="126"/>
    </row>
    <row r="17" spans="1:16" x14ac:dyDescent="0.25">
      <c r="A17" s="114" t="s">
        <v>187</v>
      </c>
      <c r="B17" s="112"/>
      <c r="C17" s="112"/>
      <c r="D17" s="112"/>
      <c r="E17" s="112"/>
      <c r="F17" s="112"/>
      <c r="G17" s="112"/>
      <c r="H17" s="112"/>
      <c r="I17" s="112"/>
      <c r="J17" s="112"/>
      <c r="K17" s="112"/>
    </row>
    <row r="18" spans="1:16" x14ac:dyDescent="0.25">
      <c r="A18" s="112" t="s">
        <v>188</v>
      </c>
      <c r="B18" s="112"/>
      <c r="C18" s="112"/>
      <c r="D18" s="112"/>
      <c r="E18" s="112"/>
      <c r="F18" s="112"/>
      <c r="G18" s="112"/>
      <c r="H18" s="112"/>
      <c r="I18" s="112"/>
      <c r="J18" s="112"/>
      <c r="K18" s="112"/>
    </row>
    <row r="19" spans="1:16" ht="13" x14ac:dyDescent="0.3">
      <c r="A19" s="112" t="s">
        <v>189</v>
      </c>
      <c r="B19" s="112"/>
      <c r="C19" s="112"/>
      <c r="D19" s="112"/>
      <c r="E19" s="112"/>
      <c r="F19" s="112"/>
      <c r="G19" s="112"/>
      <c r="H19" s="112"/>
      <c r="I19" s="112"/>
      <c r="J19" s="112"/>
      <c r="K19" s="112"/>
      <c r="O19" s="159" t="s">
        <v>271</v>
      </c>
      <c r="P19" s="159"/>
    </row>
    <row r="20" spans="1:16" ht="93.5" x14ac:dyDescent="2.1">
      <c r="A20" s="112" t="s">
        <v>190</v>
      </c>
      <c r="B20" s="112"/>
      <c r="C20" s="112"/>
      <c r="D20" s="112"/>
      <c r="E20" s="112"/>
      <c r="F20" s="112"/>
      <c r="G20" s="112"/>
      <c r="H20" s="112"/>
      <c r="I20" s="112"/>
      <c r="J20" s="112"/>
      <c r="K20" s="112"/>
      <c r="O20" s="160" t="s">
        <v>270</v>
      </c>
      <c r="P20" s="160"/>
    </row>
    <row r="21" spans="1:16" x14ac:dyDescent="0.25">
      <c r="A21" s="112" t="s">
        <v>191</v>
      </c>
      <c r="B21" s="112"/>
      <c r="C21" s="112"/>
      <c r="D21" s="112"/>
      <c r="E21" s="112"/>
      <c r="F21" s="112"/>
      <c r="G21" s="112"/>
      <c r="H21" s="112"/>
      <c r="I21" s="112"/>
      <c r="J21" s="112"/>
      <c r="K21" s="112"/>
    </row>
    <row r="22" spans="1:16" x14ac:dyDescent="0.25">
      <c r="A22" s="112" t="s">
        <v>192</v>
      </c>
      <c r="B22" s="112"/>
      <c r="C22" s="112"/>
      <c r="D22" s="112"/>
      <c r="E22" s="112"/>
      <c r="F22" s="112"/>
      <c r="G22" s="112"/>
      <c r="H22" s="112"/>
      <c r="I22" s="112"/>
      <c r="J22" s="112"/>
      <c r="K22" s="112"/>
    </row>
    <row r="23" spans="1:16" x14ac:dyDescent="0.25">
      <c r="A23" s="112" t="s">
        <v>193</v>
      </c>
      <c r="B23" s="112"/>
      <c r="C23" s="112"/>
      <c r="D23" s="112"/>
      <c r="E23" s="112"/>
      <c r="F23" s="112"/>
      <c r="G23" s="112"/>
      <c r="H23" s="112"/>
      <c r="I23" s="112"/>
      <c r="J23" s="112"/>
      <c r="K23" s="112"/>
    </row>
    <row r="24" spans="1:16" x14ac:dyDescent="0.25">
      <c r="A24" s="112" t="s">
        <v>194</v>
      </c>
      <c r="B24" s="112"/>
      <c r="C24" s="112"/>
      <c r="D24" s="112"/>
      <c r="E24" s="112"/>
      <c r="F24" s="112"/>
      <c r="G24" s="112"/>
      <c r="H24" s="112"/>
      <c r="I24" s="112"/>
      <c r="J24" s="112"/>
      <c r="K24" s="112"/>
    </row>
    <row r="25" spans="1:16" x14ac:dyDescent="0.25">
      <c r="A25" s="28"/>
      <c r="B25" s="30"/>
      <c r="C25" s="20"/>
    </row>
    <row r="26" spans="1:16" x14ac:dyDescent="0.25">
      <c r="A26" s="28"/>
      <c r="B26" s="30"/>
      <c r="C26" s="20"/>
    </row>
    <row r="27" spans="1:16" x14ac:dyDescent="0.25">
      <c r="A27" s="28"/>
      <c r="B27" s="30"/>
      <c r="C27" s="20"/>
    </row>
    <row r="28" spans="1:16" x14ac:dyDescent="0.25">
      <c r="A28" s="28"/>
      <c r="B28" s="30"/>
      <c r="C28" s="20"/>
    </row>
    <row r="29" spans="1:16" x14ac:dyDescent="0.25">
      <c r="A29" s="28"/>
      <c r="B29" s="30"/>
      <c r="C29" s="20"/>
    </row>
    <row r="30" spans="1:16" x14ac:dyDescent="0.25">
      <c r="A30" s="28"/>
      <c r="B30" s="30"/>
      <c r="C30" s="20"/>
    </row>
    <row r="31" spans="1:16" x14ac:dyDescent="0.25">
      <c r="A31" s="28"/>
      <c r="B31" s="30"/>
      <c r="C31" s="20"/>
    </row>
    <row r="32" spans="1:16" x14ac:dyDescent="0.25">
      <c r="A32" s="28"/>
      <c r="B32" s="30"/>
      <c r="C32" s="20"/>
    </row>
    <row r="33" spans="1:3" x14ac:dyDescent="0.25">
      <c r="A33" s="28"/>
      <c r="B33" s="30"/>
      <c r="C33" s="20"/>
    </row>
    <row r="34" spans="1:3" x14ac:dyDescent="0.25">
      <c r="A34" s="28"/>
      <c r="B34" s="30"/>
      <c r="C34" s="20"/>
    </row>
    <row r="35" spans="1:3" x14ac:dyDescent="0.25">
      <c r="A35" s="28"/>
      <c r="B35" s="30"/>
      <c r="C35" s="20"/>
    </row>
    <row r="36" spans="1:3" x14ac:dyDescent="0.25">
      <c r="A36" s="28"/>
      <c r="B36" s="30"/>
      <c r="C36" s="20"/>
    </row>
    <row r="37" spans="1:3" x14ac:dyDescent="0.25">
      <c r="A37" s="28"/>
      <c r="B37" s="30"/>
      <c r="C37" s="20"/>
    </row>
    <row r="38" spans="1:3" x14ac:dyDescent="0.25">
      <c r="A38" s="28"/>
      <c r="B38" s="30"/>
      <c r="C38" s="20"/>
    </row>
    <row r="39" spans="1:3" x14ac:dyDescent="0.25">
      <c r="A39" s="28"/>
      <c r="B39" s="30"/>
      <c r="C39" s="20"/>
    </row>
    <row r="40" spans="1:3" x14ac:dyDescent="0.25">
      <c r="A40" s="28"/>
      <c r="B40" s="30"/>
      <c r="C40" s="20"/>
    </row>
    <row r="41" spans="1:3" x14ac:dyDescent="0.25">
      <c r="A41" s="28"/>
      <c r="B41" s="30"/>
      <c r="C41" s="20"/>
    </row>
    <row r="42" spans="1:3" x14ac:dyDescent="0.25">
      <c r="A42" s="28"/>
      <c r="B42" s="30"/>
      <c r="C42" s="20"/>
    </row>
    <row r="43" spans="1:3" x14ac:dyDescent="0.25">
      <c r="A43" s="28"/>
      <c r="B43" s="30"/>
      <c r="C43" s="20"/>
    </row>
    <row r="45" spans="1:3" x14ac:dyDescent="0.25">
      <c r="A45" s="35"/>
      <c r="B45" s="35"/>
      <c r="C45" s="35"/>
    </row>
  </sheetData>
  <mergeCells count="20">
    <mergeCell ref="U2:AF2"/>
    <mergeCell ref="O19:P19"/>
    <mergeCell ref="O20:P20"/>
    <mergeCell ref="N3:R3"/>
    <mergeCell ref="A18:K18"/>
    <mergeCell ref="A2:K2"/>
    <mergeCell ref="A16:K16"/>
    <mergeCell ref="J3:J4"/>
    <mergeCell ref="K3:K4"/>
    <mergeCell ref="A1:K1"/>
    <mergeCell ref="A17:K17"/>
    <mergeCell ref="C3:H3"/>
    <mergeCell ref="I3:I4"/>
    <mergeCell ref="L3:M3"/>
    <mergeCell ref="A23:K23"/>
    <mergeCell ref="A24:K24"/>
    <mergeCell ref="A19:K19"/>
    <mergeCell ref="A20:K20"/>
    <mergeCell ref="A21:K21"/>
    <mergeCell ref="A22:K22"/>
  </mergeCells>
  <phoneticPr fontId="0" type="noConversion"/>
  <conditionalFormatting sqref="L5:L14">
    <cfRule type="cellIs" dxfId="2" priority="2" operator="greaterThan">
      <formula>0.2</formula>
    </cfRule>
    <cfRule type="cellIs" dxfId="1" priority="4" stopIfTrue="1" operator="lessThan">
      <formula>0.2</formula>
    </cfRule>
    <cfRule type="cellIs" dxfId="0" priority="5" stopIfTrue="1" operator="greaterThan">
      <formula>0.4</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031C9-0BCC-4D1D-B44A-65057E4711DC}">
  <dimension ref="A1:L20"/>
  <sheetViews>
    <sheetView topLeftCell="A3" workbookViewId="0">
      <selection activeCell="E23" sqref="E23"/>
    </sheetView>
  </sheetViews>
  <sheetFormatPr defaultRowHeight="12.5" x14ac:dyDescent="0.25"/>
  <cols>
    <col min="1" max="1" width="11.453125" customWidth="1"/>
    <col min="2" max="2" width="13.453125" bestFit="1" customWidth="1"/>
    <col min="3" max="3" width="15.08984375" bestFit="1" customWidth="1"/>
    <col min="4" max="4" width="17.36328125" customWidth="1"/>
    <col min="5" max="5" width="17.6328125" bestFit="1" customWidth="1"/>
    <col min="6" max="6" width="23.7265625" bestFit="1" customWidth="1"/>
    <col min="7" max="7" width="19.453125" bestFit="1" customWidth="1"/>
    <col min="8" max="8" width="16.54296875" bestFit="1" customWidth="1"/>
    <col min="9" max="9" width="20.1796875" bestFit="1" customWidth="1"/>
    <col min="10" max="10" width="22.7265625" bestFit="1" customWidth="1"/>
    <col min="11" max="11" width="23" bestFit="1" customWidth="1"/>
    <col min="12" max="12" width="25.90625" bestFit="1" customWidth="1"/>
  </cols>
  <sheetData>
    <row r="1" spans="1:12" x14ac:dyDescent="0.25">
      <c r="A1" s="84" t="s">
        <v>214</v>
      </c>
      <c r="B1" s="127" t="s">
        <v>213</v>
      </c>
      <c r="C1" s="127"/>
    </row>
    <row r="2" spans="1:12" x14ac:dyDescent="0.25">
      <c r="A2" s="83">
        <v>1</v>
      </c>
      <c r="B2" s="127" t="s">
        <v>212</v>
      </c>
      <c r="C2" s="127"/>
      <c r="E2" s="128" t="s">
        <v>241</v>
      </c>
      <c r="F2" s="128"/>
    </row>
    <row r="3" spans="1:12" x14ac:dyDescent="0.25">
      <c r="A3" s="84">
        <v>2</v>
      </c>
      <c r="B3" s="127" t="s">
        <v>215</v>
      </c>
      <c r="C3" s="127"/>
    </row>
    <row r="5" spans="1:12" x14ac:dyDescent="0.25">
      <c r="A5" s="83" t="s">
        <v>164</v>
      </c>
      <c r="B5" s="83" t="s">
        <v>207</v>
      </c>
      <c r="C5" s="83" t="s">
        <v>216</v>
      </c>
      <c r="D5" s="83" t="s">
        <v>217</v>
      </c>
      <c r="E5" s="83" t="s">
        <v>208</v>
      </c>
      <c r="F5" s="83" t="s">
        <v>209</v>
      </c>
      <c r="G5" s="83" t="s">
        <v>218</v>
      </c>
      <c r="H5" s="83" t="s">
        <v>210</v>
      </c>
      <c r="I5" s="85" t="s">
        <v>219</v>
      </c>
      <c r="J5" s="85" t="s">
        <v>220</v>
      </c>
      <c r="K5" s="86" t="s">
        <v>221</v>
      </c>
      <c r="L5" s="86" t="s">
        <v>222</v>
      </c>
    </row>
    <row r="6" spans="1:12" x14ac:dyDescent="0.25">
      <c r="A6" s="80" t="s">
        <v>175</v>
      </c>
      <c r="B6" s="83">
        <v>600</v>
      </c>
      <c r="C6" s="92">
        <v>42.68</v>
      </c>
      <c r="D6" s="92">
        <v>49.9</v>
      </c>
      <c r="E6" s="92">
        <v>51.92</v>
      </c>
      <c r="F6" s="92">
        <v>60.08</v>
      </c>
      <c r="G6" s="83" t="str">
        <f>IF(B6 &gt;= 1200, IF(C6 &lt; D6, "China", "Hong Kong"),
    IF(B6 &gt;= 600, "Hong Kong", "Insufficient Quantity"))</f>
        <v>Hong Kong</v>
      </c>
      <c r="H6" s="91">
        <f>IF(OR(G6 = "China", G6 = "Hong Kong"), B6, 0)</f>
        <v>600</v>
      </c>
      <c r="I6" s="93">
        <f>IF(G6 = "China", C6 * H6, IF(G6 = "Hong Kong", D6 * H6, 0))</f>
        <v>29940</v>
      </c>
      <c r="J6" s="93">
        <f>IF(G6 = "China", E6 * H6, IF(G6 = "Hong Kong", F6 * H6, 0))</f>
        <v>36048</v>
      </c>
      <c r="K6" s="94">
        <f>D6*B6</f>
        <v>29940</v>
      </c>
      <c r="L6" s="94">
        <f>F6*B6</f>
        <v>36048</v>
      </c>
    </row>
    <row r="7" spans="1:12" x14ac:dyDescent="0.25">
      <c r="A7" s="80" t="s">
        <v>176</v>
      </c>
      <c r="B7" s="83">
        <v>600</v>
      </c>
      <c r="C7" s="92">
        <v>42.68</v>
      </c>
      <c r="D7" s="92">
        <v>49.9</v>
      </c>
      <c r="E7" s="92">
        <v>51.92</v>
      </c>
      <c r="F7" s="92">
        <v>60.08</v>
      </c>
      <c r="G7" s="83" t="str">
        <f t="shared" ref="G7:G15" si="0">IF(B7 &gt;= 1200, IF(C7 &lt; D7, "China", "Hong Kong"),
    IF(B7 &gt;= 600, "Hong Kong", "Insufficient Quantity"))</f>
        <v>Hong Kong</v>
      </c>
      <c r="H7" s="91">
        <f t="shared" ref="H7:H15" si="1">IF(OR(G7 = "China", G7 = "Hong Kong"), B7, 0)</f>
        <v>600</v>
      </c>
      <c r="I7" s="93">
        <f t="shared" ref="I7:I15" si="2">IF(G7 = "China", C7 * H7, IF(G7 = "Hong Kong", D7 * H7, 0))</f>
        <v>29940</v>
      </c>
      <c r="J7" s="93">
        <f t="shared" ref="J7:J15" si="3">IF(G7 = "China", E7 * H7, IF(G7 = "Hong Kong", F7 * H7, 0))</f>
        <v>36048</v>
      </c>
      <c r="K7" s="94">
        <f t="shared" ref="K7:K15" si="4">D7*B7</f>
        <v>29940</v>
      </c>
      <c r="L7" s="94">
        <f t="shared" ref="L7:L15" si="5">F7*B7</f>
        <v>36048</v>
      </c>
    </row>
    <row r="8" spans="1:12" x14ac:dyDescent="0.25">
      <c r="A8" s="80" t="s">
        <v>177</v>
      </c>
      <c r="B8" s="83">
        <v>730.21670583720288</v>
      </c>
      <c r="C8" s="92">
        <v>42.68</v>
      </c>
      <c r="D8" s="92">
        <v>49.9</v>
      </c>
      <c r="E8" s="92">
        <v>51.92</v>
      </c>
      <c r="F8" s="92">
        <v>60.08</v>
      </c>
      <c r="G8" s="83" t="str">
        <f t="shared" si="0"/>
        <v>Hong Kong</v>
      </c>
      <c r="H8" s="91">
        <f t="shared" si="1"/>
        <v>730.21670583720288</v>
      </c>
      <c r="I8" s="93">
        <f t="shared" si="2"/>
        <v>36437.813621276422</v>
      </c>
      <c r="J8" s="93">
        <f t="shared" si="3"/>
        <v>43871.419686699148</v>
      </c>
      <c r="K8" s="94">
        <f t="shared" si="4"/>
        <v>36437.813621276422</v>
      </c>
      <c r="L8" s="94">
        <f t="shared" si="5"/>
        <v>43871.419686699148</v>
      </c>
    </row>
    <row r="9" spans="1:12" x14ac:dyDescent="0.25">
      <c r="A9" s="80" t="s">
        <v>178</v>
      </c>
      <c r="B9" s="83">
        <v>1318.619441005131</v>
      </c>
      <c r="C9" s="92">
        <v>42.68</v>
      </c>
      <c r="D9" s="92">
        <v>49.9</v>
      </c>
      <c r="E9" s="92">
        <v>51.92</v>
      </c>
      <c r="F9" s="92">
        <v>60.08</v>
      </c>
      <c r="G9" s="83" t="str">
        <f t="shared" si="0"/>
        <v>China</v>
      </c>
      <c r="H9" s="91">
        <f t="shared" si="1"/>
        <v>1318.619441005131</v>
      </c>
      <c r="I9" s="93">
        <f t="shared" si="2"/>
        <v>56278.677742098989</v>
      </c>
      <c r="J9" s="93">
        <f t="shared" si="3"/>
        <v>68462.721376986403</v>
      </c>
      <c r="K9" s="94">
        <f t="shared" si="4"/>
        <v>65799.110106156033</v>
      </c>
      <c r="L9" s="94">
        <f t="shared" si="5"/>
        <v>79222.656015588262</v>
      </c>
    </row>
    <row r="10" spans="1:12" x14ac:dyDescent="0.25">
      <c r="A10" s="80" t="s">
        <v>179</v>
      </c>
      <c r="B10" s="83">
        <v>600</v>
      </c>
      <c r="C10" s="92">
        <v>42.68</v>
      </c>
      <c r="D10" s="92">
        <v>49.9</v>
      </c>
      <c r="E10" s="92">
        <v>51.92</v>
      </c>
      <c r="F10" s="92">
        <v>60.08</v>
      </c>
      <c r="G10" s="83" t="str">
        <f t="shared" si="0"/>
        <v>Hong Kong</v>
      </c>
      <c r="H10" s="91">
        <f t="shared" si="1"/>
        <v>600</v>
      </c>
      <c r="I10" s="93">
        <f t="shared" si="2"/>
        <v>29940</v>
      </c>
      <c r="J10" s="93">
        <f t="shared" si="3"/>
        <v>36048</v>
      </c>
      <c r="K10" s="94">
        <f t="shared" si="4"/>
        <v>29940</v>
      </c>
      <c r="L10" s="94">
        <f t="shared" si="5"/>
        <v>36048</v>
      </c>
    </row>
    <row r="11" spans="1:12" x14ac:dyDescent="0.25">
      <c r="A11" s="80" t="s">
        <v>180</v>
      </c>
      <c r="B11" s="83">
        <v>1159.7562891776763</v>
      </c>
      <c r="C11" s="92">
        <v>42.68</v>
      </c>
      <c r="D11" s="92">
        <v>49.9</v>
      </c>
      <c r="E11" s="92">
        <v>51.92</v>
      </c>
      <c r="F11" s="92">
        <v>60.08</v>
      </c>
      <c r="G11" s="83" t="str">
        <f t="shared" si="0"/>
        <v>Hong Kong</v>
      </c>
      <c r="H11" s="91">
        <f t="shared" si="1"/>
        <v>1159.7562891776763</v>
      </c>
      <c r="I11" s="93">
        <f t="shared" si="2"/>
        <v>57871.838829966044</v>
      </c>
      <c r="J11" s="93">
        <f t="shared" si="3"/>
        <v>69678.157853794793</v>
      </c>
      <c r="K11" s="94">
        <f t="shared" si="4"/>
        <v>57871.838829966044</v>
      </c>
      <c r="L11" s="94">
        <f t="shared" si="5"/>
        <v>69678.157853794793</v>
      </c>
    </row>
    <row r="12" spans="1:12" x14ac:dyDescent="0.25">
      <c r="A12" s="80" t="s">
        <v>181</v>
      </c>
      <c r="B12" s="83">
        <v>600</v>
      </c>
      <c r="C12" s="92">
        <v>42.68</v>
      </c>
      <c r="D12" s="92">
        <v>49.9</v>
      </c>
      <c r="E12" s="92">
        <v>51.92</v>
      </c>
      <c r="F12" s="92">
        <v>60.08</v>
      </c>
      <c r="G12" s="83" t="str">
        <f t="shared" si="0"/>
        <v>Hong Kong</v>
      </c>
      <c r="H12" s="91">
        <f t="shared" si="1"/>
        <v>600</v>
      </c>
      <c r="I12" s="93">
        <f t="shared" si="2"/>
        <v>29940</v>
      </c>
      <c r="J12" s="93">
        <f t="shared" si="3"/>
        <v>36048</v>
      </c>
      <c r="K12" s="94">
        <f t="shared" si="4"/>
        <v>29940</v>
      </c>
      <c r="L12" s="94">
        <f t="shared" si="5"/>
        <v>36048</v>
      </c>
    </row>
    <row r="13" spans="1:12" x14ac:dyDescent="0.25">
      <c r="A13" s="80" t="s">
        <v>182</v>
      </c>
      <c r="B13" s="83">
        <v>2102.6548770357472</v>
      </c>
      <c r="C13" s="92">
        <v>42.68</v>
      </c>
      <c r="D13" s="92">
        <v>49.9</v>
      </c>
      <c r="E13" s="92">
        <v>51.92</v>
      </c>
      <c r="F13" s="92">
        <v>60.08</v>
      </c>
      <c r="G13" s="83" t="str">
        <f t="shared" si="0"/>
        <v>China</v>
      </c>
      <c r="H13" s="91">
        <f t="shared" si="1"/>
        <v>2102.6548770357472</v>
      </c>
      <c r="I13" s="93">
        <f t="shared" si="2"/>
        <v>89741.310151885686</v>
      </c>
      <c r="J13" s="93">
        <f t="shared" si="3"/>
        <v>109169.841215696</v>
      </c>
      <c r="K13" s="94">
        <f t="shared" si="4"/>
        <v>104922.47836408378</v>
      </c>
      <c r="L13" s="94">
        <f t="shared" si="5"/>
        <v>126327.50501230768</v>
      </c>
    </row>
    <row r="14" spans="1:12" x14ac:dyDescent="0.25">
      <c r="A14" s="80" t="s">
        <v>183</v>
      </c>
      <c r="B14" s="83">
        <v>1262.3542354266488</v>
      </c>
      <c r="C14" s="92">
        <v>42.68</v>
      </c>
      <c r="D14" s="92">
        <v>49.9</v>
      </c>
      <c r="E14" s="92">
        <v>51.92</v>
      </c>
      <c r="F14" s="92">
        <v>60.08</v>
      </c>
      <c r="G14" s="83" t="str">
        <f t="shared" si="0"/>
        <v>China</v>
      </c>
      <c r="H14" s="91">
        <f t="shared" si="1"/>
        <v>1262.3542354266488</v>
      </c>
      <c r="I14" s="93">
        <f t="shared" si="2"/>
        <v>53877.278768009368</v>
      </c>
      <c r="J14" s="93">
        <f t="shared" si="3"/>
        <v>65541.431903351608</v>
      </c>
      <c r="K14" s="94">
        <f t="shared" si="4"/>
        <v>62991.476347789772</v>
      </c>
      <c r="L14" s="94">
        <f t="shared" si="5"/>
        <v>75842.24246443306</v>
      </c>
    </row>
    <row r="15" spans="1:12" x14ac:dyDescent="0.25">
      <c r="A15" s="80" t="s">
        <v>184</v>
      </c>
      <c r="B15" s="83">
        <v>1026.7639292777358</v>
      </c>
      <c r="C15" s="92">
        <v>42.68</v>
      </c>
      <c r="D15" s="92">
        <v>49.9</v>
      </c>
      <c r="E15" s="92">
        <v>51.92</v>
      </c>
      <c r="F15" s="92">
        <v>60.08</v>
      </c>
      <c r="G15" s="83" t="str">
        <f t="shared" si="0"/>
        <v>Hong Kong</v>
      </c>
      <c r="H15" s="91">
        <f t="shared" si="1"/>
        <v>1026.7639292777358</v>
      </c>
      <c r="I15" s="93">
        <f t="shared" si="2"/>
        <v>51235.520070959014</v>
      </c>
      <c r="J15" s="93">
        <f t="shared" si="3"/>
        <v>61687.976871006365</v>
      </c>
      <c r="K15" s="94">
        <f t="shared" si="4"/>
        <v>51235.520070959014</v>
      </c>
      <c r="L15" s="94">
        <f t="shared" si="5"/>
        <v>61687.976871006365</v>
      </c>
    </row>
    <row r="16" spans="1:12" x14ac:dyDescent="0.25">
      <c r="A16" s="15"/>
      <c r="B16" s="15"/>
      <c r="C16" s="15"/>
      <c r="D16" s="15"/>
      <c r="E16" s="15"/>
      <c r="F16" s="15"/>
      <c r="G16" s="15"/>
      <c r="H16" s="139">
        <f>SUM(H6:H15)</f>
        <v>10000.36547776014</v>
      </c>
      <c r="I16" s="93">
        <f>SUM(I6:I15)</f>
        <v>465202.43918419554</v>
      </c>
      <c r="J16" s="93">
        <f>SUM(J6:J15)</f>
        <v>562603.54890753434</v>
      </c>
      <c r="K16" s="94">
        <f>SUM(K6:K15)</f>
        <v>499018.23734023102</v>
      </c>
      <c r="L16" s="94">
        <f>SUM(L6:L15)</f>
        <v>600821.95790382917</v>
      </c>
    </row>
    <row r="18" spans="3:6" x14ac:dyDescent="0.25">
      <c r="C18" s="127" t="s">
        <v>211</v>
      </c>
      <c r="D18" s="127"/>
      <c r="E18" s="83" t="s">
        <v>225</v>
      </c>
      <c r="F18" s="83" t="s">
        <v>224</v>
      </c>
    </row>
    <row r="19" spans="3:6" ht="13" x14ac:dyDescent="0.3">
      <c r="C19" s="146" t="s">
        <v>223</v>
      </c>
      <c r="D19" s="147">
        <f>SUM(I16:J16)</f>
        <v>1027805.9880917298</v>
      </c>
      <c r="E19" s="148" t="s">
        <v>226</v>
      </c>
      <c r="F19" s="149">
        <f>D20-D19</f>
        <v>72034.207152330317</v>
      </c>
    </row>
    <row r="20" spans="3:6" x14ac:dyDescent="0.25">
      <c r="C20" s="145" t="s">
        <v>269</v>
      </c>
      <c r="D20" s="87">
        <f>SUM(K16:L16)</f>
        <v>1099840.1952440601</v>
      </c>
      <c r="E20" s="88" t="s">
        <v>227</v>
      </c>
      <c r="F20" s="89">
        <v>0</v>
      </c>
    </row>
  </sheetData>
  <mergeCells count="5">
    <mergeCell ref="B2:C2"/>
    <mergeCell ref="B1:C1"/>
    <mergeCell ref="B3:C3"/>
    <mergeCell ref="C18:D18"/>
    <mergeCell ref="E2:F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83BA-C925-4B6F-A1D9-8215EA92D944}">
  <dimension ref="A3:J20"/>
  <sheetViews>
    <sheetView workbookViewId="0">
      <selection activeCell="E17" sqref="E17"/>
    </sheetView>
  </sheetViews>
  <sheetFormatPr defaultRowHeight="12.5" x14ac:dyDescent="0.25"/>
  <cols>
    <col min="2" max="2" width="19.6328125" bestFit="1" customWidth="1"/>
    <col min="3" max="3" width="12.7265625" bestFit="1" customWidth="1"/>
    <col min="4" max="4" width="16.453125" bestFit="1" customWidth="1"/>
    <col min="5" max="5" width="17.54296875" bestFit="1" customWidth="1"/>
    <col min="6" max="6" width="26.6328125" bestFit="1" customWidth="1"/>
    <col min="7" max="7" width="23.54296875" customWidth="1"/>
    <col min="8" max="8" width="29.36328125" bestFit="1" customWidth="1"/>
    <col min="9" max="9" width="23" bestFit="1" customWidth="1"/>
    <col min="10" max="10" width="14.90625" bestFit="1" customWidth="1"/>
  </cols>
  <sheetData>
    <row r="3" spans="1:10" x14ac:dyDescent="0.25">
      <c r="A3" s="95" t="s">
        <v>164</v>
      </c>
      <c r="B3" s="95" t="s">
        <v>236</v>
      </c>
      <c r="C3" s="95" t="s">
        <v>228</v>
      </c>
      <c r="D3" s="95" t="s">
        <v>230</v>
      </c>
      <c r="E3" s="95" t="s">
        <v>231</v>
      </c>
      <c r="F3" s="95" t="s">
        <v>233</v>
      </c>
      <c r="G3" s="95" t="s">
        <v>232</v>
      </c>
      <c r="H3" s="83" t="s">
        <v>235</v>
      </c>
      <c r="I3" s="83" t="s">
        <v>234</v>
      </c>
      <c r="J3" s="95" t="s">
        <v>229</v>
      </c>
    </row>
    <row r="4" spans="1:10" x14ac:dyDescent="0.25">
      <c r="A4" s="80" t="s">
        <v>175</v>
      </c>
      <c r="B4" s="83" t="s">
        <v>31</v>
      </c>
      <c r="C4" s="83">
        <v>600</v>
      </c>
      <c r="D4" s="92">
        <v>3.85</v>
      </c>
      <c r="E4" s="92">
        <v>0.16</v>
      </c>
      <c r="F4" s="83">
        <v>2.5299999999999998</v>
      </c>
      <c r="G4" s="87">
        <f>D4*F4</f>
        <v>9.740499999999999</v>
      </c>
      <c r="H4" s="83">
        <v>4.88</v>
      </c>
      <c r="I4" s="87">
        <f>E4*H4</f>
        <v>0.78080000000000005</v>
      </c>
      <c r="J4" s="92">
        <f>IF(B4 = "China", C4 * I4, IF(B4 = "Hong Kong", C4 * G4, 0))</f>
        <v>5844.2999999999993</v>
      </c>
    </row>
    <row r="5" spans="1:10" x14ac:dyDescent="0.25">
      <c r="A5" s="80" t="s">
        <v>176</v>
      </c>
      <c r="B5" s="83" t="s">
        <v>31</v>
      </c>
      <c r="C5" s="83">
        <v>600</v>
      </c>
      <c r="D5" s="92">
        <v>3.85</v>
      </c>
      <c r="E5" s="92">
        <v>0.16</v>
      </c>
      <c r="F5" s="83">
        <v>2.5299999999999998</v>
      </c>
      <c r="G5" s="87">
        <f t="shared" ref="G5:G13" si="0">D5*F5</f>
        <v>9.740499999999999</v>
      </c>
      <c r="H5" s="83">
        <v>4.88</v>
      </c>
      <c r="I5" s="87">
        <f t="shared" ref="I5:I13" si="1">E5*H5</f>
        <v>0.78080000000000005</v>
      </c>
      <c r="J5" s="92">
        <f t="shared" ref="J5:J13" si="2">IF(B5 = "China", C5 * I5, IF(B5 = "Hong Kong", C5 * G5, 0))</f>
        <v>5844.2999999999993</v>
      </c>
    </row>
    <row r="6" spans="1:10" x14ac:dyDescent="0.25">
      <c r="A6" s="80" t="s">
        <v>177</v>
      </c>
      <c r="B6" s="83" t="s">
        <v>31</v>
      </c>
      <c r="C6" s="83">
        <v>730.21670583720288</v>
      </c>
      <c r="D6" s="92">
        <v>3.85</v>
      </c>
      <c r="E6" s="92">
        <v>0.16</v>
      </c>
      <c r="F6" s="83">
        <v>2.5299999999999998</v>
      </c>
      <c r="G6" s="87">
        <f t="shared" si="0"/>
        <v>9.740499999999999</v>
      </c>
      <c r="H6" s="83">
        <v>4.88</v>
      </c>
      <c r="I6" s="87">
        <f t="shared" si="1"/>
        <v>0.78080000000000005</v>
      </c>
      <c r="J6" s="92">
        <f t="shared" si="2"/>
        <v>7112.6758232072743</v>
      </c>
    </row>
    <row r="7" spans="1:10" x14ac:dyDescent="0.25">
      <c r="A7" s="80" t="s">
        <v>178</v>
      </c>
      <c r="B7" s="83" t="s">
        <v>100</v>
      </c>
      <c r="C7" s="83">
        <v>1318.619441005131</v>
      </c>
      <c r="D7" s="92">
        <v>3.85</v>
      </c>
      <c r="E7" s="92">
        <v>0.16</v>
      </c>
      <c r="F7" s="83">
        <v>2.5299999999999998</v>
      </c>
      <c r="G7" s="87">
        <f t="shared" si="0"/>
        <v>9.740499999999999</v>
      </c>
      <c r="H7" s="83">
        <v>4.88</v>
      </c>
      <c r="I7" s="87">
        <f t="shared" si="1"/>
        <v>0.78080000000000005</v>
      </c>
      <c r="J7" s="92">
        <f t="shared" si="2"/>
        <v>1029.5780595368062</v>
      </c>
    </row>
    <row r="8" spans="1:10" x14ac:dyDescent="0.25">
      <c r="A8" s="80" t="s">
        <v>179</v>
      </c>
      <c r="B8" s="83" t="s">
        <v>31</v>
      </c>
      <c r="C8" s="83">
        <v>600</v>
      </c>
      <c r="D8" s="92">
        <v>3.85</v>
      </c>
      <c r="E8" s="92">
        <v>0.16</v>
      </c>
      <c r="F8" s="83">
        <v>2.5299999999999998</v>
      </c>
      <c r="G8" s="87">
        <f t="shared" si="0"/>
        <v>9.740499999999999</v>
      </c>
      <c r="H8" s="83">
        <v>4.88</v>
      </c>
      <c r="I8" s="87">
        <f t="shared" si="1"/>
        <v>0.78080000000000005</v>
      </c>
      <c r="J8" s="92">
        <f t="shared" si="2"/>
        <v>5844.2999999999993</v>
      </c>
    </row>
    <row r="9" spans="1:10" x14ac:dyDescent="0.25">
      <c r="A9" s="80" t="s">
        <v>180</v>
      </c>
      <c r="B9" s="83" t="s">
        <v>31</v>
      </c>
      <c r="C9" s="83">
        <v>1159.7562891776763</v>
      </c>
      <c r="D9" s="92">
        <v>3.85</v>
      </c>
      <c r="E9" s="92">
        <v>0.16</v>
      </c>
      <c r="F9" s="83">
        <v>2.5299999999999998</v>
      </c>
      <c r="G9" s="87">
        <f t="shared" si="0"/>
        <v>9.740499999999999</v>
      </c>
      <c r="H9" s="83">
        <v>4.88</v>
      </c>
      <c r="I9" s="87">
        <f t="shared" si="1"/>
        <v>0.78080000000000005</v>
      </c>
      <c r="J9" s="92">
        <f t="shared" si="2"/>
        <v>11296.606134735155</v>
      </c>
    </row>
    <row r="10" spans="1:10" x14ac:dyDescent="0.25">
      <c r="A10" s="80" t="s">
        <v>181</v>
      </c>
      <c r="B10" s="83" t="s">
        <v>31</v>
      </c>
      <c r="C10" s="83">
        <v>600</v>
      </c>
      <c r="D10" s="92">
        <v>3.85</v>
      </c>
      <c r="E10" s="92">
        <v>0.16</v>
      </c>
      <c r="F10" s="83">
        <v>2.5299999999999998</v>
      </c>
      <c r="G10" s="87">
        <f t="shared" si="0"/>
        <v>9.740499999999999</v>
      </c>
      <c r="H10" s="83">
        <v>4.88</v>
      </c>
      <c r="I10" s="87">
        <f t="shared" si="1"/>
        <v>0.78080000000000005</v>
      </c>
      <c r="J10" s="92">
        <f t="shared" si="2"/>
        <v>5844.2999999999993</v>
      </c>
    </row>
    <row r="11" spans="1:10" x14ac:dyDescent="0.25">
      <c r="A11" s="80" t="s">
        <v>182</v>
      </c>
      <c r="B11" s="83" t="s">
        <v>100</v>
      </c>
      <c r="C11" s="83">
        <v>2102.6548770357472</v>
      </c>
      <c r="D11" s="92">
        <v>3.85</v>
      </c>
      <c r="E11" s="92">
        <v>0.16</v>
      </c>
      <c r="F11" s="83">
        <v>2.5299999999999998</v>
      </c>
      <c r="G11" s="87">
        <f t="shared" si="0"/>
        <v>9.740499999999999</v>
      </c>
      <c r="H11" s="83">
        <v>4.88</v>
      </c>
      <c r="I11" s="87">
        <f t="shared" si="1"/>
        <v>0.78080000000000005</v>
      </c>
      <c r="J11" s="92">
        <f t="shared" si="2"/>
        <v>1641.7529279895116</v>
      </c>
    </row>
    <row r="12" spans="1:10" x14ac:dyDescent="0.25">
      <c r="A12" s="80" t="s">
        <v>183</v>
      </c>
      <c r="B12" s="83" t="s">
        <v>100</v>
      </c>
      <c r="C12" s="83">
        <v>1262.3542354266488</v>
      </c>
      <c r="D12" s="92">
        <v>3.85</v>
      </c>
      <c r="E12" s="92">
        <v>0.16</v>
      </c>
      <c r="F12" s="83">
        <v>2.5299999999999998</v>
      </c>
      <c r="G12" s="87">
        <f t="shared" si="0"/>
        <v>9.740499999999999</v>
      </c>
      <c r="H12" s="83">
        <v>4.88</v>
      </c>
      <c r="I12" s="87">
        <f t="shared" si="1"/>
        <v>0.78080000000000005</v>
      </c>
      <c r="J12" s="92">
        <f t="shared" si="2"/>
        <v>985.64618702112739</v>
      </c>
    </row>
    <row r="13" spans="1:10" x14ac:dyDescent="0.25">
      <c r="A13" s="80" t="s">
        <v>184</v>
      </c>
      <c r="B13" s="83" t="s">
        <v>31</v>
      </c>
      <c r="C13" s="83">
        <v>1026.7639292777358</v>
      </c>
      <c r="D13" s="92">
        <v>3.85</v>
      </c>
      <c r="E13" s="92">
        <v>0.16</v>
      </c>
      <c r="F13" s="83">
        <v>2.5299999999999998</v>
      </c>
      <c r="G13" s="87">
        <f t="shared" si="0"/>
        <v>9.740499999999999</v>
      </c>
      <c r="H13" s="83">
        <v>4.88</v>
      </c>
      <c r="I13" s="87">
        <f t="shared" si="1"/>
        <v>0.78080000000000005</v>
      </c>
      <c r="J13" s="92">
        <f t="shared" si="2"/>
        <v>10001.194053129784</v>
      </c>
    </row>
    <row r="14" spans="1:10" x14ac:dyDescent="0.25">
      <c r="J14" s="92">
        <f>SUM(J4:J13)</f>
        <v>55444.653185619653</v>
      </c>
    </row>
    <row r="16" spans="1:10" x14ac:dyDescent="0.25">
      <c r="D16" s="96" t="s">
        <v>240</v>
      </c>
      <c r="E16" s="97">
        <f>J14</f>
        <v>55444.653185619653</v>
      </c>
    </row>
    <row r="17" spans="4:5" x14ac:dyDescent="0.25">
      <c r="D17" s="98" t="s">
        <v>237</v>
      </c>
      <c r="E17" s="99">
        <f>Country_selection_total_cost!I16</f>
        <v>465202.43918419554</v>
      </c>
    </row>
    <row r="18" spans="4:5" x14ac:dyDescent="0.25">
      <c r="D18" s="100" t="s">
        <v>238</v>
      </c>
      <c r="E18" s="101">
        <f>Country_selection_total_cost!J16</f>
        <v>562603.54890753434</v>
      </c>
    </row>
    <row r="19" spans="4:5" ht="13" x14ac:dyDescent="0.3">
      <c r="D19" s="102" t="s">
        <v>239</v>
      </c>
      <c r="E19" s="103">
        <f>SUM(E16:E18)</f>
        <v>1083250.6412773496</v>
      </c>
    </row>
    <row r="20" spans="4:5" ht="13" x14ac:dyDescent="0.3">
      <c r="D20" s="2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7793E-A019-4BBD-8A5D-C81750131CE4}">
  <dimension ref="A1:H14"/>
  <sheetViews>
    <sheetView topLeftCell="B1" zoomScale="79" workbookViewId="0">
      <selection activeCell="I8" sqref="I8"/>
    </sheetView>
  </sheetViews>
  <sheetFormatPr defaultRowHeight="12.5" x14ac:dyDescent="0.25"/>
  <cols>
    <col min="1" max="1" width="16" customWidth="1"/>
    <col min="2" max="2" width="21.453125" customWidth="1"/>
    <col min="3" max="3" width="16.26953125" customWidth="1"/>
    <col min="4" max="4" width="13.7265625" customWidth="1"/>
    <col min="5" max="5" width="19.7265625" customWidth="1"/>
    <col min="6" max="6" width="18.1796875" customWidth="1"/>
    <col min="7" max="7" width="13" customWidth="1"/>
    <col min="8" max="8" width="7.7265625" customWidth="1"/>
  </cols>
  <sheetData>
    <row r="1" spans="1:8" ht="13" x14ac:dyDescent="0.3">
      <c r="A1" s="129" t="s">
        <v>0</v>
      </c>
      <c r="B1" s="129"/>
      <c r="C1" s="129"/>
      <c r="D1" s="129"/>
      <c r="E1" s="129"/>
      <c r="F1" s="129"/>
      <c r="G1" s="129"/>
    </row>
    <row r="2" spans="1:8" x14ac:dyDescent="0.25">
      <c r="A2" s="124"/>
      <c r="B2" s="124"/>
      <c r="C2" s="124"/>
      <c r="D2" s="124"/>
      <c r="E2" s="124"/>
      <c r="F2" s="124"/>
      <c r="G2" s="124"/>
    </row>
    <row r="3" spans="1:8" ht="39" x14ac:dyDescent="0.3">
      <c r="A3" s="17" t="s">
        <v>1</v>
      </c>
      <c r="B3" s="18" t="s">
        <v>2</v>
      </c>
      <c r="C3" s="18" t="s">
        <v>3</v>
      </c>
      <c r="D3" s="18" t="s">
        <v>4</v>
      </c>
      <c r="E3" s="18" t="s">
        <v>5</v>
      </c>
      <c r="F3" s="18" t="s">
        <v>6</v>
      </c>
      <c r="G3" s="19" t="s">
        <v>7</v>
      </c>
      <c r="H3" s="9"/>
    </row>
    <row r="4" spans="1:8" ht="50" x14ac:dyDescent="0.25">
      <c r="A4" s="10" t="s">
        <v>8</v>
      </c>
      <c r="B4" s="11">
        <v>10</v>
      </c>
      <c r="C4" s="11" t="s">
        <v>9</v>
      </c>
      <c r="D4" s="11" t="s">
        <v>10</v>
      </c>
      <c r="E4" s="11" t="s">
        <v>11</v>
      </c>
      <c r="F4" s="11" t="s">
        <v>47</v>
      </c>
      <c r="G4" s="12">
        <v>0.3</v>
      </c>
      <c r="H4" s="1"/>
    </row>
    <row r="5" spans="1:8" ht="62.5" x14ac:dyDescent="0.25">
      <c r="A5" s="10" t="s">
        <v>12</v>
      </c>
      <c r="B5" s="11" t="s">
        <v>13</v>
      </c>
      <c r="C5" s="11" t="s">
        <v>14</v>
      </c>
      <c r="D5" s="11" t="s">
        <v>15</v>
      </c>
      <c r="E5" s="11" t="s">
        <v>48</v>
      </c>
      <c r="F5" s="11" t="s">
        <v>49</v>
      </c>
      <c r="G5" s="14">
        <v>0.13</v>
      </c>
      <c r="H5" s="16"/>
    </row>
    <row r="6" spans="1:8" ht="50" x14ac:dyDescent="0.25">
      <c r="A6" s="10" t="s">
        <v>16</v>
      </c>
      <c r="B6" s="11">
        <v>6</v>
      </c>
      <c r="C6" s="11" t="s">
        <v>17</v>
      </c>
      <c r="D6" s="11" t="s">
        <v>18</v>
      </c>
      <c r="E6" s="11" t="s">
        <v>19</v>
      </c>
      <c r="F6" s="11" t="s">
        <v>195</v>
      </c>
      <c r="G6" s="12">
        <v>0.13</v>
      </c>
      <c r="H6" s="15"/>
    </row>
    <row r="7" spans="1:8" ht="50" x14ac:dyDescent="0.25">
      <c r="A7" s="10" t="s">
        <v>20</v>
      </c>
      <c r="B7" s="11" t="s">
        <v>21</v>
      </c>
      <c r="C7" s="11" t="s">
        <v>22</v>
      </c>
      <c r="D7" s="11" t="s">
        <v>23</v>
      </c>
      <c r="E7" s="11" t="s">
        <v>24</v>
      </c>
      <c r="F7" s="11" t="s">
        <v>50</v>
      </c>
      <c r="G7" s="12">
        <v>0.16</v>
      </c>
      <c r="H7" s="3"/>
    </row>
    <row r="8" spans="1:8" ht="77" x14ac:dyDescent="0.25">
      <c r="A8" s="10" t="s">
        <v>25</v>
      </c>
      <c r="B8" s="11" t="s">
        <v>51</v>
      </c>
      <c r="C8" s="11" t="s">
        <v>26</v>
      </c>
      <c r="D8" s="11" t="s">
        <v>52</v>
      </c>
      <c r="E8" s="11" t="s">
        <v>27</v>
      </c>
      <c r="F8" s="11" t="s">
        <v>28</v>
      </c>
      <c r="G8" s="12">
        <v>0.12</v>
      </c>
    </row>
    <row r="9" spans="1:8" x14ac:dyDescent="0.25">
      <c r="A9" s="10" t="s">
        <v>29</v>
      </c>
      <c r="B9" s="11" t="s">
        <v>30</v>
      </c>
      <c r="C9" s="11" t="s">
        <v>31</v>
      </c>
      <c r="D9" s="11" t="s">
        <v>32</v>
      </c>
      <c r="E9" s="11" t="s">
        <v>33</v>
      </c>
      <c r="F9" s="11" t="s">
        <v>34</v>
      </c>
      <c r="G9" s="12">
        <v>0.02</v>
      </c>
    </row>
    <row r="10" spans="1:8" ht="37.5" x14ac:dyDescent="0.25">
      <c r="A10" s="10" t="s">
        <v>35</v>
      </c>
      <c r="B10" s="11" t="s">
        <v>36</v>
      </c>
      <c r="C10" s="11" t="s">
        <v>37</v>
      </c>
      <c r="D10" s="11" t="s">
        <v>38</v>
      </c>
      <c r="E10" s="11" t="s">
        <v>36</v>
      </c>
      <c r="F10" s="11" t="s">
        <v>36</v>
      </c>
      <c r="G10" s="12">
        <v>0.1</v>
      </c>
    </row>
    <row r="11" spans="1:8" ht="25" x14ac:dyDescent="0.25">
      <c r="A11" s="10" t="s">
        <v>39</v>
      </c>
      <c r="B11" s="11">
        <v>10</v>
      </c>
      <c r="C11" s="11" t="s">
        <v>40</v>
      </c>
      <c r="D11" s="11" t="s">
        <v>41</v>
      </c>
      <c r="E11" s="11" t="s">
        <v>42</v>
      </c>
      <c r="F11" s="11" t="s">
        <v>43</v>
      </c>
      <c r="G11" s="12">
        <v>0.03</v>
      </c>
    </row>
    <row r="12" spans="1:8" x14ac:dyDescent="0.25">
      <c r="A12" s="10" t="s">
        <v>44</v>
      </c>
      <c r="B12" s="11" t="s">
        <v>45</v>
      </c>
      <c r="C12" s="11" t="s">
        <v>31</v>
      </c>
      <c r="D12" s="11" t="s">
        <v>38</v>
      </c>
      <c r="E12" s="11" t="s">
        <v>46</v>
      </c>
      <c r="F12" s="11" t="s">
        <v>43</v>
      </c>
      <c r="G12" s="12">
        <v>0.01</v>
      </c>
    </row>
    <row r="13" spans="1:8" x14ac:dyDescent="0.25">
      <c r="A13" s="2"/>
      <c r="B13" s="2"/>
      <c r="C13" s="2"/>
      <c r="D13" s="2"/>
      <c r="E13" s="2"/>
      <c r="F13" s="2"/>
      <c r="G13" s="13">
        <v>1</v>
      </c>
    </row>
    <row r="14" spans="1:8" x14ac:dyDescent="0.25">
      <c r="A14" s="130" t="s">
        <v>53</v>
      </c>
      <c r="B14" s="130"/>
      <c r="C14" s="130"/>
      <c r="D14" s="130"/>
      <c r="E14" s="130"/>
      <c r="F14" s="130"/>
      <c r="G14" s="130"/>
    </row>
  </sheetData>
  <mergeCells count="3">
    <mergeCell ref="A1:G1"/>
    <mergeCell ref="A14:G14"/>
    <mergeCell ref="A2:G2"/>
  </mergeCells>
  <phoneticPr fontId="0" type="noConversion"/>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11E3-FC18-411D-B9B0-4E5EB76B9300}">
  <dimension ref="A1:E46"/>
  <sheetViews>
    <sheetView workbookViewId="0">
      <selection activeCell="D39" sqref="D39"/>
    </sheetView>
  </sheetViews>
  <sheetFormatPr defaultRowHeight="12.5" x14ac:dyDescent="0.25"/>
  <cols>
    <col min="1" max="1" width="4" customWidth="1"/>
    <col min="2" max="2" width="10.81640625" bestFit="1" customWidth="1"/>
    <col min="3" max="3" width="60.81640625" customWidth="1"/>
    <col min="4" max="4" width="18.1796875" customWidth="1"/>
    <col min="5" max="5" width="19" customWidth="1"/>
  </cols>
  <sheetData>
    <row r="1" spans="1:5" ht="14.25" customHeight="1" x14ac:dyDescent="0.3">
      <c r="A1" s="113" t="s">
        <v>54</v>
      </c>
      <c r="B1" s="113"/>
      <c r="C1" s="113"/>
      <c r="D1" s="24"/>
      <c r="E1" s="24"/>
    </row>
    <row r="2" spans="1:5" x14ac:dyDescent="0.25">
      <c r="A2" s="124"/>
      <c r="B2" s="124"/>
      <c r="C2" s="124"/>
    </row>
    <row r="3" spans="1:5" ht="13" x14ac:dyDescent="0.3">
      <c r="A3" s="32"/>
      <c r="B3" s="8" t="s">
        <v>55</v>
      </c>
      <c r="C3" s="34" t="s">
        <v>56</v>
      </c>
      <c r="D3" s="25"/>
      <c r="E3" s="25"/>
    </row>
    <row r="4" spans="1:5" ht="25" x14ac:dyDescent="0.25">
      <c r="A4" s="28">
        <v>1</v>
      </c>
      <c r="B4" s="30">
        <v>0.05</v>
      </c>
      <c r="C4" s="20" t="s">
        <v>57</v>
      </c>
      <c r="D4" s="26"/>
      <c r="E4" s="15"/>
    </row>
    <row r="5" spans="1:5" ht="38.5" x14ac:dyDescent="0.25">
      <c r="A5" s="28">
        <v>2</v>
      </c>
      <c r="B5" s="30">
        <v>0.2</v>
      </c>
      <c r="C5" s="20" t="s">
        <v>91</v>
      </c>
      <c r="D5" s="26"/>
      <c r="E5" s="26"/>
    </row>
    <row r="6" spans="1:5" ht="13" x14ac:dyDescent="0.25">
      <c r="A6" s="28">
        <v>3</v>
      </c>
      <c r="B6" s="30">
        <v>0.5</v>
      </c>
      <c r="C6" s="20" t="s">
        <v>58</v>
      </c>
      <c r="D6" s="15"/>
      <c r="E6" s="27"/>
    </row>
    <row r="7" spans="1:5" ht="13" x14ac:dyDescent="0.25">
      <c r="A7" s="28">
        <v>4</v>
      </c>
      <c r="B7" s="30">
        <v>0.5</v>
      </c>
      <c r="C7" s="20" t="s">
        <v>59</v>
      </c>
      <c r="D7" s="15"/>
      <c r="E7" s="15"/>
    </row>
    <row r="8" spans="1:5" ht="13" x14ac:dyDescent="0.25">
      <c r="A8" s="28">
        <v>5</v>
      </c>
      <c r="B8" s="30">
        <v>0.7</v>
      </c>
      <c r="C8" s="20" t="s">
        <v>60</v>
      </c>
      <c r="D8" s="26"/>
      <c r="E8" s="27"/>
    </row>
    <row r="9" spans="1:5" ht="13" x14ac:dyDescent="0.25">
      <c r="A9" s="28">
        <v>6</v>
      </c>
      <c r="B9" s="30">
        <v>2.4</v>
      </c>
      <c r="C9" s="20" t="s">
        <v>61</v>
      </c>
      <c r="D9" s="15"/>
      <c r="E9" s="27"/>
    </row>
    <row r="10" spans="1:5" ht="13" x14ac:dyDescent="0.25">
      <c r="A10" s="28">
        <v>7</v>
      </c>
      <c r="B10" s="30">
        <v>0.25</v>
      </c>
      <c r="C10" s="20" t="s">
        <v>62</v>
      </c>
      <c r="D10" s="15"/>
      <c r="E10" s="15"/>
    </row>
    <row r="11" spans="1:5" ht="25.5" x14ac:dyDescent="0.25">
      <c r="A11" s="28">
        <v>8</v>
      </c>
      <c r="B11" s="30">
        <v>1</v>
      </c>
      <c r="C11" s="20" t="s">
        <v>63</v>
      </c>
      <c r="D11" s="3"/>
      <c r="E11" s="3"/>
    </row>
    <row r="12" spans="1:5" ht="13" x14ac:dyDescent="0.25">
      <c r="A12" s="28">
        <v>9</v>
      </c>
      <c r="B12" s="30">
        <v>0.4</v>
      </c>
      <c r="C12" s="20" t="s">
        <v>64</v>
      </c>
    </row>
    <row r="13" spans="1:5" ht="25.5" x14ac:dyDescent="0.25">
      <c r="A13" s="28">
        <v>10</v>
      </c>
      <c r="B13" s="30">
        <v>0.3</v>
      </c>
      <c r="C13" s="20" t="s">
        <v>65</v>
      </c>
    </row>
    <row r="14" spans="1:5" ht="25" x14ac:dyDescent="0.25">
      <c r="A14" s="28">
        <v>11</v>
      </c>
      <c r="B14" s="30">
        <v>4.5</v>
      </c>
      <c r="C14" s="20" t="s">
        <v>66</v>
      </c>
    </row>
    <row r="15" spans="1:5" x14ac:dyDescent="0.25">
      <c r="A15" s="28"/>
      <c r="B15" s="33"/>
      <c r="C15" s="20" t="s">
        <v>67</v>
      </c>
    </row>
    <row r="16" spans="1:5" x14ac:dyDescent="0.25">
      <c r="A16" s="28">
        <v>12</v>
      </c>
      <c r="B16" s="30">
        <v>1</v>
      </c>
      <c r="C16" s="20" t="s">
        <v>68</v>
      </c>
    </row>
    <row r="17" spans="1:3" ht="13" x14ac:dyDescent="0.25">
      <c r="A17" s="28">
        <v>13</v>
      </c>
      <c r="B17" s="30">
        <v>0.5</v>
      </c>
      <c r="C17" s="20" t="s">
        <v>69</v>
      </c>
    </row>
    <row r="18" spans="1:3" x14ac:dyDescent="0.25">
      <c r="A18" s="28">
        <v>14</v>
      </c>
      <c r="B18" s="30">
        <v>0.5</v>
      </c>
      <c r="C18" s="20" t="s">
        <v>70</v>
      </c>
    </row>
    <row r="19" spans="1:3" ht="13" x14ac:dyDescent="0.25">
      <c r="A19" s="28">
        <v>15</v>
      </c>
      <c r="B19" s="30">
        <v>0.7</v>
      </c>
      <c r="C19" s="20" t="s">
        <v>71</v>
      </c>
    </row>
    <row r="20" spans="1:3" ht="25.5" x14ac:dyDescent="0.25">
      <c r="A20" s="28">
        <v>16</v>
      </c>
      <c r="B20" s="30">
        <v>1</v>
      </c>
      <c r="C20" s="20" t="s">
        <v>92</v>
      </c>
    </row>
    <row r="21" spans="1:3" ht="13" x14ac:dyDescent="0.25">
      <c r="A21" s="28">
        <v>17</v>
      </c>
      <c r="B21" s="30">
        <v>0.5</v>
      </c>
      <c r="C21" s="20" t="s">
        <v>72</v>
      </c>
    </row>
    <row r="22" spans="1:3" x14ac:dyDescent="0.25">
      <c r="A22" s="28">
        <v>18</v>
      </c>
      <c r="B22" s="30">
        <v>0.25</v>
      </c>
      <c r="C22" s="20" t="s">
        <v>73</v>
      </c>
    </row>
    <row r="23" spans="1:3" x14ac:dyDescent="0.25">
      <c r="A23" s="28">
        <v>19</v>
      </c>
      <c r="B23" s="30">
        <v>1</v>
      </c>
      <c r="C23" s="20" t="s">
        <v>74</v>
      </c>
    </row>
    <row r="24" spans="1:3" ht="25" x14ac:dyDescent="0.25">
      <c r="A24" s="28">
        <v>20</v>
      </c>
      <c r="B24" s="30">
        <v>0.8</v>
      </c>
      <c r="C24" s="20" t="s">
        <v>75</v>
      </c>
    </row>
    <row r="25" spans="1:3" ht="25" x14ac:dyDescent="0.25">
      <c r="A25" s="28">
        <v>21</v>
      </c>
      <c r="B25" s="30">
        <v>1.1000000000000001</v>
      </c>
      <c r="C25" s="20" t="s">
        <v>93</v>
      </c>
    </row>
    <row r="26" spans="1:3" ht="12.75" customHeight="1" x14ac:dyDescent="0.25">
      <c r="A26" s="28">
        <v>22</v>
      </c>
      <c r="B26" s="30">
        <v>0.9</v>
      </c>
      <c r="C26" s="20" t="s">
        <v>76</v>
      </c>
    </row>
    <row r="27" spans="1:3" ht="25" x14ac:dyDescent="0.25">
      <c r="A27" s="28">
        <v>23</v>
      </c>
      <c r="B27" s="30">
        <v>0.7</v>
      </c>
      <c r="C27" s="20" t="s">
        <v>94</v>
      </c>
    </row>
    <row r="28" spans="1:3" ht="26" x14ac:dyDescent="0.25">
      <c r="A28" s="28">
        <v>24</v>
      </c>
      <c r="B28" s="30">
        <v>0.7</v>
      </c>
      <c r="C28" s="20" t="s">
        <v>77</v>
      </c>
    </row>
    <row r="29" spans="1:3" ht="13" x14ac:dyDescent="0.25">
      <c r="A29" s="28">
        <v>25</v>
      </c>
      <c r="B29" s="30">
        <v>0.5</v>
      </c>
      <c r="C29" s="20" t="s">
        <v>78</v>
      </c>
    </row>
    <row r="30" spans="1:3" ht="25" x14ac:dyDescent="0.25">
      <c r="A30" s="28">
        <v>26</v>
      </c>
      <c r="B30" s="30">
        <v>0.4</v>
      </c>
      <c r="C30" s="20" t="s">
        <v>94</v>
      </c>
    </row>
    <row r="31" spans="1:3" ht="25.5" x14ac:dyDescent="0.25">
      <c r="A31" s="28">
        <v>27</v>
      </c>
      <c r="B31" s="30">
        <v>0.6</v>
      </c>
      <c r="C31" s="20" t="s">
        <v>79</v>
      </c>
    </row>
    <row r="32" spans="1:3" ht="13" x14ac:dyDescent="0.25">
      <c r="A32" s="28">
        <v>28</v>
      </c>
      <c r="B32" s="30">
        <v>0.6</v>
      </c>
      <c r="C32" s="20" t="s">
        <v>80</v>
      </c>
    </row>
    <row r="33" spans="1:3" ht="25.5" x14ac:dyDescent="0.25">
      <c r="A33" s="28">
        <v>29</v>
      </c>
      <c r="B33" s="30">
        <v>1</v>
      </c>
      <c r="C33" s="20" t="s">
        <v>95</v>
      </c>
    </row>
    <row r="34" spans="1:3" ht="13" x14ac:dyDescent="0.25">
      <c r="A34" s="28">
        <v>30</v>
      </c>
      <c r="B34" s="30">
        <v>0.25</v>
      </c>
      <c r="C34" s="20" t="s">
        <v>81</v>
      </c>
    </row>
    <row r="35" spans="1:3" ht="13" x14ac:dyDescent="0.25">
      <c r="A35" s="28">
        <v>31</v>
      </c>
      <c r="B35" s="30">
        <v>0.35</v>
      </c>
      <c r="C35" s="20" t="s">
        <v>82</v>
      </c>
    </row>
    <row r="36" spans="1:3" ht="13" x14ac:dyDescent="0.25">
      <c r="A36" s="28">
        <v>32</v>
      </c>
      <c r="B36" s="30">
        <v>0.8</v>
      </c>
      <c r="C36" s="20" t="s">
        <v>83</v>
      </c>
    </row>
    <row r="37" spans="1:3" ht="25" x14ac:dyDescent="0.25">
      <c r="A37" s="28">
        <v>33</v>
      </c>
      <c r="B37" s="30">
        <v>0.2</v>
      </c>
      <c r="C37" s="20" t="s">
        <v>84</v>
      </c>
    </row>
    <row r="38" spans="1:3" ht="25" x14ac:dyDescent="0.25">
      <c r="A38" s="28">
        <v>34</v>
      </c>
      <c r="B38" s="30">
        <v>0.8</v>
      </c>
      <c r="C38" s="20" t="s">
        <v>85</v>
      </c>
    </row>
    <row r="39" spans="1:3" ht="13" x14ac:dyDescent="0.25">
      <c r="A39" s="28">
        <v>35</v>
      </c>
      <c r="B39" s="30">
        <v>0.2</v>
      </c>
      <c r="C39" s="20" t="s">
        <v>86</v>
      </c>
    </row>
    <row r="40" spans="1:3" ht="13" x14ac:dyDescent="0.25">
      <c r="A40" s="28">
        <v>36</v>
      </c>
      <c r="B40" s="30">
        <v>1.7</v>
      </c>
      <c r="C40" s="20" t="s">
        <v>87</v>
      </c>
    </row>
    <row r="41" spans="1:3" ht="25" x14ac:dyDescent="0.25">
      <c r="A41" s="28">
        <v>37</v>
      </c>
      <c r="B41" s="30">
        <v>1.6</v>
      </c>
      <c r="C41" s="20" t="s">
        <v>96</v>
      </c>
    </row>
    <row r="42" spans="1:3" x14ac:dyDescent="0.25">
      <c r="A42" s="28">
        <v>38</v>
      </c>
      <c r="B42" s="30">
        <v>1.3</v>
      </c>
      <c r="C42" s="20" t="s">
        <v>88</v>
      </c>
    </row>
    <row r="43" spans="1:3" x14ac:dyDescent="0.25">
      <c r="A43" s="28">
        <v>39</v>
      </c>
      <c r="B43" s="30">
        <v>1.4</v>
      </c>
      <c r="C43" s="20" t="s">
        <v>89</v>
      </c>
    </row>
    <row r="44" spans="1:3" ht="13" x14ac:dyDescent="0.25">
      <c r="A44" s="29">
        <v>40</v>
      </c>
      <c r="B44" s="31">
        <v>0.8</v>
      </c>
      <c r="C44" s="22" t="s">
        <v>90</v>
      </c>
    </row>
    <row r="45" spans="1:3" x14ac:dyDescent="0.25">
      <c r="A45" s="132"/>
      <c r="B45" s="132"/>
      <c r="C45" s="132"/>
    </row>
    <row r="46" spans="1:3" ht="24" customHeight="1" x14ac:dyDescent="0.25">
      <c r="A46" s="131" t="s">
        <v>97</v>
      </c>
      <c r="B46" s="131"/>
      <c r="C46" s="131"/>
    </row>
  </sheetData>
  <mergeCells count="4">
    <mergeCell ref="A1:C1"/>
    <mergeCell ref="A46:C46"/>
    <mergeCell ref="A2:C2"/>
    <mergeCell ref="A45:C45"/>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F1875-83A9-4B79-A3BC-ED9AB459956F}">
  <dimension ref="A1:E46"/>
  <sheetViews>
    <sheetView workbookViewId="0">
      <selection activeCell="C9" sqref="C9"/>
    </sheetView>
  </sheetViews>
  <sheetFormatPr defaultRowHeight="12.5" x14ac:dyDescent="0.25"/>
  <cols>
    <col min="1" max="1" width="25.26953125" customWidth="1"/>
    <col min="2" max="2" width="29.7265625" customWidth="1"/>
    <col min="3" max="3" width="30.453125" customWidth="1"/>
    <col min="4" max="4" width="18.1796875" customWidth="1"/>
    <col min="5" max="5" width="19" customWidth="1"/>
  </cols>
  <sheetData>
    <row r="1" spans="1:5" ht="14.25" customHeight="1" x14ac:dyDescent="0.3">
      <c r="A1" s="113" t="s">
        <v>98</v>
      </c>
      <c r="B1" s="113"/>
      <c r="C1" s="113"/>
      <c r="D1" s="24"/>
      <c r="E1" s="24"/>
    </row>
    <row r="2" spans="1:5" x14ac:dyDescent="0.25">
      <c r="A2" s="124"/>
      <c r="B2" s="124"/>
      <c r="C2" s="124"/>
    </row>
    <row r="3" spans="1:5" ht="13" x14ac:dyDescent="0.3">
      <c r="A3" s="36" t="s">
        <v>99</v>
      </c>
      <c r="B3" s="37" t="s">
        <v>31</v>
      </c>
      <c r="C3" s="37" t="s">
        <v>100</v>
      </c>
      <c r="D3" s="25"/>
      <c r="E3" s="25"/>
    </row>
    <row r="4" spans="1:5" x14ac:dyDescent="0.25">
      <c r="A4" s="4" t="s">
        <v>101</v>
      </c>
      <c r="B4" s="6" t="s">
        <v>102</v>
      </c>
      <c r="C4" s="6" t="s">
        <v>103</v>
      </c>
      <c r="D4" s="26"/>
      <c r="E4" s="15"/>
    </row>
    <row r="5" spans="1:5" x14ac:dyDescent="0.25">
      <c r="A5" s="4" t="s">
        <v>104</v>
      </c>
      <c r="B5" s="6" t="s">
        <v>105</v>
      </c>
      <c r="C5" s="6" t="s">
        <v>106</v>
      </c>
      <c r="D5" s="26"/>
      <c r="E5" s="26"/>
    </row>
    <row r="6" spans="1:5" x14ac:dyDescent="0.25">
      <c r="A6" s="38" t="s">
        <v>107</v>
      </c>
      <c r="B6" s="39" t="s">
        <v>108</v>
      </c>
      <c r="C6" s="39" t="s">
        <v>109</v>
      </c>
      <c r="D6" s="15"/>
      <c r="E6" s="27"/>
    </row>
    <row r="7" spans="1:5" ht="15.5" x14ac:dyDescent="0.25">
      <c r="A7" s="40"/>
      <c r="B7" s="39" t="s">
        <v>110</v>
      </c>
      <c r="C7" s="39" t="s">
        <v>111</v>
      </c>
      <c r="D7" s="15"/>
      <c r="E7" s="15"/>
    </row>
    <row r="8" spans="1:5" ht="37.5" x14ac:dyDescent="0.25">
      <c r="A8" s="41"/>
      <c r="B8" s="6" t="s">
        <v>112</v>
      </c>
      <c r="C8" s="6" t="s">
        <v>113</v>
      </c>
      <c r="D8" s="26"/>
      <c r="E8" s="27"/>
    </row>
    <row r="9" spans="1:5" ht="25" x14ac:dyDescent="0.25">
      <c r="A9" s="4" t="s">
        <v>114</v>
      </c>
      <c r="B9" s="6" t="s">
        <v>115</v>
      </c>
      <c r="C9" s="6" t="s">
        <v>116</v>
      </c>
      <c r="D9" s="15"/>
      <c r="E9" s="27"/>
    </row>
    <row r="10" spans="1:5" ht="25" x14ac:dyDescent="0.25">
      <c r="A10" s="4" t="s">
        <v>117</v>
      </c>
      <c r="B10" s="6" t="s">
        <v>118</v>
      </c>
      <c r="C10" s="6" t="s">
        <v>119</v>
      </c>
      <c r="D10" s="15"/>
      <c r="E10" s="15"/>
    </row>
    <row r="11" spans="1:5" ht="25" x14ac:dyDescent="0.25">
      <c r="A11" s="4" t="s">
        <v>120</v>
      </c>
      <c r="B11" s="6" t="s">
        <v>121</v>
      </c>
      <c r="C11" s="6" t="s">
        <v>122</v>
      </c>
      <c r="D11" s="3"/>
      <c r="E11" s="3"/>
    </row>
    <row r="12" spans="1:5" x14ac:dyDescent="0.25">
      <c r="A12" s="4" t="s">
        <v>123</v>
      </c>
      <c r="B12" s="6" t="s">
        <v>124</v>
      </c>
      <c r="C12" s="6" t="s">
        <v>125</v>
      </c>
    </row>
    <row r="13" spans="1:5" x14ac:dyDescent="0.25">
      <c r="A13" s="4" t="s">
        <v>126</v>
      </c>
      <c r="B13" s="6" t="s">
        <v>127</v>
      </c>
      <c r="C13" s="6" t="s">
        <v>128</v>
      </c>
    </row>
    <row r="14" spans="1:5" x14ac:dyDescent="0.25">
      <c r="A14" s="4" t="s">
        <v>129</v>
      </c>
      <c r="B14" s="6" t="s">
        <v>130</v>
      </c>
      <c r="C14" s="6" t="s">
        <v>131</v>
      </c>
    </row>
    <row r="15" spans="1:5" x14ac:dyDescent="0.25">
      <c r="A15" s="4" t="s">
        <v>132</v>
      </c>
      <c r="B15" s="6" t="s">
        <v>133</v>
      </c>
      <c r="C15" s="6" t="s">
        <v>134</v>
      </c>
    </row>
    <row r="16" spans="1:5" x14ac:dyDescent="0.25">
      <c r="A16" s="4" t="s">
        <v>135</v>
      </c>
      <c r="B16" s="6" t="s">
        <v>136</v>
      </c>
      <c r="C16" s="6" t="s">
        <v>137</v>
      </c>
    </row>
    <row r="17" spans="1:3" x14ac:dyDescent="0.25">
      <c r="A17" s="44" t="s">
        <v>138</v>
      </c>
      <c r="B17" s="39" t="s">
        <v>139</v>
      </c>
      <c r="C17" s="39" t="s">
        <v>140</v>
      </c>
    </row>
    <row r="18" spans="1:3" ht="25" x14ac:dyDescent="0.25">
      <c r="A18" s="38"/>
      <c r="B18" s="39" t="s">
        <v>140</v>
      </c>
      <c r="C18" s="42" t="s">
        <v>143</v>
      </c>
    </row>
    <row r="19" spans="1:3" x14ac:dyDescent="0.25">
      <c r="A19" s="38"/>
      <c r="B19" s="42" t="s">
        <v>141</v>
      </c>
      <c r="C19" s="42" t="s">
        <v>144</v>
      </c>
    </row>
    <row r="20" spans="1:3" ht="25" x14ac:dyDescent="0.25">
      <c r="A20" s="4"/>
      <c r="B20" s="43" t="s">
        <v>142</v>
      </c>
      <c r="C20" s="5"/>
    </row>
    <row r="21" spans="1:3" x14ac:dyDescent="0.25">
      <c r="A21" s="28"/>
      <c r="B21" s="30"/>
      <c r="C21" s="20"/>
    </row>
    <row r="22" spans="1:3" x14ac:dyDescent="0.25">
      <c r="A22" s="28"/>
      <c r="B22" s="30"/>
      <c r="C22" s="20"/>
    </row>
    <row r="23" spans="1:3" x14ac:dyDescent="0.25">
      <c r="A23" s="28"/>
      <c r="B23" s="30"/>
      <c r="C23" s="20"/>
    </row>
    <row r="24" spans="1:3" x14ac:dyDescent="0.25">
      <c r="A24" s="28"/>
      <c r="B24" s="30"/>
      <c r="C24" s="20"/>
    </row>
    <row r="25" spans="1:3" x14ac:dyDescent="0.25">
      <c r="A25" s="28"/>
      <c r="B25" s="30"/>
      <c r="C25" s="20"/>
    </row>
    <row r="26" spans="1:3" x14ac:dyDescent="0.25">
      <c r="A26" s="28"/>
      <c r="B26" s="30"/>
      <c r="C26" s="20"/>
    </row>
    <row r="27" spans="1:3" x14ac:dyDescent="0.25">
      <c r="A27" s="28"/>
      <c r="B27" s="30"/>
      <c r="C27" s="20"/>
    </row>
    <row r="28" spans="1:3" x14ac:dyDescent="0.25">
      <c r="A28" s="28"/>
      <c r="B28" s="30"/>
      <c r="C28" s="20"/>
    </row>
    <row r="29" spans="1:3" x14ac:dyDescent="0.25">
      <c r="A29" s="28"/>
      <c r="B29" s="30"/>
      <c r="C29" s="20"/>
    </row>
    <row r="30" spans="1:3" x14ac:dyDescent="0.25">
      <c r="A30" s="28"/>
      <c r="B30" s="30"/>
      <c r="C30" s="20"/>
    </row>
    <row r="31" spans="1:3" x14ac:dyDescent="0.25">
      <c r="A31" s="28"/>
      <c r="B31" s="30"/>
      <c r="C31" s="20"/>
    </row>
    <row r="32" spans="1:3" x14ac:dyDescent="0.25">
      <c r="A32" s="28"/>
      <c r="B32" s="30"/>
      <c r="C32" s="20"/>
    </row>
    <row r="33" spans="1:3" x14ac:dyDescent="0.25">
      <c r="A33" s="28"/>
      <c r="B33" s="30"/>
      <c r="C33" s="20"/>
    </row>
    <row r="34" spans="1:3" x14ac:dyDescent="0.25">
      <c r="A34" s="28"/>
      <c r="B34" s="30"/>
      <c r="C34" s="20"/>
    </row>
    <row r="35" spans="1:3" x14ac:dyDescent="0.25">
      <c r="A35" s="28"/>
      <c r="B35" s="30"/>
      <c r="C35" s="20"/>
    </row>
    <row r="36" spans="1:3" x14ac:dyDescent="0.25">
      <c r="A36" s="28"/>
      <c r="B36" s="30"/>
      <c r="C36" s="20"/>
    </row>
    <row r="37" spans="1:3" x14ac:dyDescent="0.25">
      <c r="A37" s="28"/>
      <c r="B37" s="30"/>
      <c r="C37" s="20"/>
    </row>
    <row r="38" spans="1:3" x14ac:dyDescent="0.25">
      <c r="A38" s="28"/>
      <c r="B38" s="30"/>
      <c r="C38" s="20"/>
    </row>
    <row r="39" spans="1:3" x14ac:dyDescent="0.25">
      <c r="A39" s="28"/>
      <c r="B39" s="30"/>
      <c r="C39" s="20"/>
    </row>
    <row r="40" spans="1:3" x14ac:dyDescent="0.25">
      <c r="A40" s="28"/>
      <c r="B40" s="30"/>
      <c r="C40" s="20"/>
    </row>
    <row r="41" spans="1:3" x14ac:dyDescent="0.25">
      <c r="A41" s="28"/>
      <c r="B41" s="30"/>
      <c r="C41" s="20"/>
    </row>
    <row r="42" spans="1:3" x14ac:dyDescent="0.25">
      <c r="A42" s="28"/>
      <c r="B42" s="30"/>
      <c r="C42" s="20"/>
    </row>
    <row r="43" spans="1:3" x14ac:dyDescent="0.25">
      <c r="A43" s="28"/>
      <c r="B43" s="30"/>
      <c r="C43" s="20"/>
    </row>
    <row r="44" spans="1:3" x14ac:dyDescent="0.25">
      <c r="A44" s="28"/>
      <c r="B44" s="30"/>
      <c r="C44" s="20"/>
    </row>
    <row r="46" spans="1:3" x14ac:dyDescent="0.25">
      <c r="A46" s="35"/>
      <c r="B46" s="35"/>
      <c r="C46" s="35"/>
    </row>
  </sheetData>
  <mergeCells count="2">
    <mergeCell ref="A1:C1"/>
    <mergeCell ref="A2:C2"/>
  </mergeCells>
  <phoneticPr fontId="0"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B839-6C82-4513-9E93-3B4157648F95}">
  <dimension ref="A1:E47"/>
  <sheetViews>
    <sheetView workbookViewId="0">
      <selection activeCell="E5" sqref="E5"/>
    </sheetView>
  </sheetViews>
  <sheetFormatPr defaultRowHeight="12.5" x14ac:dyDescent="0.25"/>
  <cols>
    <col min="1" max="1" width="50.1796875" customWidth="1"/>
    <col min="2" max="3" width="15.81640625" customWidth="1"/>
    <col min="4" max="4" width="18.1796875" customWidth="1"/>
    <col min="5" max="5" width="19" customWidth="1"/>
  </cols>
  <sheetData>
    <row r="1" spans="1:5" ht="14.25" customHeight="1" x14ac:dyDescent="0.3">
      <c r="A1" s="113" t="s">
        <v>145</v>
      </c>
      <c r="B1" s="113"/>
      <c r="C1" s="113"/>
      <c r="D1" s="24"/>
      <c r="E1" s="24"/>
    </row>
    <row r="2" spans="1:5" x14ac:dyDescent="0.25">
      <c r="A2" s="124"/>
      <c r="B2" s="124"/>
      <c r="C2" s="124"/>
    </row>
    <row r="3" spans="1:5" ht="13" x14ac:dyDescent="0.3">
      <c r="A3" s="45" t="s">
        <v>146</v>
      </c>
      <c r="B3" s="51"/>
      <c r="C3" s="52"/>
      <c r="D3" s="25"/>
      <c r="E3" s="25"/>
    </row>
    <row r="4" spans="1:5" ht="14.5" x14ac:dyDescent="0.25">
      <c r="A4" s="53" t="s">
        <v>147</v>
      </c>
      <c r="B4" s="21">
        <v>49.9</v>
      </c>
      <c r="C4" s="39"/>
      <c r="D4" s="26"/>
      <c r="E4" s="15"/>
    </row>
    <row r="5" spans="1:5" x14ac:dyDescent="0.25">
      <c r="A5" s="53" t="s">
        <v>148</v>
      </c>
      <c r="B5" s="21">
        <v>3.49</v>
      </c>
      <c r="C5" s="39"/>
      <c r="D5" s="26"/>
      <c r="E5" s="26"/>
    </row>
    <row r="6" spans="1:5" ht="14.5" x14ac:dyDescent="0.25">
      <c r="A6" s="53" t="s">
        <v>149</v>
      </c>
      <c r="B6" s="21">
        <v>1.4</v>
      </c>
      <c r="C6" s="39"/>
      <c r="D6" s="15"/>
      <c r="E6" s="27"/>
    </row>
    <row r="7" spans="1:5" x14ac:dyDescent="0.25">
      <c r="A7" s="54" t="s">
        <v>150</v>
      </c>
      <c r="B7" s="23">
        <v>5.29</v>
      </c>
      <c r="C7" s="39"/>
      <c r="D7" s="15"/>
      <c r="E7" s="15"/>
    </row>
    <row r="8" spans="1:5" ht="13" x14ac:dyDescent="0.25">
      <c r="A8" s="47" t="s">
        <v>151</v>
      </c>
      <c r="B8" s="20"/>
      <c r="C8" s="48">
        <v>60.08</v>
      </c>
      <c r="D8" s="26"/>
      <c r="E8" s="27"/>
    </row>
    <row r="9" spans="1:5" ht="13" x14ac:dyDescent="0.25">
      <c r="A9" s="47"/>
      <c r="B9" s="20"/>
      <c r="C9" s="48"/>
      <c r="D9" s="26"/>
      <c r="E9" s="27"/>
    </row>
    <row r="10" spans="1:5" ht="13" x14ac:dyDescent="0.25">
      <c r="A10" s="49" t="s">
        <v>152</v>
      </c>
      <c r="B10" s="20"/>
      <c r="C10" s="39"/>
      <c r="D10" s="15"/>
      <c r="E10" s="27"/>
    </row>
    <row r="11" spans="1:5" x14ac:dyDescent="0.25">
      <c r="A11" s="53" t="s">
        <v>153</v>
      </c>
      <c r="B11" s="21">
        <v>30</v>
      </c>
      <c r="C11" s="39"/>
      <c r="D11" s="15"/>
      <c r="E11" s="15"/>
    </row>
    <row r="12" spans="1:5" x14ac:dyDescent="0.25">
      <c r="A12" s="53" t="s">
        <v>154</v>
      </c>
      <c r="B12" s="21">
        <v>10</v>
      </c>
      <c r="C12" s="39"/>
      <c r="D12" s="3"/>
      <c r="E12" s="3"/>
    </row>
    <row r="13" spans="1:5" x14ac:dyDescent="0.25">
      <c r="A13" s="54" t="s">
        <v>156</v>
      </c>
      <c r="B13" s="21">
        <v>9.9</v>
      </c>
      <c r="C13" s="39"/>
    </row>
    <row r="14" spans="1:5" x14ac:dyDescent="0.25">
      <c r="A14" s="46" t="s">
        <v>155</v>
      </c>
      <c r="B14" s="22"/>
      <c r="C14" s="50">
        <v>49.9</v>
      </c>
    </row>
    <row r="15" spans="1:5" x14ac:dyDescent="0.25">
      <c r="A15" s="126"/>
      <c r="B15" s="126"/>
      <c r="C15" s="126"/>
    </row>
    <row r="16" spans="1:5" x14ac:dyDescent="0.25">
      <c r="A16" s="133" t="s">
        <v>157</v>
      </c>
      <c r="B16" s="133"/>
      <c r="C16" s="133"/>
    </row>
    <row r="17" spans="1:3" x14ac:dyDescent="0.25">
      <c r="A17" s="135"/>
      <c r="B17" s="135"/>
      <c r="C17" s="135"/>
    </row>
    <row r="18" spans="1:3" x14ac:dyDescent="0.25">
      <c r="A18" s="134" t="s">
        <v>162</v>
      </c>
      <c r="B18" s="133"/>
      <c r="C18" s="133"/>
    </row>
    <row r="19" spans="1:3" x14ac:dyDescent="0.25">
      <c r="A19" s="134" t="s">
        <v>161</v>
      </c>
      <c r="B19" s="133"/>
      <c r="C19" s="133"/>
    </row>
    <row r="20" spans="1:3" x14ac:dyDescent="0.25">
      <c r="A20" s="28"/>
      <c r="B20" s="30"/>
      <c r="C20" s="20"/>
    </row>
    <row r="21" spans="1:3" x14ac:dyDescent="0.25">
      <c r="A21" s="28"/>
      <c r="B21" s="30"/>
      <c r="C21" s="20"/>
    </row>
    <row r="22" spans="1:3" x14ac:dyDescent="0.25">
      <c r="A22" s="28"/>
      <c r="B22" s="30"/>
      <c r="C22" s="20"/>
    </row>
    <row r="23" spans="1:3" x14ac:dyDescent="0.25">
      <c r="A23" s="28"/>
      <c r="B23" s="30"/>
      <c r="C23" s="20"/>
    </row>
    <row r="24" spans="1:3" x14ac:dyDescent="0.25">
      <c r="A24" s="28"/>
      <c r="B24" s="30"/>
      <c r="C24" s="20"/>
    </row>
    <row r="25" spans="1:3" x14ac:dyDescent="0.25">
      <c r="A25" s="28"/>
      <c r="B25" s="30"/>
      <c r="C25" s="20"/>
    </row>
    <row r="26" spans="1:3" x14ac:dyDescent="0.25">
      <c r="A26" s="28"/>
      <c r="B26" s="30"/>
      <c r="C26" s="20"/>
    </row>
    <row r="27" spans="1:3" x14ac:dyDescent="0.25">
      <c r="A27" s="28"/>
      <c r="B27" s="30"/>
      <c r="C27" s="20"/>
    </row>
    <row r="28" spans="1:3" x14ac:dyDescent="0.25">
      <c r="A28" s="28"/>
      <c r="B28" s="30"/>
      <c r="C28" s="20"/>
    </row>
    <row r="29" spans="1:3" x14ac:dyDescent="0.25">
      <c r="A29" s="28"/>
      <c r="B29" s="30"/>
      <c r="C29" s="20"/>
    </row>
    <row r="30" spans="1:3" x14ac:dyDescent="0.25">
      <c r="A30" s="28"/>
      <c r="B30" s="30"/>
      <c r="C30" s="20"/>
    </row>
    <row r="31" spans="1:3" x14ac:dyDescent="0.25">
      <c r="A31" s="28"/>
      <c r="B31" s="30"/>
      <c r="C31" s="20"/>
    </row>
    <row r="32" spans="1:3" x14ac:dyDescent="0.25">
      <c r="A32" s="28"/>
      <c r="B32" s="30"/>
      <c r="C32" s="20"/>
    </row>
    <row r="33" spans="1:3" x14ac:dyDescent="0.25">
      <c r="A33" s="28"/>
      <c r="B33" s="30"/>
      <c r="C33" s="20"/>
    </row>
    <row r="34" spans="1:3" x14ac:dyDescent="0.25">
      <c r="A34" s="28"/>
      <c r="B34" s="30"/>
      <c r="C34" s="20"/>
    </row>
    <row r="35" spans="1:3" x14ac:dyDescent="0.25">
      <c r="A35" s="28"/>
      <c r="B35" s="30"/>
      <c r="C35" s="20"/>
    </row>
    <row r="36" spans="1:3" x14ac:dyDescent="0.25">
      <c r="A36" s="28"/>
      <c r="B36" s="30"/>
      <c r="C36" s="20"/>
    </row>
    <row r="37" spans="1:3" x14ac:dyDescent="0.25">
      <c r="A37" s="28"/>
      <c r="B37" s="30"/>
      <c r="C37" s="20"/>
    </row>
    <row r="38" spans="1:3" x14ac:dyDescent="0.25">
      <c r="A38" s="28"/>
      <c r="B38" s="30"/>
      <c r="C38" s="20"/>
    </row>
    <row r="39" spans="1:3" x14ac:dyDescent="0.25">
      <c r="A39" s="28"/>
      <c r="B39" s="30"/>
      <c r="C39" s="20"/>
    </row>
    <row r="40" spans="1:3" x14ac:dyDescent="0.25">
      <c r="A40" s="28"/>
      <c r="B40" s="30"/>
      <c r="C40" s="20"/>
    </row>
    <row r="41" spans="1:3" x14ac:dyDescent="0.25">
      <c r="A41" s="28"/>
      <c r="B41" s="30"/>
      <c r="C41" s="20"/>
    </row>
    <row r="42" spans="1:3" x14ac:dyDescent="0.25">
      <c r="A42" s="28"/>
      <c r="B42" s="30"/>
      <c r="C42" s="20"/>
    </row>
    <row r="43" spans="1:3" x14ac:dyDescent="0.25">
      <c r="A43" s="28"/>
      <c r="B43" s="30"/>
      <c r="C43" s="20"/>
    </row>
    <row r="44" spans="1:3" x14ac:dyDescent="0.25">
      <c r="A44" s="28"/>
      <c r="B44" s="30"/>
      <c r="C44" s="20"/>
    </row>
    <row r="45" spans="1:3" x14ac:dyDescent="0.25">
      <c r="A45" s="28"/>
      <c r="B45" s="30"/>
      <c r="C45" s="20"/>
    </row>
    <row r="47" spans="1:3" x14ac:dyDescent="0.25">
      <c r="A47" s="35"/>
      <c r="B47" s="35"/>
      <c r="C47" s="35"/>
    </row>
  </sheetData>
  <mergeCells count="7">
    <mergeCell ref="A1:C1"/>
    <mergeCell ref="A16:C16"/>
    <mergeCell ref="A18:C18"/>
    <mergeCell ref="A19:C19"/>
    <mergeCell ref="A2:C2"/>
    <mergeCell ref="A15:C15"/>
    <mergeCell ref="A17:C17"/>
  </mergeCells>
  <phoneticPr fontId="0"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AEAFF-BA68-4D48-91B8-7BD39FC0584E}">
  <dimension ref="A1:E47"/>
  <sheetViews>
    <sheetView workbookViewId="0">
      <selection activeCell="E5" sqref="E5"/>
    </sheetView>
  </sheetViews>
  <sheetFormatPr defaultColWidth="9.1796875" defaultRowHeight="12.5" x14ac:dyDescent="0.25"/>
  <cols>
    <col min="1" max="1" width="45.26953125" style="7" bestFit="1" customWidth="1"/>
    <col min="2" max="2" width="10" style="7" customWidth="1"/>
    <col min="3" max="3" width="10.453125" style="7" customWidth="1"/>
    <col min="4" max="4" width="18.1796875" style="7" customWidth="1"/>
    <col min="5" max="5" width="19" style="7" customWidth="1"/>
    <col min="6" max="16384" width="9.1796875" style="7"/>
  </cols>
  <sheetData>
    <row r="1" spans="1:5" ht="30" customHeight="1" x14ac:dyDescent="0.3">
      <c r="A1" s="113" t="s">
        <v>158</v>
      </c>
      <c r="B1" s="113"/>
      <c r="C1" s="113"/>
      <c r="D1" s="24"/>
      <c r="E1" s="24"/>
    </row>
    <row r="2" spans="1:5" x14ac:dyDescent="0.25">
      <c r="A2" s="136"/>
      <c r="B2" s="136"/>
      <c r="C2" s="136"/>
    </row>
    <row r="3" spans="1:5" ht="13" x14ac:dyDescent="0.3">
      <c r="A3" s="45" t="s">
        <v>146</v>
      </c>
      <c r="B3" s="51"/>
      <c r="C3" s="52"/>
      <c r="D3" s="25"/>
      <c r="E3" s="25"/>
    </row>
    <row r="4" spans="1:5" ht="14.5" x14ac:dyDescent="0.25">
      <c r="A4" s="53" t="s">
        <v>147</v>
      </c>
      <c r="B4" s="21">
        <v>42.64</v>
      </c>
      <c r="C4" s="39"/>
      <c r="D4" s="55"/>
      <c r="E4" s="56"/>
    </row>
    <row r="5" spans="1:5" x14ac:dyDescent="0.25">
      <c r="A5" s="53" t="s">
        <v>148</v>
      </c>
      <c r="B5" s="21">
        <v>2.98</v>
      </c>
      <c r="C5" s="39"/>
      <c r="D5" s="55"/>
      <c r="E5" s="55"/>
    </row>
    <row r="6" spans="1:5" ht="14.5" x14ac:dyDescent="0.25">
      <c r="A6" s="53" t="s">
        <v>149</v>
      </c>
      <c r="B6" s="21">
        <v>1.4</v>
      </c>
      <c r="C6" s="39"/>
      <c r="D6" s="56"/>
      <c r="E6" s="57"/>
    </row>
    <row r="7" spans="1:5" x14ac:dyDescent="0.25">
      <c r="A7" s="54" t="s">
        <v>150</v>
      </c>
      <c r="B7" s="23">
        <v>4.9000000000000004</v>
      </c>
      <c r="C7" s="39"/>
      <c r="D7" s="56"/>
      <c r="E7" s="56"/>
    </row>
    <row r="8" spans="1:5" ht="13" x14ac:dyDescent="0.25">
      <c r="A8" s="47" t="s">
        <v>151</v>
      </c>
      <c r="B8" s="20"/>
      <c r="C8" s="48">
        <v>51.92</v>
      </c>
      <c r="D8" s="55"/>
      <c r="E8" s="57"/>
    </row>
    <row r="9" spans="1:5" ht="13" x14ac:dyDescent="0.25">
      <c r="A9" s="47"/>
      <c r="B9" s="20"/>
      <c r="C9" s="48"/>
      <c r="D9" s="55"/>
      <c r="E9" s="57"/>
    </row>
    <row r="10" spans="1:5" ht="13" x14ac:dyDescent="0.25">
      <c r="A10" s="49" t="s">
        <v>152</v>
      </c>
      <c r="B10" s="20"/>
      <c r="C10" s="39"/>
      <c r="D10" s="56"/>
      <c r="E10" s="57"/>
    </row>
    <row r="11" spans="1:5" x14ac:dyDescent="0.25">
      <c r="A11" s="53" t="s">
        <v>153</v>
      </c>
      <c r="B11" s="21">
        <v>30</v>
      </c>
      <c r="C11" s="39"/>
      <c r="D11" s="56"/>
      <c r="E11" s="56"/>
    </row>
    <row r="12" spans="1:5" x14ac:dyDescent="0.25">
      <c r="A12" s="53" t="s">
        <v>154</v>
      </c>
      <c r="B12" s="21">
        <v>0.78</v>
      </c>
      <c r="C12" s="39"/>
      <c r="D12" s="56"/>
      <c r="E12" s="56"/>
    </row>
    <row r="13" spans="1:5" ht="25" x14ac:dyDescent="0.25">
      <c r="A13" s="53" t="s">
        <v>159</v>
      </c>
      <c r="B13" s="21">
        <v>2</v>
      </c>
      <c r="C13" s="39"/>
    </row>
    <row r="14" spans="1:5" x14ac:dyDescent="0.25">
      <c r="A14" s="54" t="s">
        <v>160</v>
      </c>
      <c r="B14" s="23">
        <v>9.9</v>
      </c>
      <c r="C14" s="39"/>
    </row>
    <row r="15" spans="1:5" x14ac:dyDescent="0.25">
      <c r="A15" s="46" t="s">
        <v>155</v>
      </c>
      <c r="B15" s="22"/>
      <c r="C15" s="50">
        <v>42.68</v>
      </c>
    </row>
    <row r="16" spans="1:5" x14ac:dyDescent="0.25">
      <c r="A16" s="126"/>
      <c r="B16" s="126"/>
      <c r="C16" s="126"/>
    </row>
    <row r="17" spans="1:3" x14ac:dyDescent="0.25">
      <c r="A17" s="133" t="s">
        <v>157</v>
      </c>
      <c r="B17" s="133"/>
      <c r="C17" s="133"/>
    </row>
    <row r="18" spans="1:3" x14ac:dyDescent="0.25">
      <c r="A18" s="135"/>
      <c r="B18" s="135"/>
      <c r="C18" s="135"/>
    </row>
    <row r="19" spans="1:3" ht="24.75" customHeight="1" x14ac:dyDescent="0.25">
      <c r="A19" s="134" t="s">
        <v>162</v>
      </c>
      <c r="B19" s="133"/>
      <c r="C19" s="133"/>
    </row>
    <row r="20" spans="1:3" x14ac:dyDescent="0.25">
      <c r="A20" s="134" t="s">
        <v>161</v>
      </c>
      <c r="B20" s="133"/>
      <c r="C20" s="133"/>
    </row>
    <row r="21" spans="1:3" x14ac:dyDescent="0.25">
      <c r="A21" s="28"/>
      <c r="B21" s="30"/>
      <c r="C21" s="20"/>
    </row>
    <row r="22" spans="1:3" x14ac:dyDescent="0.25">
      <c r="A22" s="28"/>
      <c r="B22" s="30"/>
      <c r="C22" s="20"/>
    </row>
    <row r="23" spans="1:3" x14ac:dyDescent="0.25">
      <c r="A23" s="28"/>
      <c r="B23" s="30"/>
      <c r="C23" s="20"/>
    </row>
    <row r="24" spans="1:3" x14ac:dyDescent="0.25">
      <c r="A24" s="28"/>
      <c r="B24" s="30"/>
      <c r="C24" s="20"/>
    </row>
    <row r="25" spans="1:3" x14ac:dyDescent="0.25">
      <c r="A25" s="28"/>
      <c r="B25" s="30"/>
      <c r="C25" s="20"/>
    </row>
    <row r="26" spans="1:3" x14ac:dyDescent="0.25">
      <c r="A26" s="28"/>
      <c r="B26" s="30"/>
      <c r="C26" s="20"/>
    </row>
    <row r="27" spans="1:3" x14ac:dyDescent="0.25">
      <c r="A27" s="28"/>
      <c r="B27" s="30"/>
      <c r="C27" s="20"/>
    </row>
    <row r="28" spans="1:3" x14ac:dyDescent="0.25">
      <c r="A28" s="28"/>
      <c r="B28" s="30"/>
      <c r="C28" s="20"/>
    </row>
    <row r="29" spans="1:3" x14ac:dyDescent="0.25">
      <c r="A29" s="28"/>
      <c r="B29" s="30"/>
      <c r="C29" s="20"/>
    </row>
    <row r="30" spans="1:3" x14ac:dyDescent="0.25">
      <c r="A30" s="28"/>
      <c r="B30" s="30"/>
      <c r="C30" s="20"/>
    </row>
    <row r="31" spans="1:3" x14ac:dyDescent="0.25">
      <c r="A31" s="28"/>
      <c r="B31" s="30"/>
      <c r="C31" s="20"/>
    </row>
    <row r="32" spans="1:3" x14ac:dyDescent="0.25">
      <c r="A32" s="28"/>
      <c r="B32" s="30"/>
      <c r="C32" s="20"/>
    </row>
    <row r="33" spans="1:3" x14ac:dyDescent="0.25">
      <c r="A33" s="28"/>
      <c r="B33" s="30"/>
      <c r="C33" s="20"/>
    </row>
    <row r="34" spans="1:3" x14ac:dyDescent="0.25">
      <c r="A34" s="28"/>
      <c r="B34" s="30"/>
      <c r="C34" s="20"/>
    </row>
    <row r="35" spans="1:3" x14ac:dyDescent="0.25">
      <c r="A35" s="28"/>
      <c r="B35" s="30"/>
      <c r="C35" s="20"/>
    </row>
    <row r="36" spans="1:3" x14ac:dyDescent="0.25">
      <c r="A36" s="28"/>
      <c r="B36" s="30"/>
      <c r="C36" s="20"/>
    </row>
    <row r="37" spans="1:3" x14ac:dyDescent="0.25">
      <c r="A37" s="28"/>
      <c r="B37" s="30"/>
      <c r="C37" s="20"/>
    </row>
    <row r="38" spans="1:3" x14ac:dyDescent="0.25">
      <c r="A38" s="28"/>
      <c r="B38" s="30"/>
      <c r="C38" s="20"/>
    </row>
    <row r="39" spans="1:3" x14ac:dyDescent="0.25">
      <c r="A39" s="28"/>
      <c r="B39" s="30"/>
      <c r="C39" s="20"/>
    </row>
    <row r="40" spans="1:3" x14ac:dyDescent="0.25">
      <c r="A40" s="28"/>
      <c r="B40" s="30"/>
      <c r="C40" s="20"/>
    </row>
    <row r="41" spans="1:3" x14ac:dyDescent="0.25">
      <c r="A41" s="28"/>
      <c r="B41" s="30"/>
      <c r="C41" s="20"/>
    </row>
    <row r="42" spans="1:3" x14ac:dyDescent="0.25">
      <c r="A42" s="28"/>
      <c r="B42" s="30"/>
      <c r="C42" s="20"/>
    </row>
    <row r="43" spans="1:3" x14ac:dyDescent="0.25">
      <c r="A43" s="28"/>
      <c r="B43" s="30"/>
      <c r="C43" s="20"/>
    </row>
    <row r="44" spans="1:3" x14ac:dyDescent="0.25">
      <c r="A44" s="28"/>
      <c r="B44" s="30"/>
      <c r="C44" s="20"/>
    </row>
    <row r="45" spans="1:3" x14ac:dyDescent="0.25">
      <c r="A45" s="28"/>
      <c r="B45" s="30"/>
      <c r="C45" s="20"/>
    </row>
    <row r="47" spans="1:3" x14ac:dyDescent="0.25">
      <c r="A47" s="20"/>
      <c r="B47" s="20"/>
      <c r="C47" s="20"/>
    </row>
  </sheetData>
  <mergeCells count="7">
    <mergeCell ref="A1:C1"/>
    <mergeCell ref="A17:C17"/>
    <mergeCell ref="A19:C19"/>
    <mergeCell ref="A20:C20"/>
    <mergeCell ref="A2:C2"/>
    <mergeCell ref="A16:C16"/>
    <mergeCell ref="A18:C18"/>
  </mergeCells>
  <phoneticPr fontId="0"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CCCC7-C92A-43B7-A2A8-A873800967EA}">
  <dimension ref="D1:J24"/>
  <sheetViews>
    <sheetView zoomScale="80" workbookViewId="0">
      <selection activeCell="K25" sqref="K25"/>
    </sheetView>
  </sheetViews>
  <sheetFormatPr defaultRowHeight="12.5" x14ac:dyDescent="0.25"/>
  <cols>
    <col min="4" max="4" width="11.453125" bestFit="1" customWidth="1"/>
    <col min="5" max="5" width="11.81640625" bestFit="1" customWidth="1"/>
    <col min="7" max="7" width="10.08984375" bestFit="1" customWidth="1"/>
    <col min="8" max="8" width="11.81640625" bestFit="1" customWidth="1"/>
  </cols>
  <sheetData>
    <row r="1" spans="4:10" ht="13" thickBot="1" x14ac:dyDescent="0.3"/>
    <row r="2" spans="4:10" ht="13" thickBot="1" x14ac:dyDescent="0.3">
      <c r="D2" s="137" t="s">
        <v>258</v>
      </c>
      <c r="E2" s="138"/>
      <c r="G2" s="137" t="s">
        <v>259</v>
      </c>
      <c r="H2" s="138"/>
    </row>
    <row r="3" spans="4:10" x14ac:dyDescent="0.25">
      <c r="J3" s="107"/>
    </row>
    <row r="4" spans="4:10" x14ac:dyDescent="0.25">
      <c r="D4" s="105" t="s">
        <v>249</v>
      </c>
      <c r="E4" s="105"/>
      <c r="G4" t="s">
        <v>256</v>
      </c>
      <c r="J4" s="107"/>
    </row>
    <row r="5" spans="4:10" x14ac:dyDescent="0.25">
      <c r="D5" s="105" t="s">
        <v>250</v>
      </c>
      <c r="E5" s="105"/>
      <c r="G5" t="s">
        <v>250</v>
      </c>
      <c r="J5" s="107"/>
    </row>
    <row r="6" spans="4:10" x14ac:dyDescent="0.25">
      <c r="D6" s="105" t="s">
        <v>251</v>
      </c>
      <c r="E6" s="106">
        <v>12000</v>
      </c>
      <c r="G6" t="s">
        <v>251</v>
      </c>
      <c r="H6" s="104">
        <v>12000</v>
      </c>
      <c r="J6" s="107"/>
    </row>
    <row r="7" spans="4:10" x14ac:dyDescent="0.25">
      <c r="D7" s="105" t="s">
        <v>252</v>
      </c>
      <c r="E7" s="105">
        <f>E6*10</f>
        <v>120000</v>
      </c>
      <c r="G7" t="s">
        <v>252</v>
      </c>
      <c r="H7">
        <f>H6*7</f>
        <v>84000</v>
      </c>
      <c r="J7" s="107">
        <f>E7-H7</f>
        <v>36000</v>
      </c>
    </row>
    <row r="8" spans="4:10" x14ac:dyDescent="0.25">
      <c r="D8" s="105" t="s">
        <v>260</v>
      </c>
      <c r="E8" s="105">
        <f>0.733*E7</f>
        <v>87960</v>
      </c>
      <c r="G8" t="s">
        <v>211</v>
      </c>
      <c r="H8">
        <f>0.733*H7</f>
        <v>61572</v>
      </c>
      <c r="J8" s="107"/>
    </row>
    <row r="9" spans="4:10" x14ac:dyDescent="0.25">
      <c r="D9" s="105"/>
      <c r="E9" s="105"/>
      <c r="G9" t="s">
        <v>261</v>
      </c>
      <c r="H9" s="104">
        <v>50000</v>
      </c>
      <c r="J9" s="107"/>
    </row>
    <row r="10" spans="4:10" x14ac:dyDescent="0.25">
      <c r="D10" s="105"/>
      <c r="E10" s="105"/>
      <c r="G10" t="s">
        <v>252</v>
      </c>
      <c r="H10" s="104">
        <f>SUM(H8:H9)</f>
        <v>111572</v>
      </c>
      <c r="J10" s="107"/>
    </row>
    <row r="11" spans="4:10" x14ac:dyDescent="0.25">
      <c r="J11" s="107"/>
    </row>
    <row r="12" spans="4:10" x14ac:dyDescent="0.25">
      <c r="D12" t="s">
        <v>253</v>
      </c>
      <c r="G12" s="105" t="s">
        <v>253</v>
      </c>
      <c r="H12" s="105"/>
      <c r="J12" s="107"/>
    </row>
    <row r="13" spans="4:10" x14ac:dyDescent="0.25">
      <c r="D13" t="s">
        <v>254</v>
      </c>
      <c r="E13">
        <v>35000</v>
      </c>
      <c r="G13" s="105" t="s">
        <v>254</v>
      </c>
      <c r="H13" s="105">
        <v>35000</v>
      </c>
      <c r="J13" s="107"/>
    </row>
    <row r="14" spans="4:10" x14ac:dyDescent="0.25">
      <c r="D14" t="s">
        <v>255</v>
      </c>
      <c r="E14">
        <v>5000</v>
      </c>
      <c r="G14" s="105" t="s">
        <v>255</v>
      </c>
      <c r="H14" s="105">
        <v>5000</v>
      </c>
      <c r="J14" s="107"/>
    </row>
    <row r="15" spans="4:10" x14ac:dyDescent="0.25">
      <c r="D15" t="s">
        <v>211</v>
      </c>
      <c r="E15">
        <f>(E13)+(E14*10)</f>
        <v>85000</v>
      </c>
      <c r="G15" s="105" t="s">
        <v>211</v>
      </c>
      <c r="H15" s="105">
        <f>(H13)+H14*7</f>
        <v>70000</v>
      </c>
      <c r="J15" s="107">
        <f>E15-H15</f>
        <v>15000</v>
      </c>
    </row>
    <row r="16" spans="4:10" x14ac:dyDescent="0.25">
      <c r="J16" s="107"/>
    </row>
    <row r="17" spans="4:10" x14ac:dyDescent="0.25">
      <c r="J17" s="107"/>
    </row>
    <row r="18" spans="4:10" x14ac:dyDescent="0.25">
      <c r="D18" s="107" t="s">
        <v>257</v>
      </c>
      <c r="E18" s="107">
        <f>E7-E15</f>
        <v>35000</v>
      </c>
      <c r="F18" s="107"/>
      <c r="G18" s="107" t="s">
        <v>257</v>
      </c>
      <c r="H18" s="107">
        <f>H7-H15</f>
        <v>14000</v>
      </c>
      <c r="I18" s="107"/>
      <c r="J18" s="107"/>
    </row>
    <row r="21" spans="4:10" x14ac:dyDescent="0.25">
      <c r="D21" s="108">
        <v>1</v>
      </c>
      <c r="E21">
        <v>2</v>
      </c>
      <c r="F21">
        <v>3</v>
      </c>
    </row>
    <row r="22" spans="4:10" x14ac:dyDescent="0.25">
      <c r="D22" s="109">
        <f>SUM(E15)+H10</f>
        <v>196572</v>
      </c>
      <c r="E22">
        <f>SUM(E8+H15)</f>
        <v>157960</v>
      </c>
      <c r="F22" s="104">
        <f>SUM(E8,H10)</f>
        <v>199532</v>
      </c>
    </row>
    <row r="23" spans="4:10" x14ac:dyDescent="0.25">
      <c r="D23" s="108"/>
      <c r="F23">
        <v>35000</v>
      </c>
    </row>
    <row r="24" spans="4:10" x14ac:dyDescent="0.25">
      <c r="D24" s="108"/>
      <c r="F24">
        <f>SUM(F22:F23)</f>
        <v>234532</v>
      </c>
    </row>
  </sheetData>
  <mergeCells count="2">
    <mergeCell ref="D2:E2"/>
    <mergeCell ref="G2:H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Final_Forecast</vt:lpstr>
      <vt:lpstr>Country_selection_total_cost</vt:lpstr>
      <vt:lpstr>Style_country_total_cost</vt:lpstr>
      <vt:lpstr>Exhibit 6</vt:lpstr>
      <vt:lpstr>Women_parka_cost</vt:lpstr>
      <vt:lpstr>Exhibit 8</vt:lpstr>
      <vt:lpstr>Cost_hong_kong</vt:lpstr>
      <vt:lpstr>Cost_china</vt:lpstr>
      <vt:lpstr>Ignore_this_professor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Miedema, Joshua</dc:creator>
  <cp:lastModifiedBy>Shinde, Tanvay</cp:lastModifiedBy>
  <cp:lastPrinted>2010-12-28T10:15:00Z</cp:lastPrinted>
  <dcterms:created xsi:type="dcterms:W3CDTF">2010-12-15T10:15:37Z</dcterms:created>
  <dcterms:modified xsi:type="dcterms:W3CDTF">2024-11-19T03:39:27Z</dcterms:modified>
</cp:coreProperties>
</file>