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showInkAnnotation="0" defaultThemeVersion="124226"/>
  <mc:AlternateContent xmlns:mc="http://schemas.openxmlformats.org/markup-compatibility/2006">
    <mc:Choice Requires="x15">
      <x15ac:absPath xmlns:x15ac="http://schemas.microsoft.com/office/spreadsheetml/2010/11/ac" url="D:\DAC_SONAT\T10\"/>
    </mc:Choice>
  </mc:AlternateContent>
  <xr:revisionPtr revIDLastSave="0" documentId="13_ncr:1_{755C7C2D-6C28-42D0-8150-BDAC3F544B00}" xr6:coauthVersionLast="47" xr6:coauthVersionMax="47" xr10:uidLastSave="{00000000-0000-0000-0000-000000000000}"/>
  <bookViews>
    <workbookView xWindow="-110" yWindow="-110" windowWidth="19420" windowHeight="11020" tabRatio="711" firstSheet="2" activeTab="4" xr2:uid="{00000000-000D-0000-FFFF-FFFF00000000}"/>
  </bookViews>
  <sheets>
    <sheet name="Trang bia" sheetId="21" r:id="rId1"/>
    <sheet name="Bang ghi nhan thay doi" sheetId="22" r:id="rId2"/>
    <sheet name="Tong hop" sheetId="40" r:id="rId3"/>
    <sheet name="Sheet2" sheetId="34" state="hidden" r:id="rId4"/>
    <sheet name="NL Chuc nang" sheetId="43" r:id="rId5"/>
    <sheet name="NL Phi chuc nang" sheetId="45" r:id="rId6"/>
    <sheet name="BM_Kiem thu hieu nang" sheetId="24" state="hidden" r:id="rId7"/>
    <sheet name="HDKTHN" sheetId="25" state="hidden" r:id="rId8"/>
    <sheet name="Định nghĩa Loại Chức năng" sheetId="38" r:id="rId9"/>
    <sheet name="Định nghĩa loại công việc" sheetId="39" r:id="rId10"/>
    <sheet name="CSDL_CN" sheetId="35" r:id="rId11"/>
    <sheet name="CSDL Phi CN" sheetId="44" r:id="rId12"/>
    <sheet name="Ty le phan bo nguon luc du an" sheetId="36" state="hidden" r:id="rId13"/>
    <sheet name="HD ULNL " sheetId="37" r:id="rId14"/>
    <sheet name="HD Tái sử dụng PM" sheetId="42" state="hidden" r:id="rId15"/>
    <sheet name="CSDL CN" sheetId="33" state="hidden" r:id="rId16"/>
    <sheet name="Tham chiếu list" sheetId="27" state="hidden" r:id="rId17"/>
    <sheet name="Tham chiếu list2" sheetId="29" state="hidden" r:id="rId18"/>
  </sheets>
  <externalReferences>
    <externalReference r:id="rId19"/>
    <externalReference r:id="rId20"/>
    <externalReference r:id="rId21"/>
  </externalReferences>
  <definedNames>
    <definedName name="_Fill" localSheetId="11" hidden="1">#REF!</definedName>
    <definedName name="_Fill" localSheetId="5" hidden="1">#REF!</definedName>
    <definedName name="_Fill" localSheetId="16" hidden="1">#REF!</definedName>
    <definedName name="_Fill" localSheetId="17" hidden="1">#REF!</definedName>
    <definedName name="_Fill" localSheetId="2" hidden="1">#REF!</definedName>
    <definedName name="_Fill" hidden="1">#REF!</definedName>
    <definedName name="_Fill2" localSheetId="11" hidden="1">#REF!</definedName>
    <definedName name="_Fill2" localSheetId="5" hidden="1">#REF!</definedName>
    <definedName name="_Fill2" localSheetId="2" hidden="1">#REF!</definedName>
    <definedName name="_Fill2" hidden="1">#REF!</definedName>
    <definedName name="_xlnm._FilterDatabase" localSheetId="11" hidden="1">'CSDL Phi CN'!$A$3:$C$326</definedName>
    <definedName name="_xlnm._FilterDatabase" localSheetId="10" hidden="1">CSDL_CN!$A$3:$D$340</definedName>
    <definedName name="_xlnm._FilterDatabase" localSheetId="4" hidden="1">'NL Chuc nang'!$K$7:$K$59</definedName>
    <definedName name="_xlnm._FilterDatabase" localSheetId="5" hidden="1">'NL Phi chuc nang'!$A$7:$I$14</definedName>
    <definedName name="Access">[1]Validation!$E$2:$E$223</definedName>
    <definedName name="AccessCircuit">[1]Validation!$C$2:$C$29</definedName>
    <definedName name="ACTION" localSheetId="11">#REF!</definedName>
    <definedName name="ACTION" localSheetId="5">#REF!</definedName>
    <definedName name="ACTION" localSheetId="16">#REF!</definedName>
    <definedName name="ACTION" localSheetId="17">#REF!</definedName>
    <definedName name="ACTION" localSheetId="2">#REF!</definedName>
    <definedName name="ACTION">#REF!</definedName>
    <definedName name="ACTION2" localSheetId="11">#REF!</definedName>
    <definedName name="ACTION2" localSheetId="5">#REF!</definedName>
    <definedName name="ACTION2" localSheetId="2">#REF!</definedName>
    <definedName name="ACTION2">#REF!</definedName>
    <definedName name="Chuc_nang" localSheetId="17">'Tham chiếu list2'!$A$2:$A$13</definedName>
    <definedName name="Chuc_nang">'Tham chiếu list'!$A$2:$A$15</definedName>
    <definedName name="Chức_năng" localSheetId="17">'Tham chiếu list2'!$A$1:$A$14</definedName>
    <definedName name="Chức_năng">'Tham chiếu list'!$A$1:$A$16</definedName>
    <definedName name="Chuc_nang_moi" localSheetId="16">'Tham chiếu list'!$A$2:$A$16</definedName>
    <definedName name="Chuc_nang_moi" localSheetId="17">'Tham chiếu list2'!$A$2:$A$14</definedName>
    <definedName name="Chuc_nang_moi">'Tham chiếu list'!$A$2:$A$16</definedName>
    <definedName name="Chuc_nang_moi2">'[2]Tham chiếu list2'!$A$2:$A$14</definedName>
    <definedName name="chucnang_WFW" localSheetId="11">#REF!</definedName>
    <definedName name="chucnang_WFW" localSheetId="5">#REF!</definedName>
    <definedName name="chucnang_WFW" localSheetId="16">#REF!</definedName>
    <definedName name="chucnang_WFW" localSheetId="17">#REF!</definedName>
    <definedName name="chucnang_WFW" localSheetId="2">#REF!</definedName>
    <definedName name="chucnang_WFW">#REF!</definedName>
    <definedName name="chucnang_WFW2" localSheetId="11">#REF!</definedName>
    <definedName name="chucnang_WFW2" localSheetId="5">#REF!</definedName>
    <definedName name="chucnang_WFW2" localSheetId="2">#REF!</definedName>
    <definedName name="chucnang_WFW2">#REF!</definedName>
    <definedName name="CONTROL_GD">#REF!</definedName>
    <definedName name="CoS">[1]Validation!$G$2:$G$47</definedName>
    <definedName name="Countries">[1]Validation!$A$2:$A$301</definedName>
    <definedName name="df" localSheetId="11">#REF!</definedName>
    <definedName name="df" localSheetId="5">#REF!</definedName>
    <definedName name="df" localSheetId="17">#REF!</definedName>
    <definedName name="df" localSheetId="2">#REF!</definedName>
    <definedName name="df">#REF!</definedName>
    <definedName name="Do_phuc_tap" localSheetId="17">'Tham chiếu list2'!$B$2:$B$6</definedName>
    <definedName name="Do_phuc_tap">'Tham chiếu list'!$B$2:$B$6</definedName>
    <definedName name="Document_array" localSheetId="4">{"Book1"}</definedName>
    <definedName name="Document_array" localSheetId="5">{"Book1"}</definedName>
    <definedName name="Document_array" localSheetId="16">{"Book1"}</definedName>
    <definedName name="Document_array" localSheetId="17">{"Book1"}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fds" localSheetId="4">{"Book1"}</definedName>
    <definedName name="fds" localSheetId="5">{"Book1"}</definedName>
    <definedName name="fds" localSheetId="16">{"Book1"}</definedName>
    <definedName name="fds" localSheetId="17">{"Book1"}</definedName>
    <definedName name="fds" localSheetId="2">{"Book1"}</definedName>
    <definedName name="fds">{"Book1"}</definedName>
    <definedName name="GIAIDOAN" localSheetId="2">[3]Draff1!$C$10:$C$1512,[3]Draff1!$C$14,[3]Draff1!$C$15</definedName>
    <definedName name="GIAIDOAN">#REF!</definedName>
    <definedName name="LDA">#REF!</definedName>
    <definedName name="LOAI_CN" localSheetId="11">#REF!</definedName>
    <definedName name="LOAI_CN" localSheetId="5">#REF!</definedName>
    <definedName name="LOAI_CN" localSheetId="17">[2]Draff1!$C$4:$C$41</definedName>
    <definedName name="LOAI_CN" localSheetId="2">[3]Draff1!#REF!</definedName>
    <definedName name="LOAI_CN">#REF!</definedName>
    <definedName name="Loai_CN2">'Tham chiếu list2'!$A$2:$A$14</definedName>
    <definedName name="LoaiCN" localSheetId="11">#REF!</definedName>
    <definedName name="LoaiCN" localSheetId="5">#REF!</definedName>
    <definedName name="LoaiCN" localSheetId="2">#REF!</definedName>
    <definedName name="LoaiCN">#REF!</definedName>
    <definedName name="LOAICN_KT">#REF!</definedName>
    <definedName name="LOAIDUAN" localSheetId="2">#REF!</definedName>
    <definedName name="LOAIDUAN">#REF!</definedName>
    <definedName name="Ma_testcase_34" localSheetId="11">#REF!</definedName>
    <definedName name="Ma_testcase_34" localSheetId="5">#REF!</definedName>
    <definedName name="Ma_testcase_34" localSheetId="16">#REF!</definedName>
    <definedName name="Ma_testcase_34" localSheetId="17">#REF!</definedName>
    <definedName name="Ma_testcase_34" localSheetId="2">#REF!</definedName>
    <definedName name="Ma_testcase_34">#REF!</definedName>
    <definedName name="Ma_testcase_342" localSheetId="11">#REF!</definedName>
    <definedName name="Ma_testcase_342" localSheetId="5">#REF!</definedName>
    <definedName name="Ma_testcase_342" localSheetId="2">#REF!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1">'Bang ghi nhan thay doi'!$A$1:$G$18</definedName>
    <definedName name="_xlnm.Print_Area" localSheetId="11">'CSDL Phi CN'!$A$1:$D$326</definedName>
    <definedName name="_xlnm.Print_Area" localSheetId="10">CSDL_CN!$A$1:$F$340</definedName>
    <definedName name="_xlnm.Print_Area" localSheetId="8">'Định nghĩa Loại Chức năng'!$A$1:$D$63</definedName>
    <definedName name="_xlnm.Print_Area" localSheetId="5">'NL Phi chuc nang'!$A$1:$I$17</definedName>
    <definedName name="_xlnm.Print_Area" localSheetId="2">'Tong hop'!$A$1:$J$24</definedName>
    <definedName name="_xlnm.Print_Area" localSheetId="0">'Trang bia'!$A$1:$I$31</definedName>
    <definedName name="_xlnm.Print_Titles" localSheetId="11">'CSDL Phi CN'!$3:$3</definedName>
    <definedName name="_xlnm.Print_Titles" localSheetId="10">CSDL_CN!$3:$3</definedName>
    <definedName name="_xlnm.Print_Titles" localSheetId="4">'NL Chuc nang'!$6:$7</definedName>
    <definedName name="_xlnm.Print_Titles" localSheetId="5">'NL Phi chuc nang'!$6:$7</definedName>
    <definedName name="QLDH_TDTT_41" localSheetId="11">#REF!</definedName>
    <definedName name="QLDH_TDTT_41" localSheetId="5">#REF!</definedName>
    <definedName name="QLDH_TDTT_41" localSheetId="16">#REF!</definedName>
    <definedName name="QLDH_TDTT_41" localSheetId="17">#REF!</definedName>
    <definedName name="QLDH_TDTT_41" localSheetId="2">#REF!</definedName>
    <definedName name="QLDH_TDTT_41">#REF!</definedName>
    <definedName name="QLDH_TDTT_412" localSheetId="11">#REF!</definedName>
    <definedName name="QLDH_TDTT_412" localSheetId="5">#REF!</definedName>
    <definedName name="QLDH_TDTT_412" localSheetId="2">#REF!</definedName>
    <definedName name="QLDH_TDTT_412">#REF!</definedName>
    <definedName name="QLHD_CDHD_15" localSheetId="11">#REF!</definedName>
    <definedName name="QLHD_CDHD_15" localSheetId="5">#REF!</definedName>
    <definedName name="QLHD_CDHD_15" localSheetId="16">#REF!</definedName>
    <definedName name="QLHD_CDHD_15" localSheetId="17">#REF!</definedName>
    <definedName name="QLHD_CDHD_15" localSheetId="2">#REF!</definedName>
    <definedName name="QLHD_CDHD_15">#REF!</definedName>
    <definedName name="QLHD_CDHD_152" localSheetId="11">#REF!</definedName>
    <definedName name="QLHD_CDHD_152" localSheetId="5">#REF!</definedName>
    <definedName name="QLHD_CDHD_152" localSheetId="2">#REF!</definedName>
    <definedName name="QLHD_CDHD_152">#REF!</definedName>
    <definedName name="QLHD_CNHD_34" localSheetId="11">#REF!</definedName>
    <definedName name="QLHD_CNHD_34" localSheetId="5">#REF!</definedName>
    <definedName name="QLHD_CNHD_34" localSheetId="16">#REF!</definedName>
    <definedName name="QLHD_CNHD_34" localSheetId="17">#REF!</definedName>
    <definedName name="QLHD_CNHD_34" localSheetId="2">#REF!</definedName>
    <definedName name="QLHD_CNHD_34">#REF!</definedName>
    <definedName name="QLHD_CNHD_342" localSheetId="11">#REF!</definedName>
    <definedName name="QLHD_CNHD_342" localSheetId="5">#REF!</definedName>
    <definedName name="QLHD_CNHD_342" localSheetId="2">#REF!</definedName>
    <definedName name="QLHD_CNHD_342">#REF!</definedName>
    <definedName name="QLHD_GHD_34" localSheetId="11">#REF!</definedName>
    <definedName name="QLHD_GHD_34" localSheetId="5">#REF!</definedName>
    <definedName name="QLHD_GHD_34" localSheetId="16">#REF!</definedName>
    <definedName name="QLHD_GHD_34" localSheetId="17">#REF!</definedName>
    <definedName name="QLHD_GHD_34" localSheetId="2">#REF!</definedName>
    <definedName name="QLHD_GHD_34">#REF!</definedName>
    <definedName name="QLHD_GHD_342" localSheetId="11">#REF!</definedName>
    <definedName name="QLHD_GHD_342" localSheetId="5">#REF!</definedName>
    <definedName name="QLHD_GHD_342" localSheetId="2">#REF!</definedName>
    <definedName name="QLHD_GHD_342">#REF!</definedName>
    <definedName name="QLHD_HHD_13" localSheetId="11">#REF!</definedName>
    <definedName name="QLHD_HHD_13" localSheetId="5">#REF!</definedName>
    <definedName name="QLHD_HHD_13" localSheetId="16">#REF!</definedName>
    <definedName name="QLHD_HHD_13" localSheetId="17">#REF!</definedName>
    <definedName name="QLHD_HHD_13" localSheetId="2">#REF!</definedName>
    <definedName name="QLHD_HHD_13">#REF!</definedName>
    <definedName name="QLHD_HHD_132" localSheetId="11">#REF!</definedName>
    <definedName name="QLHD_HHD_132" localSheetId="5">#REF!</definedName>
    <definedName name="QLHD_HHD_132" localSheetId="2">#REF!</definedName>
    <definedName name="QLHD_HHD_132">#REF!</definedName>
    <definedName name="QLHD_KHD_6" localSheetId="11">#REF!</definedName>
    <definedName name="QLHD_KHD_6" localSheetId="5">#REF!</definedName>
    <definedName name="QLHD_KHD_6" localSheetId="16">#REF!</definedName>
    <definedName name="QLHD_KHD_6" localSheetId="17">#REF!</definedName>
    <definedName name="QLHD_KHD_6" localSheetId="2">#REF!</definedName>
    <definedName name="QLHD_KHD_6">#REF!</definedName>
    <definedName name="QLHD_KHD_62" localSheetId="11">#REF!</definedName>
    <definedName name="QLHD_KHD_62" localSheetId="5">#REF!</definedName>
    <definedName name="QLHD_KHD_62" localSheetId="2">#REF!</definedName>
    <definedName name="QLHD_KHD_62">#REF!</definedName>
    <definedName name="QLHD_TH_1" localSheetId="11">#REF!</definedName>
    <definedName name="QLHD_TH_1" localSheetId="5">#REF!</definedName>
    <definedName name="QLHD_TH_1" localSheetId="16">#REF!</definedName>
    <definedName name="QLHD_TH_1" localSheetId="17">#REF!</definedName>
    <definedName name="QLHD_TH_1" localSheetId="2">#REF!</definedName>
    <definedName name="QLHD_TH_1">#REF!</definedName>
    <definedName name="QLHD_TH_12" localSheetId="11">#REF!</definedName>
    <definedName name="QLHD_TH_12" localSheetId="5">#REF!</definedName>
    <definedName name="QLHD_TH_12" localSheetId="2">#REF!</definedName>
    <definedName name="QLHD_TH_12">#REF!</definedName>
    <definedName name="QLHD_THD_34" localSheetId="11">#REF!</definedName>
    <definedName name="QLHD_THD_34" localSheetId="5">#REF!</definedName>
    <definedName name="QLHD_THD_34" localSheetId="16">#REF!</definedName>
    <definedName name="QLHD_THD_34" localSheetId="17">#REF!</definedName>
    <definedName name="QLHD_THD_34" localSheetId="2">#REF!</definedName>
    <definedName name="QLHD_THD_34">#REF!</definedName>
    <definedName name="QLHD_THD_342" localSheetId="11">#REF!</definedName>
    <definedName name="QLHD_THD_342" localSheetId="5">#REF!</definedName>
    <definedName name="QLHD_THD_342" localSheetId="2">#REF!</definedName>
    <definedName name="QLHD_THD_342">#REF!</definedName>
    <definedName name="Tên_TestCase" localSheetId="11">#REF!</definedName>
    <definedName name="Tên_TestCase" localSheetId="5">#REF!</definedName>
    <definedName name="Tên_TestCase" localSheetId="16">#REF!</definedName>
    <definedName name="Tên_TestCase" localSheetId="17">#REF!</definedName>
    <definedName name="Tên_TestCase" localSheetId="2">#REF!</definedName>
    <definedName name="Tên_TestCase">#REF!</definedName>
    <definedName name="Tên_TestCase2" localSheetId="11">#REF!</definedName>
    <definedName name="Tên_TestCase2" localSheetId="5">#REF!</definedName>
    <definedName name="Tên_TestCase2" localSheetId="2">#REF!</definedName>
    <definedName name="Tên_TestCase2">#REF!</definedName>
    <definedName name="Tiếntrình">#REF!</definedName>
    <definedName name="VancoProducts">[1]Validation!$B$2:$B$4</definedName>
    <definedName name="WFW">#REF!</definedName>
    <definedName name="Z_C58FC9F5_0B34_4D2F_AC80_FBB6787C6862_.wvu.FilterData" localSheetId="4" hidden="1">'NL Chuc nang'!$A$7:$T$58</definedName>
    <definedName name="Z_C58FC9F5_0B34_4D2F_AC80_FBB6787C6862_.wvu.FilterData" localSheetId="5" hidden="1">'NL Phi chuc nang'!$A$7:$F$13</definedName>
    <definedName name="Z_C58FC9F5_0B34_4D2F_AC80_FBB6787C6862_.wvu.PrintArea" localSheetId="4" hidden="1">'NL Chuc nang'!$A$1:$T$62</definedName>
    <definedName name="Z_C58FC9F5_0B34_4D2F_AC80_FBB6787C6862_.wvu.PrintArea" localSheetId="5" hidden="1">'NL Phi chuc nang'!$A$1:$F$17</definedName>
  </definedNames>
  <calcPr calcId="191028"/>
  <customWorkbookViews>
    <customWorkbookView name="QA_ngant10 - Personal View" guid="{C58FC9F5-0B34-4D2F-AC80-FBB6787C6862}" mergeInterval="0" personalView="1" maximized="1" xWindow="1" yWindow="1" windowWidth="1280" windowHeight="772" tabRatio="909"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9" i="43" l="1"/>
  <c r="AC19" i="43" s="1"/>
  <c r="N19" i="43"/>
  <c r="AB19" i="43" s="1"/>
  <c r="M19" i="43"/>
  <c r="L19" i="43"/>
  <c r="O24" i="43"/>
  <c r="AC24" i="43" s="1"/>
  <c r="N24" i="43"/>
  <c r="AB24" i="43" s="1"/>
  <c r="M24" i="43"/>
  <c r="L24" i="43"/>
  <c r="O29" i="43"/>
  <c r="AC29" i="43" s="1"/>
  <c r="N29" i="43"/>
  <c r="AB29" i="43" s="1"/>
  <c r="M29" i="43"/>
  <c r="L29" i="43"/>
  <c r="O30" i="43"/>
  <c r="AC30" i="43" s="1"/>
  <c r="N30" i="43"/>
  <c r="AB30" i="43" s="1"/>
  <c r="M30" i="43"/>
  <c r="L30" i="43"/>
  <c r="O25" i="43"/>
  <c r="AC25" i="43" s="1"/>
  <c r="N25" i="43"/>
  <c r="AB25" i="43" s="1"/>
  <c r="M25" i="43"/>
  <c r="L25" i="43"/>
  <c r="O32" i="43"/>
  <c r="AC32" i="43" s="1"/>
  <c r="N32" i="43"/>
  <c r="AB32" i="43" s="1"/>
  <c r="M32" i="43"/>
  <c r="L32" i="43"/>
  <c r="O27" i="43"/>
  <c r="AC27" i="43" s="1"/>
  <c r="N27" i="43"/>
  <c r="AB27" i="43" s="1"/>
  <c r="M27" i="43"/>
  <c r="L27" i="43"/>
  <c r="O22" i="43"/>
  <c r="AC22" i="43" s="1"/>
  <c r="N22" i="43"/>
  <c r="AB22" i="43" s="1"/>
  <c r="M22" i="43"/>
  <c r="L22" i="43"/>
  <c r="O21" i="43"/>
  <c r="AC21" i="43" s="1"/>
  <c r="N21" i="43"/>
  <c r="AB21" i="43" s="1"/>
  <c r="M21" i="43"/>
  <c r="L21" i="43"/>
  <c r="L8" i="43"/>
  <c r="M8" i="43"/>
  <c r="H8" i="43" s="1"/>
  <c r="N8" i="43"/>
  <c r="I8" i="43" s="1"/>
  <c r="O8" i="43"/>
  <c r="Z8" i="43" s="1"/>
  <c r="L9" i="43"/>
  <c r="M9" i="43"/>
  <c r="N9" i="43"/>
  <c r="Y9" i="43" s="1"/>
  <c r="O9" i="43"/>
  <c r="Z9" i="43" s="1"/>
  <c r="L10" i="43"/>
  <c r="M10" i="43"/>
  <c r="H10" i="43" s="1"/>
  <c r="N10" i="43"/>
  <c r="O10" i="43"/>
  <c r="J10" i="43" s="1"/>
  <c r="L11" i="43"/>
  <c r="M11" i="43"/>
  <c r="H11" i="43" s="1"/>
  <c r="N11" i="43"/>
  <c r="Y11" i="43" s="1"/>
  <c r="O11" i="43"/>
  <c r="Z11" i="43" s="1"/>
  <c r="L12" i="43"/>
  <c r="M12" i="43"/>
  <c r="N12" i="43"/>
  <c r="Y12" i="43" s="1"/>
  <c r="O12" i="43"/>
  <c r="Z12" i="43" s="1"/>
  <c r="L13" i="43"/>
  <c r="M13" i="43"/>
  <c r="X13" i="43" s="1"/>
  <c r="N13" i="43"/>
  <c r="O13" i="43"/>
  <c r="J13" i="43" s="1"/>
  <c r="L14" i="43"/>
  <c r="M14" i="43"/>
  <c r="H14" i="43" s="1"/>
  <c r="N14" i="43"/>
  <c r="AB14" i="43" s="1"/>
  <c r="O14" i="43"/>
  <c r="J14" i="43" s="1"/>
  <c r="L15" i="43"/>
  <c r="M15" i="43"/>
  <c r="N15" i="43"/>
  <c r="Y15" i="43" s="1"/>
  <c r="O15" i="43"/>
  <c r="Z15" i="43" s="1"/>
  <c r="L16" i="43"/>
  <c r="M16" i="43"/>
  <c r="H16" i="43" s="1"/>
  <c r="N16" i="43"/>
  <c r="O16" i="43"/>
  <c r="J16" i="43" s="1"/>
  <c r="L17" i="43"/>
  <c r="M17" i="43"/>
  <c r="H17" i="43" s="1"/>
  <c r="N17" i="43"/>
  <c r="AB17" i="43" s="1"/>
  <c r="O17" i="43"/>
  <c r="J17" i="43" s="1"/>
  <c r="L18" i="43"/>
  <c r="M18" i="43"/>
  <c r="N18" i="43"/>
  <c r="Y18" i="43" s="1"/>
  <c r="O18" i="43"/>
  <c r="Z18" i="43" s="1"/>
  <c r="L20" i="43"/>
  <c r="M20" i="43"/>
  <c r="X20" i="43" s="1"/>
  <c r="AA20" i="43" s="1"/>
  <c r="N20" i="43"/>
  <c r="O20" i="43"/>
  <c r="J20" i="43" s="1"/>
  <c r="L23" i="43"/>
  <c r="M23" i="43"/>
  <c r="H23" i="43" s="1"/>
  <c r="N23" i="43"/>
  <c r="I23" i="43" s="1"/>
  <c r="O23" i="43"/>
  <c r="J23" i="43" s="1"/>
  <c r="L26" i="43"/>
  <c r="M26" i="43"/>
  <c r="X26" i="43" s="1"/>
  <c r="N26" i="43"/>
  <c r="Y26" i="43" s="1"/>
  <c r="O26" i="43"/>
  <c r="L28" i="43"/>
  <c r="M28" i="43"/>
  <c r="X28" i="43" s="1"/>
  <c r="AA28" i="43" s="1"/>
  <c r="N28" i="43"/>
  <c r="O28" i="43"/>
  <c r="AC28" i="43" s="1"/>
  <c r="L31" i="43"/>
  <c r="M31" i="43"/>
  <c r="H31" i="43" s="1"/>
  <c r="N31" i="43"/>
  <c r="I31" i="43" s="1"/>
  <c r="O31" i="43"/>
  <c r="J31" i="43" s="1"/>
  <c r="L33" i="43"/>
  <c r="M33" i="43"/>
  <c r="X33" i="43" s="1"/>
  <c r="N33" i="43"/>
  <c r="O33" i="43"/>
  <c r="J33" i="43" s="1"/>
  <c r="L34" i="43"/>
  <c r="M34" i="43"/>
  <c r="N34" i="43"/>
  <c r="Y34" i="43" s="1"/>
  <c r="O34" i="43"/>
  <c r="J34" i="43" s="1"/>
  <c r="L35" i="43"/>
  <c r="M35" i="43"/>
  <c r="X35" i="43" s="1"/>
  <c r="N35" i="43"/>
  <c r="Y35" i="43" s="1"/>
  <c r="O35" i="43"/>
  <c r="Z35" i="43" s="1"/>
  <c r="L36" i="43"/>
  <c r="M36" i="43"/>
  <c r="H36" i="43" s="1"/>
  <c r="N36" i="43"/>
  <c r="O36" i="43"/>
  <c r="J36" i="43" s="1"/>
  <c r="L37" i="43"/>
  <c r="M37" i="43"/>
  <c r="H37" i="43" s="1"/>
  <c r="N37" i="43"/>
  <c r="I37" i="43" s="1"/>
  <c r="O37" i="43"/>
  <c r="J37" i="43" s="1"/>
  <c r="L38" i="43"/>
  <c r="M38" i="43"/>
  <c r="X38" i="43" s="1"/>
  <c r="N38" i="43"/>
  <c r="Y38" i="43" s="1"/>
  <c r="O38" i="43"/>
  <c r="Z38" i="43" s="1"/>
  <c r="L39" i="43"/>
  <c r="M39" i="43"/>
  <c r="H39" i="43" s="1"/>
  <c r="N39" i="43"/>
  <c r="O39" i="43"/>
  <c r="AC39" i="43" s="1"/>
  <c r="L40" i="43"/>
  <c r="M40" i="43"/>
  <c r="X40" i="43" s="1"/>
  <c r="AA40" i="43" s="1"/>
  <c r="N40" i="43"/>
  <c r="I40" i="43" s="1"/>
  <c r="O40" i="43"/>
  <c r="J40" i="43" s="1"/>
  <c r="L41" i="43"/>
  <c r="M41" i="43"/>
  <c r="X41" i="43" s="1"/>
  <c r="N41" i="43"/>
  <c r="Y41" i="43" s="1"/>
  <c r="O41" i="43"/>
  <c r="Z41" i="43" s="1"/>
  <c r="L42" i="43"/>
  <c r="M42" i="43"/>
  <c r="X42" i="43" s="1"/>
  <c r="N42" i="43"/>
  <c r="O42" i="43"/>
  <c r="Z42" i="43" s="1"/>
  <c r="L43" i="43"/>
  <c r="M43" i="43"/>
  <c r="H43" i="43" s="1"/>
  <c r="N43" i="43"/>
  <c r="I43" i="43" s="1"/>
  <c r="O43" i="43"/>
  <c r="J43" i="43" s="1"/>
  <c r="L44" i="43"/>
  <c r="M44" i="43"/>
  <c r="X44" i="43" s="1"/>
  <c r="N44" i="43"/>
  <c r="Y44" i="43" s="1"/>
  <c r="O44" i="43"/>
  <c r="Z44" i="43" s="1"/>
  <c r="L45" i="43"/>
  <c r="M45" i="43"/>
  <c r="H45" i="43" s="1"/>
  <c r="N45" i="43"/>
  <c r="I45" i="43" s="1"/>
  <c r="O45" i="43"/>
  <c r="J45" i="43" s="1"/>
  <c r="L46" i="43"/>
  <c r="M46" i="43"/>
  <c r="X46" i="43" s="1"/>
  <c r="N46" i="43"/>
  <c r="Y46" i="43" s="1"/>
  <c r="O46" i="43"/>
  <c r="Z46" i="43" s="1"/>
  <c r="L47" i="43"/>
  <c r="M47" i="43"/>
  <c r="X47" i="43" s="1"/>
  <c r="N47" i="43"/>
  <c r="O47" i="43"/>
  <c r="AC47" i="43" s="1"/>
  <c r="L48" i="43"/>
  <c r="M48" i="43"/>
  <c r="H48" i="43" s="1"/>
  <c r="N48" i="43"/>
  <c r="I48" i="43" s="1"/>
  <c r="O48" i="43"/>
  <c r="J48" i="43" s="1"/>
  <c r="L49" i="43"/>
  <c r="M49" i="43"/>
  <c r="X49" i="43" s="1"/>
  <c r="N49" i="43"/>
  <c r="Y49" i="43" s="1"/>
  <c r="O49" i="43"/>
  <c r="Z49" i="43" s="1"/>
  <c r="L50" i="43"/>
  <c r="M50" i="43"/>
  <c r="X50" i="43" s="1"/>
  <c r="N50" i="43"/>
  <c r="O50" i="43"/>
  <c r="AC50" i="43" s="1"/>
  <c r="L51" i="43"/>
  <c r="M51" i="43"/>
  <c r="H51" i="43" s="1"/>
  <c r="N51" i="43"/>
  <c r="I51" i="43" s="1"/>
  <c r="O51" i="43"/>
  <c r="J51" i="43" s="1"/>
  <c r="L52" i="43"/>
  <c r="M52" i="43"/>
  <c r="X52" i="43" s="1"/>
  <c r="N52" i="43"/>
  <c r="Y52" i="43" s="1"/>
  <c r="O52" i="43"/>
  <c r="Z52" i="43" s="1"/>
  <c r="L53" i="43"/>
  <c r="M53" i="43"/>
  <c r="X53" i="43" s="1"/>
  <c r="N53" i="43"/>
  <c r="O53" i="43"/>
  <c r="Z53" i="43" s="1"/>
  <c r="L54" i="43"/>
  <c r="M54" i="43"/>
  <c r="X54" i="43" s="1"/>
  <c r="AA54" i="43" s="1"/>
  <c r="N54" i="43"/>
  <c r="I54" i="43" s="1"/>
  <c r="O54" i="43"/>
  <c r="J54" i="43" s="1"/>
  <c r="L55" i="43"/>
  <c r="M55" i="43"/>
  <c r="X55" i="43" s="1"/>
  <c r="N55" i="43"/>
  <c r="Y55" i="43" s="1"/>
  <c r="O55" i="43"/>
  <c r="Z55" i="43" s="1"/>
  <c r="L56" i="43"/>
  <c r="M56" i="43"/>
  <c r="X56" i="43" s="1"/>
  <c r="N56" i="43"/>
  <c r="O56" i="43"/>
  <c r="AC56" i="43" s="1"/>
  <c r="L57" i="43"/>
  <c r="M57" i="43"/>
  <c r="X57" i="43" s="1"/>
  <c r="AA57" i="43" s="1"/>
  <c r="N57" i="43"/>
  <c r="I57" i="43" s="1"/>
  <c r="O57" i="43"/>
  <c r="J57" i="43" s="1"/>
  <c r="P19" i="43" l="1" a="1"/>
  <c r="P19" i="43" s="1"/>
  <c r="G19" i="43" s="1"/>
  <c r="X19" i="43"/>
  <c r="AA19" i="43" s="1"/>
  <c r="Y19" i="43"/>
  <c r="Z19" i="43"/>
  <c r="H19" i="43"/>
  <c r="I19" i="43"/>
  <c r="J19" i="43"/>
  <c r="P24" i="43" a="1"/>
  <c r="P24" i="43" s="1"/>
  <c r="G24" i="43" s="1"/>
  <c r="X24" i="43"/>
  <c r="AA24" i="43" s="1"/>
  <c r="Y24" i="43"/>
  <c r="Z24" i="43"/>
  <c r="H24" i="43"/>
  <c r="I24" i="43"/>
  <c r="J24" i="43"/>
  <c r="P29" i="43" a="1"/>
  <c r="P29" i="43" s="1"/>
  <c r="G29" i="43" s="1"/>
  <c r="X29" i="43"/>
  <c r="AA29" i="43" s="1"/>
  <c r="Y29" i="43"/>
  <c r="Z29" i="43"/>
  <c r="H29" i="43"/>
  <c r="I29" i="43"/>
  <c r="J29" i="43"/>
  <c r="X30" i="43"/>
  <c r="AA30" i="43" s="1"/>
  <c r="P30" i="43" a="1"/>
  <c r="P30" i="43" s="1"/>
  <c r="G30" i="43" s="1"/>
  <c r="Y30" i="43"/>
  <c r="Z30" i="43"/>
  <c r="H30" i="43"/>
  <c r="I30" i="43"/>
  <c r="J30" i="43"/>
  <c r="P25" i="43" a="1"/>
  <c r="P25" i="43" s="1"/>
  <c r="G25" i="43" s="1"/>
  <c r="X25" i="43"/>
  <c r="AA25" i="43" s="1"/>
  <c r="Y25" i="43"/>
  <c r="Z25" i="43"/>
  <c r="H25" i="43"/>
  <c r="I25" i="43"/>
  <c r="J25" i="43"/>
  <c r="Y48" i="43"/>
  <c r="P32" i="43" a="1"/>
  <c r="P32" i="43" s="1"/>
  <c r="G32" i="43" s="1"/>
  <c r="X32" i="43"/>
  <c r="AA32" i="43" s="1"/>
  <c r="Y32" i="43"/>
  <c r="Z32" i="43"/>
  <c r="H32" i="43"/>
  <c r="I32" i="43"/>
  <c r="J32" i="43"/>
  <c r="I41" i="43"/>
  <c r="P27" i="43" a="1"/>
  <c r="P27" i="43" s="1"/>
  <c r="G27" i="43" s="1"/>
  <c r="Y31" i="43"/>
  <c r="X27" i="43"/>
  <c r="AA27" i="43" s="1"/>
  <c r="Y27" i="43"/>
  <c r="Z27" i="43"/>
  <c r="H27" i="43"/>
  <c r="J56" i="43"/>
  <c r="I17" i="43"/>
  <c r="I27" i="43"/>
  <c r="AC10" i="43"/>
  <c r="J27" i="43"/>
  <c r="H56" i="43"/>
  <c r="Z50" i="43"/>
  <c r="AB52" i="43"/>
  <c r="AB31" i="43"/>
  <c r="H20" i="43"/>
  <c r="Z10" i="43"/>
  <c r="P22" i="43" a="1"/>
  <c r="P22" i="43" s="1"/>
  <c r="G22" i="43" s="1"/>
  <c r="X31" i="43"/>
  <c r="AA31" i="43" s="1"/>
  <c r="AB49" i="43"/>
  <c r="AC33" i="43"/>
  <c r="X22" i="43"/>
  <c r="AA22" i="43" s="1"/>
  <c r="Y22" i="43"/>
  <c r="H53" i="43"/>
  <c r="I52" i="43"/>
  <c r="Z22" i="43"/>
  <c r="X11" i="43"/>
  <c r="AA11" i="43" s="1"/>
  <c r="H22" i="43"/>
  <c r="I22" i="43"/>
  <c r="I49" i="43"/>
  <c r="J22" i="43"/>
  <c r="AC13" i="43"/>
  <c r="Z45" i="43"/>
  <c r="X23" i="43"/>
  <c r="AA23" i="43" s="1"/>
  <c r="P21" i="43" a="1"/>
  <c r="P21" i="43" s="1"/>
  <c r="G21" i="43" s="1"/>
  <c r="Y45" i="43"/>
  <c r="I11" i="43"/>
  <c r="P34" i="43" a="1"/>
  <c r="P34" i="43" s="1"/>
  <c r="G34" i="43" s="1"/>
  <c r="I55" i="43"/>
  <c r="J50" i="43"/>
  <c r="Z47" i="43"/>
  <c r="X45" i="43"/>
  <c r="AA45" i="43" s="1"/>
  <c r="X21" i="43"/>
  <c r="AA21" i="43" s="1"/>
  <c r="Y21" i="43"/>
  <c r="X51" i="43"/>
  <c r="AA51" i="43" s="1"/>
  <c r="P47" i="43" a="1"/>
  <c r="P47" i="43" s="1"/>
  <c r="G47" i="43" s="1"/>
  <c r="Z21" i="43"/>
  <c r="AC16" i="43"/>
  <c r="Z37" i="43"/>
  <c r="H21" i="43"/>
  <c r="AB11" i="43"/>
  <c r="I21" i="43"/>
  <c r="AB55" i="43"/>
  <c r="J47" i="43"/>
  <c r="J21" i="43"/>
  <c r="P28" i="43" a="1"/>
  <c r="P28" i="43" s="1"/>
  <c r="G28" i="43" s="1"/>
  <c r="Z57" i="43"/>
  <c r="P55" i="43" a="1"/>
  <c r="P55" i="43" s="1"/>
  <c r="G55" i="43" s="1"/>
  <c r="I44" i="43"/>
  <c r="AA42" i="43"/>
  <c r="AB37" i="43"/>
  <c r="Z33" i="43"/>
  <c r="Z13" i="43"/>
  <c r="AA53" i="43"/>
  <c r="P35" i="43" a="1"/>
  <c r="P35" i="43" s="1"/>
  <c r="G35" i="43" s="1"/>
  <c r="H28" i="43"/>
  <c r="Z43" i="43"/>
  <c r="Y43" i="43"/>
  <c r="Z39" i="43"/>
  <c r="Y37" i="43"/>
  <c r="AC20" i="43"/>
  <c r="P11" i="43" a="1"/>
  <c r="P11" i="43" s="1"/>
  <c r="G11" i="43" s="1"/>
  <c r="H40" i="43"/>
  <c r="J53" i="43"/>
  <c r="X43" i="43"/>
  <c r="AA43" i="43" s="1"/>
  <c r="X39" i="43"/>
  <c r="AA39" i="43" s="1"/>
  <c r="Z20" i="43"/>
  <c r="X17" i="43"/>
  <c r="Y8" i="43"/>
  <c r="P39" i="43" a="1"/>
  <c r="P39" i="43" s="1"/>
  <c r="G39" i="43" s="1"/>
  <c r="P37" i="43" a="1"/>
  <c r="P37" i="43" s="1"/>
  <c r="G37" i="43" s="1"/>
  <c r="P17" i="43" a="1"/>
  <c r="P17" i="43" s="1"/>
  <c r="G17" i="43" s="1"/>
  <c r="H13" i="43"/>
  <c r="P56" i="43" a="1"/>
  <c r="P56" i="43" s="1"/>
  <c r="G56" i="43" s="1"/>
  <c r="P52" i="43" a="1"/>
  <c r="P52" i="43" s="1"/>
  <c r="G52" i="43" s="1"/>
  <c r="X48" i="43"/>
  <c r="AA48" i="43" s="1"/>
  <c r="Z34" i="43"/>
  <c r="AB23" i="43"/>
  <c r="Y14" i="43"/>
  <c r="Z28" i="43"/>
  <c r="Z23" i="43"/>
  <c r="Z40" i="43"/>
  <c r="Y40" i="43"/>
  <c r="AC36" i="43"/>
  <c r="Y23" i="43"/>
  <c r="P42" i="43" a="1"/>
  <c r="P42" i="43" s="1"/>
  <c r="G42" i="43" s="1"/>
  <c r="P31" i="43" a="1"/>
  <c r="P31" i="43" s="1"/>
  <c r="G31" i="43" s="1"/>
  <c r="P15" i="43" a="1"/>
  <c r="P15" i="43" s="1"/>
  <c r="G15" i="43" s="1"/>
  <c r="I14" i="43"/>
  <c r="P12" i="43" a="1"/>
  <c r="P12" i="43" s="1"/>
  <c r="G12" i="43" s="1"/>
  <c r="H50" i="43"/>
  <c r="H47" i="43"/>
  <c r="X37" i="43"/>
  <c r="AA37" i="43" s="1"/>
  <c r="Z36" i="43"/>
  <c r="H34" i="43"/>
  <c r="Z17" i="43"/>
  <c r="Z16" i="43"/>
  <c r="AA13" i="43"/>
  <c r="X10" i="43"/>
  <c r="AA10" i="43" s="1"/>
  <c r="H57" i="43"/>
  <c r="I34" i="43"/>
  <c r="AC53" i="43"/>
  <c r="P49" i="43" a="1"/>
  <c r="P49" i="43" s="1"/>
  <c r="G49" i="43" s="1"/>
  <c r="AB46" i="43"/>
  <c r="J42" i="43"/>
  <c r="X36" i="43"/>
  <c r="AA36" i="43" s="1"/>
  <c r="AB34" i="43"/>
  <c r="P23" i="43" a="1"/>
  <c r="P23" i="43" s="1"/>
  <c r="G23" i="43" s="1"/>
  <c r="Y17" i="43"/>
  <c r="X16" i="43"/>
  <c r="AA16" i="43" s="1"/>
  <c r="Z14" i="43"/>
  <c r="H54" i="43"/>
  <c r="AA56" i="43"/>
  <c r="Z56" i="43"/>
  <c r="P46" i="43" a="1"/>
  <c r="P46" i="43" s="1"/>
  <c r="G46" i="43" s="1"/>
  <c r="AB44" i="43"/>
  <c r="H42" i="43"/>
  <c r="J39" i="43"/>
  <c r="J28" i="43"/>
  <c r="P20" i="43" a="1"/>
  <c r="P20" i="43" s="1"/>
  <c r="G20" i="43" s="1"/>
  <c r="P10" i="43" a="1"/>
  <c r="P10" i="43" s="1"/>
  <c r="G10" i="43" s="1"/>
  <c r="P18" i="43" a="1"/>
  <c r="P18" i="43" s="1"/>
  <c r="G18" i="43" s="1"/>
  <c r="P9" i="43" a="1"/>
  <c r="P9" i="43" s="1"/>
  <c r="G9" i="43" s="1"/>
  <c r="H33" i="43"/>
  <c r="N58" i="43"/>
  <c r="N59" i="43" s="1"/>
  <c r="AA50" i="43"/>
  <c r="P44" i="43" a="1"/>
  <c r="P44" i="43" s="1"/>
  <c r="G44" i="43" s="1"/>
  <c r="AB41" i="43"/>
  <c r="P36" i="43" a="1"/>
  <c r="P36" i="43" s="1"/>
  <c r="G36" i="43" s="1"/>
  <c r="AA33" i="43"/>
  <c r="P16" i="43" a="1"/>
  <c r="P16" i="43" s="1"/>
  <c r="G16" i="43" s="1"/>
  <c r="X14" i="43"/>
  <c r="AA14" i="43" s="1"/>
  <c r="AA47" i="43"/>
  <c r="P41" i="43" a="1"/>
  <c r="P41" i="43" s="1"/>
  <c r="G41" i="43" s="1"/>
  <c r="P38" i="43" a="1"/>
  <c r="P38" i="43" s="1"/>
  <c r="G38" i="43" s="1"/>
  <c r="X34" i="43"/>
  <c r="AA34" i="43" s="1"/>
  <c r="P26" i="43" a="1"/>
  <c r="P26" i="43" s="1"/>
  <c r="G26" i="43" s="1"/>
  <c r="P13" i="43" a="1"/>
  <c r="P13" i="43" s="1"/>
  <c r="G13" i="43" s="1"/>
  <c r="P14" i="43" a="1"/>
  <c r="P14" i="43" s="1"/>
  <c r="G14" i="43" s="1"/>
  <c r="Z54" i="43"/>
  <c r="AC42" i="43"/>
  <c r="P53" i="43" a="1"/>
  <c r="P53" i="43" s="1"/>
  <c r="G53" i="43" s="1"/>
  <c r="Z51" i="43"/>
  <c r="Z31" i="43"/>
  <c r="Y57" i="43"/>
  <c r="Y54" i="43"/>
  <c r="Y51" i="43"/>
  <c r="P50" i="43" a="1"/>
  <c r="P50" i="43" s="1"/>
  <c r="G50" i="43" s="1"/>
  <c r="Z48" i="43"/>
  <c r="I46" i="43"/>
  <c r="P33" i="43" a="1"/>
  <c r="P33" i="43" s="1"/>
  <c r="G33" i="43" s="1"/>
  <c r="O58" i="43"/>
  <c r="O59" i="43" s="1"/>
  <c r="AB56" i="43"/>
  <c r="I56" i="43"/>
  <c r="AB53" i="43"/>
  <c r="I53" i="43"/>
  <c r="AB50" i="43"/>
  <c r="I50" i="43"/>
  <c r="AB47" i="43"/>
  <c r="I47" i="43"/>
  <c r="AB42" i="43"/>
  <c r="I42" i="43"/>
  <c r="AB39" i="43"/>
  <c r="I39" i="43"/>
  <c r="AB36" i="43"/>
  <c r="I36" i="43"/>
  <c r="AB33" i="43"/>
  <c r="I33" i="43"/>
  <c r="AB28" i="43"/>
  <c r="I28" i="43"/>
  <c r="AB20" i="43"/>
  <c r="I20" i="43"/>
  <c r="AB16" i="43"/>
  <c r="I16" i="43"/>
  <c r="AB13" i="43"/>
  <c r="I13" i="43"/>
  <c r="AB10" i="43"/>
  <c r="I10" i="43"/>
  <c r="X8" i="43"/>
  <c r="AA8" i="43" s="1"/>
  <c r="M58" i="43"/>
  <c r="M59" i="43" s="1"/>
  <c r="P57" i="43" a="1"/>
  <c r="P57" i="43" s="1"/>
  <c r="G57" i="43" s="1"/>
  <c r="P54" i="43" a="1"/>
  <c r="P54" i="43" s="1"/>
  <c r="G54" i="43" s="1"/>
  <c r="P48" i="43" a="1"/>
  <c r="P48" i="43" s="1"/>
  <c r="G48" i="43" s="1"/>
  <c r="P45" i="43" a="1"/>
  <c r="P45" i="43" s="1"/>
  <c r="G45" i="43" s="1"/>
  <c r="P43" i="43" a="1"/>
  <c r="P43" i="43" s="1"/>
  <c r="G43" i="43" s="1"/>
  <c r="P40" i="43" a="1"/>
  <c r="P40" i="43" s="1"/>
  <c r="G40" i="43" s="1"/>
  <c r="P8" i="43" a="1"/>
  <c r="P8" i="43" s="1"/>
  <c r="P51" i="43" a="1"/>
  <c r="P51" i="43" s="1"/>
  <c r="G51" i="43" s="1"/>
  <c r="Y56" i="43"/>
  <c r="AC55" i="43"/>
  <c r="J55" i="43"/>
  <c r="Y53" i="43"/>
  <c r="AC52" i="43"/>
  <c r="J52" i="43"/>
  <c r="Y50" i="43"/>
  <c r="AC49" i="43"/>
  <c r="J49" i="43"/>
  <c r="Y47" i="43"/>
  <c r="AC46" i="43"/>
  <c r="J46" i="43"/>
  <c r="AC44" i="43"/>
  <c r="J44" i="43"/>
  <c r="Y42" i="43"/>
  <c r="AC41" i="43"/>
  <c r="J41" i="43"/>
  <c r="Y39" i="43"/>
  <c r="AC38" i="43"/>
  <c r="J38" i="43"/>
  <c r="Y36" i="43"/>
  <c r="AC35" i="43"/>
  <c r="J35" i="43"/>
  <c r="Y33" i="43"/>
  <c r="Y28" i="43"/>
  <c r="AC26" i="43"/>
  <c r="J26" i="43"/>
  <c r="Y20" i="43"/>
  <c r="AC18" i="43"/>
  <c r="J18" i="43"/>
  <c r="Y16" i="43"/>
  <c r="AC15" i="43"/>
  <c r="J15" i="43"/>
  <c r="Y13" i="43"/>
  <c r="AC12" i="43"/>
  <c r="J12" i="43"/>
  <c r="Y10" i="43"/>
  <c r="AC9" i="43"/>
  <c r="J9" i="43"/>
  <c r="AB38" i="43"/>
  <c r="I38" i="43"/>
  <c r="AB35" i="43"/>
  <c r="I35" i="43"/>
  <c r="AB26" i="43"/>
  <c r="I26" i="43"/>
  <c r="AB18" i="43"/>
  <c r="I18" i="43"/>
  <c r="AB15" i="43"/>
  <c r="I15" i="43"/>
  <c r="AB12" i="43"/>
  <c r="I12" i="43"/>
  <c r="AB9" i="43"/>
  <c r="I9" i="43"/>
  <c r="AA55" i="43"/>
  <c r="H55" i="43"/>
  <c r="AA52" i="43"/>
  <c r="H52" i="43"/>
  <c r="AA49" i="43"/>
  <c r="H49" i="43"/>
  <c r="AA46" i="43"/>
  <c r="H46" i="43"/>
  <c r="AA44" i="43"/>
  <c r="H44" i="43"/>
  <c r="AA41" i="43"/>
  <c r="H41" i="43"/>
  <c r="AA38" i="43"/>
  <c r="H38" i="43"/>
  <c r="AA35" i="43"/>
  <c r="H35" i="43"/>
  <c r="AA26" i="43"/>
  <c r="H26" i="43"/>
  <c r="H18" i="43"/>
  <c r="H15" i="43"/>
  <c r="H12" i="43"/>
  <c r="H9" i="43"/>
  <c r="Z26" i="43"/>
  <c r="AC57" i="43"/>
  <c r="AC54" i="43"/>
  <c r="AC51" i="43"/>
  <c r="AC48" i="43"/>
  <c r="AC45" i="43"/>
  <c r="AC43" i="43"/>
  <c r="AC40" i="43"/>
  <c r="AC37" i="43"/>
  <c r="AC34" i="43"/>
  <c r="AC31" i="43"/>
  <c r="AC23" i="43"/>
  <c r="AC17" i="43"/>
  <c r="AC14" i="43"/>
  <c r="AC11" i="43"/>
  <c r="J11" i="43"/>
  <c r="AC8" i="43"/>
  <c r="J8" i="43"/>
  <c r="AB54" i="43"/>
  <c r="AB51" i="43"/>
  <c r="AB43" i="43"/>
  <c r="AB40" i="43"/>
  <c r="X18" i="43"/>
  <c r="AA18" i="43" s="1"/>
  <c r="X15" i="43"/>
  <c r="AA15" i="43" s="1"/>
  <c r="X12" i="43"/>
  <c r="AA12" i="43" s="1"/>
  <c r="X9" i="43"/>
  <c r="AA9" i="43" s="1"/>
  <c r="AB8" i="43"/>
  <c r="AB57" i="43"/>
  <c r="AB48" i="43"/>
  <c r="AB45" i="43"/>
  <c r="AA17" i="43"/>
  <c r="F10" i="45"/>
  <c r="F13" i="45" s="1" a="1"/>
  <c r="F13" i="45" s="1"/>
  <c r="F11" i="45"/>
  <c r="E11" i="45"/>
  <c r="E10" i="45"/>
  <c r="E9" i="45"/>
  <c r="E40" i="35"/>
  <c r="E5" i="35"/>
  <c r="E6" i="35"/>
  <c r="E7"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4" i="35"/>
  <c r="E12" i="36"/>
  <c r="E259" i="33"/>
  <c r="E258" i="33"/>
  <c r="E257" i="33"/>
  <c r="E256" i="33"/>
  <c r="E255" i="33"/>
  <c r="E254" i="33"/>
  <c r="E253" i="33"/>
  <c r="E252" i="33"/>
  <c r="E251" i="33"/>
  <c r="E250" i="33"/>
  <c r="E249" i="33"/>
  <c r="E248" i="33"/>
  <c r="E247" i="33"/>
  <c r="E246" i="33"/>
  <c r="E245" i="33"/>
  <c r="E244" i="33"/>
  <c r="E243" i="33"/>
  <c r="E242" i="33"/>
  <c r="E241" i="33"/>
  <c r="E240" i="33"/>
  <c r="E239" i="33"/>
  <c r="E238" i="33"/>
  <c r="E237" i="33"/>
  <c r="E236" i="33"/>
  <c r="E235" i="33"/>
  <c r="E234" i="33"/>
  <c r="E233" i="33"/>
  <c r="E232" i="33"/>
  <c r="E231" i="33"/>
  <c r="E230" i="33"/>
  <c r="E229" i="33"/>
  <c r="E228" i="33"/>
  <c r="E227" i="33"/>
  <c r="E226" i="33"/>
  <c r="E225" i="33"/>
  <c r="E224" i="33"/>
  <c r="E223" i="33"/>
  <c r="E222" i="33"/>
  <c r="E221" i="33"/>
  <c r="E220" i="33"/>
  <c r="E219" i="33"/>
  <c r="E218" i="33"/>
  <c r="E217" i="33"/>
  <c r="E216" i="33"/>
  <c r="E215" i="33"/>
  <c r="E214" i="33"/>
  <c r="E213" i="33"/>
  <c r="E212" i="33"/>
  <c r="E211" i="33"/>
  <c r="E210" i="33"/>
  <c r="E209" i="33"/>
  <c r="E208" i="33"/>
  <c r="E207" i="33"/>
  <c r="E206" i="33"/>
  <c r="E205" i="33"/>
  <c r="E204" i="33"/>
  <c r="E203" i="33"/>
  <c r="E202" i="33"/>
  <c r="E201" i="33"/>
  <c r="E200" i="33"/>
  <c r="E199" i="33"/>
  <c r="E198" i="33"/>
  <c r="E197" i="33"/>
  <c r="E196" i="33"/>
  <c r="E195" i="33"/>
  <c r="E194" i="33"/>
  <c r="E193" i="33"/>
  <c r="E192" i="33"/>
  <c r="E191" i="33"/>
  <c r="E190" i="33"/>
  <c r="E189" i="33"/>
  <c r="E188" i="33"/>
  <c r="E187" i="33"/>
  <c r="E186" i="33"/>
  <c r="E185" i="33"/>
  <c r="E184" i="33"/>
  <c r="E183" i="33"/>
  <c r="E182" i="33"/>
  <c r="E181" i="33"/>
  <c r="E180" i="33"/>
  <c r="E179" i="33"/>
  <c r="E178" i="33"/>
  <c r="E177" i="33"/>
  <c r="E176" i="33"/>
  <c r="E175" i="33"/>
  <c r="E174" i="33"/>
  <c r="E173" i="33"/>
  <c r="E172" i="33"/>
  <c r="E171" i="33"/>
  <c r="E170" i="33"/>
  <c r="E168" i="33"/>
  <c r="E167" i="33"/>
  <c r="E169" i="33"/>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F30" i="24"/>
  <c r="F31" i="24"/>
  <c r="F32" i="24"/>
  <c r="F33" i="24"/>
  <c r="F34" i="24"/>
  <c r="F35" i="24"/>
  <c r="F36" i="24"/>
  <c r="F37" i="24"/>
  <c r="F38" i="24"/>
  <c r="N6" i="24"/>
  <c r="S6" i="24"/>
  <c r="T6" i="24"/>
  <c r="W6" i="24"/>
  <c r="X6" i="24"/>
  <c r="K6" i="24"/>
  <c r="L6" i="24"/>
  <c r="Q6" i="24"/>
  <c r="N7" i="24"/>
  <c r="S7" i="24"/>
  <c r="T7" i="24"/>
  <c r="W7" i="24"/>
  <c r="X7" i="24"/>
  <c r="K7" i="24"/>
  <c r="L7" i="24"/>
  <c r="M7" i="24" s="1"/>
  <c r="Q7" i="24"/>
  <c r="N8" i="24"/>
  <c r="S8" i="24"/>
  <c r="T8" i="24"/>
  <c r="W8" i="24"/>
  <c r="X8" i="24"/>
  <c r="K8" i="24"/>
  <c r="L8" i="24"/>
  <c r="M8" i="24" s="1"/>
  <c r="Q8" i="24"/>
  <c r="N9" i="24"/>
  <c r="S9" i="24"/>
  <c r="V9" i="24" s="1"/>
  <c r="T9" i="24"/>
  <c r="W9" i="24"/>
  <c r="X9" i="24"/>
  <c r="K9" i="24"/>
  <c r="L9" i="24"/>
  <c r="Q9" i="24"/>
  <c r="N10" i="24"/>
  <c r="S10" i="24"/>
  <c r="T10" i="24"/>
  <c r="W10" i="24"/>
  <c r="X10" i="24"/>
  <c r="K10" i="24"/>
  <c r="L10" i="24"/>
  <c r="Q10" i="24"/>
  <c r="N11" i="24"/>
  <c r="S11" i="24"/>
  <c r="V11" i="24" s="1"/>
  <c r="T11" i="24"/>
  <c r="W11" i="24"/>
  <c r="X11" i="24"/>
  <c r="K11" i="24"/>
  <c r="L11" i="24"/>
  <c r="Q11" i="24"/>
  <c r="N12" i="24"/>
  <c r="S12" i="24"/>
  <c r="T12" i="24"/>
  <c r="W12" i="24"/>
  <c r="X12" i="24"/>
  <c r="K12" i="24"/>
  <c r="L12" i="24"/>
  <c r="Q12" i="24"/>
  <c r="N13" i="24"/>
  <c r="S13" i="24"/>
  <c r="T13" i="24"/>
  <c r="W13" i="24"/>
  <c r="X13" i="24"/>
  <c r="K13" i="24"/>
  <c r="L13" i="24"/>
  <c r="M13" i="24" s="1"/>
  <c r="Q13" i="24"/>
  <c r="N14" i="24"/>
  <c r="S14" i="24"/>
  <c r="T14" i="24"/>
  <c r="W14" i="24"/>
  <c r="X14" i="24"/>
  <c r="K14" i="24"/>
  <c r="L14" i="24"/>
  <c r="M14" i="24" s="1"/>
  <c r="Q14" i="24"/>
  <c r="N20" i="24"/>
  <c r="P20" i="24"/>
  <c r="Q20" i="24"/>
  <c r="S20" i="24" s="1"/>
  <c r="N21" i="24"/>
  <c r="P21" i="24"/>
  <c r="Q21" i="24"/>
  <c r="B37" i="29"/>
  <c r="B35" i="29"/>
  <c r="L21" i="24"/>
  <c r="K21" i="24"/>
  <c r="M21" i="24" s="1"/>
  <c r="L20" i="24"/>
  <c r="M20" i="24"/>
  <c r="K20" i="24"/>
  <c r="B41" i="27"/>
  <c r="B39" i="27"/>
  <c r="V13" i="24"/>
  <c r="F8" i="36"/>
  <c r="AB58" i="43" l="1"/>
  <c r="Z58" i="43"/>
  <c r="H58" i="43"/>
  <c r="H59" i="43" s="1"/>
  <c r="I58" i="43"/>
  <c r="I59" i="43" s="1"/>
  <c r="Y58" i="43"/>
  <c r="X58" i="43"/>
  <c r="G8" i="43"/>
  <c r="G58" i="43" s="1"/>
  <c r="G59" i="43" s="1"/>
  <c r="P58" i="43"/>
  <c r="P59" i="43" s="1"/>
  <c r="AA58" i="43"/>
  <c r="J58" i="43"/>
  <c r="J59" i="43" s="1"/>
  <c r="AC58" i="43"/>
  <c r="G22" i="40"/>
  <c r="E22" i="40" s="1"/>
  <c r="I22" i="40" s="1"/>
  <c r="E13" i="40"/>
  <c r="V8" i="24"/>
  <c r="V12" i="24"/>
  <c r="M10" i="24"/>
  <c r="M11" i="24"/>
  <c r="Y8" i="24"/>
  <c r="Y11" i="24"/>
  <c r="E28" i="24"/>
  <c r="Y13" i="24"/>
  <c r="F9" i="36"/>
  <c r="F11" i="36"/>
  <c r="F10" i="36"/>
  <c r="F12" i="36"/>
  <c r="F7" i="36"/>
  <c r="S21" i="24"/>
  <c r="U21" i="24" s="1"/>
  <c r="V10" i="24"/>
  <c r="Y10" i="24" s="1"/>
  <c r="M9" i="24"/>
  <c r="Y9" i="24" s="1"/>
  <c r="V6" i="24"/>
  <c r="J22" i="40"/>
  <c r="U20" i="24"/>
  <c r="V14" i="24"/>
  <c r="Y14" i="24" s="1"/>
  <c r="F13" i="40"/>
  <c r="F14" i="45"/>
  <c r="M12" i="24"/>
  <c r="Y12" i="24" s="1"/>
  <c r="V7" i="24"/>
  <c r="Y7" i="24" s="1"/>
  <c r="M6" i="24"/>
  <c r="W58" i="43" l="1"/>
  <c r="W59" i="43" s="1"/>
  <c r="V58" i="43"/>
  <c r="V59" i="43" s="1"/>
  <c r="U58" i="43"/>
  <c r="U59" i="43" s="1"/>
  <c r="Y6" i="24"/>
  <c r="L16" i="24" s="1"/>
  <c r="I23" i="24"/>
  <c r="F40" i="24" l="1"/>
  <c r="F21" i="40"/>
  <c r="F19" i="40"/>
  <c r="F20" i="40"/>
  <c r="E12" i="40"/>
  <c r="E10" i="40"/>
  <c r="E11" i="40"/>
  <c r="F23" i="40" l="1"/>
  <c r="F24" i="40" s="1"/>
  <c r="F11" i="40"/>
  <c r="G20" i="40"/>
  <c r="G21" i="40"/>
  <c r="F12" i="40"/>
  <c r="F10" i="40"/>
  <c r="G19" i="40"/>
  <c r="G23" i="40" l="1"/>
  <c r="E23" i="40" s="1"/>
  <c r="E19" i="40"/>
  <c r="E21" i="40"/>
  <c r="J21" i="40" s="1"/>
  <c r="E20" i="40"/>
  <c r="I20" i="40" l="1"/>
  <c r="I19" i="40"/>
  <c r="J20" i="40"/>
  <c r="J19" i="40"/>
  <c r="I21" i="40"/>
  <c r="G24" i="40"/>
  <c r="E24" i="40" s="1"/>
  <c r="H23" i="40" l="1"/>
  <c r="H22" i="40"/>
  <c r="I23" i="40"/>
  <c r="H21" i="40"/>
  <c r="H19" i="40"/>
  <c r="G27" i="40"/>
  <c r="J23" i="40"/>
  <c r="H20" i="40"/>
  <c r="E9" i="40" l="1"/>
  <c r="E14" i="40" s="1"/>
  <c r="F9" i="40"/>
  <c r="F14"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QA_ngant10</author>
    <author>HaNT32</author>
  </authors>
  <commentList>
    <comment ref="S6" authorId="0" shapeId="0" xr:uid="{00000000-0006-0000-0400-000001000000}">
      <text>
        <r>
          <rPr>
            <b/>
            <sz val="8"/>
            <color indexed="81"/>
            <rFont val="Tahoma"/>
            <family val="2"/>
          </rPr>
          <t>QA_ngant10:</t>
        </r>
        <r>
          <rPr>
            <sz val="8"/>
            <color indexed="81"/>
            <rFont val="Tahoma"/>
            <family val="2"/>
          </rPr>
          <t xml:space="preserve">
Nỗ lực dự án đánh giá
Nỗ lực này có thể lớn hơn hoặc nhỏ hơn nỗ lực thực hiện sau khi đã trừ % tái sử dụng</t>
        </r>
      </text>
    </comment>
    <comment ref="X7" authorId="1" shapeId="0" xr:uid="{00000000-0006-0000-0400-000002000000}">
      <text>
        <r>
          <rPr>
            <sz val="8"/>
            <color indexed="81"/>
            <rFont val="Tahoma"/>
            <family val="2"/>
          </rPr>
          <t>- Theo CSDL lịch sử:
Nỗ lực thiết kế ~= 37% Tổng (nỗ lực thiết kế (phạm vi thuê ngoài được) + nỗ lực phân tích (tự thực hiện))
- Nếu tỉ lệ thuê ngoài dự án lớn hơn thì dự án tự điều chỉnh theo thực tế</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B4" authorId="0" shapeId="0" xr:uid="{00000000-0006-0000-0600-000001000000}">
      <text>
        <r>
          <rPr>
            <b/>
            <sz val="8"/>
            <color indexed="81"/>
            <rFont val="Tahoma"/>
            <family val="2"/>
          </rPr>
          <t>QA_NgaNT10:</t>
        </r>
        <r>
          <rPr>
            <sz val="8"/>
            <color indexed="81"/>
            <rFont val="Tahoma"/>
            <family val="2"/>
          </rPr>
          <t xml:space="preserve">
Đặt theo mã của yêu cầu đang thực hiện</t>
        </r>
      </text>
    </comment>
    <comment ref="C4" authorId="0" shapeId="0" xr:uid="{00000000-0006-0000-0600-000002000000}">
      <text>
        <r>
          <rPr>
            <b/>
            <sz val="8"/>
            <color indexed="81"/>
            <rFont val="Tahoma"/>
            <family val="2"/>
          </rPr>
          <t>QA_NgaNT10:</t>
        </r>
        <r>
          <rPr>
            <sz val="8"/>
            <color indexed="81"/>
            <rFont val="Tahoma"/>
            <family val="2"/>
          </rPr>
          <t xml:space="preserve">
Đặt tên theo cách dễ nhớ và map với KHCT</t>
        </r>
      </text>
    </comment>
    <comment ref="B19" authorId="0" shapeId="0" xr:uid="{00000000-0006-0000-0600-000003000000}">
      <text>
        <r>
          <rPr>
            <b/>
            <sz val="8"/>
            <color indexed="81"/>
            <rFont val="Tahoma"/>
            <family val="2"/>
          </rPr>
          <t>QA_NgaNT10:</t>
        </r>
        <r>
          <rPr>
            <sz val="8"/>
            <color indexed="81"/>
            <rFont val="Tahoma"/>
            <family val="2"/>
          </rPr>
          <t xml:space="preserve">
Đặt theo mã của yêu cầu đang thực hiện</t>
        </r>
      </text>
    </comment>
    <comment ref="C19" authorId="0" shapeId="0" xr:uid="{00000000-0006-0000-0600-000004000000}">
      <text>
        <r>
          <rPr>
            <b/>
            <sz val="8"/>
            <color indexed="81"/>
            <rFont val="Tahoma"/>
            <family val="2"/>
          </rPr>
          <t>QA_NgaNT10:</t>
        </r>
        <r>
          <rPr>
            <sz val="8"/>
            <color indexed="81"/>
            <rFont val="Tahoma"/>
            <family val="2"/>
          </rPr>
          <t xml:space="preserve">
Đặt tên theo cách dễ nhớ và map với KHCT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D2" authorId="0" shapeId="0" xr:uid="{00000000-0006-0000-0A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QA_ngant10</author>
  </authors>
  <commentList>
    <comment ref="G6" authorId="0" shapeId="0" xr:uid="{00000000-0006-0000-0C00-000001000000}">
      <text>
        <r>
          <rPr>
            <b/>
            <sz val="8"/>
            <color indexed="81"/>
            <rFont val="Tahoma"/>
            <family val="2"/>
          </rPr>
          <t>QA_ngant10:</t>
        </r>
        <r>
          <rPr>
            <sz val="8"/>
            <color indexed="81"/>
            <rFont val="Tahoma"/>
            <family val="2"/>
          </rPr>
          <t xml:space="preserve">
Dự án có thực hiện công việc này không?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3" authorId="0" shapeId="0" xr:uid="{00000000-0006-0000-0F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<sst xmlns="http://schemas.openxmlformats.org/spreadsheetml/2006/main" count="2175" uniqueCount="914">
  <si>
    <t>TẬP ĐOÀN CÔNG NGHIỆP - VIỄN THÔNG QUÂN ĐỘI</t>
  </si>
  <si>
    <t>BAN QUẢN TRỊ DỮ LIỆU</t>
  </si>
  <si>
    <t>TRUNG TÂM PHẦN MỀM VIỄN THÔNG VIETTEL</t>
  </si>
  <si>
    <t xml:space="preserve">Mã dự án/ mã yêu cầu:  </t>
  </si>
  <si>
    <t>Mã tài liệu:</t>
  </si>
  <si>
    <t>:</t>
  </si>
  <si>
    <t>&lt;Mã tài liệu&gt;</t>
  </si>
  <si>
    <t>Lần ước lượng</t>
  </si>
  <si>
    <t>Người lập:</t>
  </si>
  <si>
    <t>&lt;Tên người lập&gt;</t>
  </si>
  <si>
    <t>DD/MM/YYYY</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</si>
  <si>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</si>
  <si>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</si>
  <si>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</si>
  <si>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</si>
  <si>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</si>
  <si>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</si>
  <si>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</si>
  <si>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</si>
  <si>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</si>
  <si>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</si>
  <si>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</si>
  <si>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</si>
  <si>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</si>
  <si>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</si>
  <si>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</si>
  <si>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23/1/2020</t>
  </si>
  <si>
    <t>A</t>
  </si>
  <si>
    <t xml:space="preserve">Phiên bản tạo mới </t>
  </si>
  <si>
    <t>v1.0</t>
  </si>
  <si>
    <t>BẢNG TÍNH TOÁN NỖ LỰC THỰC HIỆN DỰ ÁN</t>
  </si>
  <si>
    <t>&lt;Tên dự án&gt;</t>
  </si>
  <si>
    <t>I - Tổng nỗ lực thực hiện yêu cầu theo hướng dẫn</t>
  </si>
  <si>
    <t>Nguồn lực cho các công việc trong dự án</t>
  </si>
  <si>
    <t>STT</t>
  </si>
  <si>
    <t>Công việc</t>
  </si>
  <si>
    <t>Diễn giải</t>
  </si>
  <si>
    <t>Nỗ lực chưa tái sử dụng (MD)</t>
  </si>
  <si>
    <t>Nỗ lực sau khi tái sử dụng (MD)</t>
  </si>
  <si>
    <t>Tổng nỗ lực chức năng</t>
  </si>
  <si>
    <t>Tổng nỗ lực thực hiện cho chức năng bao gồm giải pháp phát triển kiểm thử?</t>
  </si>
  <si>
    <t>Giải pháp</t>
  </si>
  <si>
    <t>Tổng nỗ lực thực hiện giải pháp (bao gồm Khảo sát, phân tích, kịch bản tác động)</t>
  </si>
  <si>
    <t>Phát triển</t>
  </si>
  <si>
    <t>Tổng nỗ lực thực hiện phát triển bao gồm Kiểm định giả thuyết, Feature engineering, xây dựng, huấn luyện và hiệu chỉnh mô hình, xây dựng luồng ETL</t>
  </si>
  <si>
    <t>Kiểm thử</t>
  </si>
  <si>
    <t>Nỗ lực cho: Triển khai, KBKT, testcase</t>
  </si>
  <si>
    <t>Nỗ lực thực hiện phi chức năng</t>
  </si>
  <si>
    <t>Tổng nỗ lực thực hiện các công việc QTDA, kiểm thử hiệu năng, nghiệm thu, triển khai, đào tạo…</t>
  </si>
  <si>
    <t>Tổng nỗ lực thực hiện (MD) (5)+ (6)</t>
  </si>
  <si>
    <t>Là tổng nỗ lực thực hiện của dự án sau khi trừ đi nỗ lực các giai đoạn cuối cùng</t>
  </si>
  <si>
    <t>II - Tổng nỗ lực phân bổ thuê ngoài và tự thực hiện</t>
  </si>
  <si>
    <t>Tổng nỗ lực (bao gồm thuê ngoài và tự thực hiện)</t>
  </si>
  <si>
    <t>Nỗ lực thuê ngoài</t>
  </si>
  <si>
    <t>Nỗ lực tự thực hiện</t>
  </si>
  <si>
    <t>Tỉ lệ nỗ lực từng công việc (%)</t>
  </si>
  <si>
    <t>Tỉ lệ thuê ngoài (%)</t>
  </si>
  <si>
    <t>Tỉ lệ tự thực hiện (%)</t>
  </si>
  <si>
    <t xml:space="preserve">Giải pháp </t>
  </si>
  <si>
    <t>Tổng nỗ lực thực hiện giải pháp.</t>
  </si>
  <si>
    <t xml:space="preserve">Tổng nỗ lực thực hiện phát triển </t>
  </si>
  <si>
    <t>Tổng nỗ lực thực hiện kiểm thử</t>
  </si>
  <si>
    <t>Phi chức năng</t>
  </si>
  <si>
    <t>Tổng nỗ lực thực hiện các công việc phi chức năng</t>
  </si>
  <si>
    <t>Tổng nỗ lực thực hiện (MD)</t>
  </si>
  <si>
    <t>= (1) + (2) + (3) + (4)</t>
  </si>
  <si>
    <t>Tổng nỗ lực thực hiện (MM)</t>
  </si>
  <si>
    <t>Thuê ngoài: 1 MM = 22 MDs
Nội bộ: 1 MM = 22 MDs</t>
  </si>
  <si>
    <t>Phụ lục 1.1:
DANH SÁCH LOẠI CHỨC NĂNG</t>
  </si>
  <si>
    <t>Mã loại chức năng</t>
  </si>
  <si>
    <t>Tên loại chức năng</t>
  </si>
  <si>
    <t>Kỹ năng</t>
  </si>
  <si>
    <t>Mô tả
(Trường thông tin hoặc bước xử lý nghiệp vụ)</t>
  </si>
  <si>
    <t>Ví dụ</t>
  </si>
  <si>
    <t>NVJ1-PTM</t>
  </si>
  <si>
    <t>Xử lý nghiệp vụ đơn giản</t>
  </si>
  <si>
    <t>SERVICE - JAVA</t>
  </si>
  <si>
    <t>Nghiệp vụ nhỏ hơn 5 bước
Bước là 1 xử lý logic được mô tả trong tài liệu giải pháp</t>
  </si>
  <si>
    <t>Tra cứu thông tin tài khoản Bankplus BCCS</t>
  </si>
  <si>
    <t>NVJ2-PTM</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</si>
  <si>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</si>
  <si>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</si>
  <si>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</si>
  <si>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</si>
  <si>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</si>
  <si>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</si>
  <si>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</si>
  <si>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</si>
  <si>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</si>
  <si>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</si>
  <si>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</si>
  <si>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</si>
  <si>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</si>
  <si>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</si>
  <si>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</si>
  <si>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</si>
  <si>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</si>
  <si>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</si>
  <si>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</si>
  <si>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</si>
  <si>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</si>
  <si>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</si>
  <si>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</si>
  <si>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</si>
  <si>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</si>
  <si>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</si>
  <si>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</si>
  <si>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</si>
  <si>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</si>
  <si>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</si>
  <si>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</si>
  <si>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</si>
  <si>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</si>
  <si>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</si>
  <si>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</si>
  <si>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</si>
  <si>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</si>
  <si>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</si>
  <si>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</si>
  <si>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</si>
  <si>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</si>
  <si>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</si>
  <si>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</si>
  <si>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</si>
  <si>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</si>
  <si>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</si>
  <si>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</si>
  <si>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</si>
  <si>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</si>
  <si>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</si>
  <si>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</si>
  <si>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</si>
  <si>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</si>
  <si>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</si>
  <si>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</si>
  <si>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</si>
  <si>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</si>
  <si>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</si>
  <si>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</si>
  <si>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</si>
  <si>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</si>
  <si>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</si>
  <si>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</si>
  <si>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</si>
  <si>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</si>
  <si>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</si>
  <si>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</si>
  <si>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</si>
  <si>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</si>
  <si>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</si>
  <si>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</si>
  <si>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</si>
  <si>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</si>
  <si>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</si>
  <si>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</si>
  <si>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</si>
  <si>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</si>
  <si>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</si>
  <si>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</si>
  <si>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</si>
  <si>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</si>
  <si>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</si>
  <si>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</si>
  <si>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</si>
  <si>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</si>
  <si>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</si>
  <si>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</si>
  <si>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</si>
  <si>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</si>
  <si>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</si>
  <si>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</si>
  <si>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</si>
  <si>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</si>
  <si>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</si>
  <si>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</si>
  <si>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</si>
  <si>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</si>
  <si>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</si>
  <si>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</si>
  <si>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</si>
  <si>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</si>
  <si>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</si>
  <si>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</si>
  <si>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</si>
  <si>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</si>
  <si>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</si>
  <si>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</si>
  <si>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</si>
  <si>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</si>
  <si>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</si>
  <si>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</si>
  <si>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</si>
  <si>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</si>
  <si>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</si>
  <si>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</si>
  <si>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</si>
  <si>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</si>
  <si>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</si>
  <si>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</si>
  <si>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</si>
  <si>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</si>
  <si>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</si>
  <si>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</si>
  <si>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</si>
  <si>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</si>
  <si>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</si>
  <si>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</si>
  <si>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</si>
  <si>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</si>
  <si>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</si>
  <si>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</si>
  <si>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</si>
  <si>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</si>
  <si>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</si>
  <si>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</si>
  <si>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BẢNG DANH SÁCH CHỨC NĂNG</t>
  </si>
  <si>
    <t>* Điền thông tin vào các cột màu trắng</t>
  </si>
  <si>
    <r>
      <rPr>
        <b/>
        <i/>
        <sz val="11"/>
        <rFont val="Times New Roman"/>
        <family val="1"/>
      </rPr>
      <t xml:space="preserve">Giải pháp </t>
    </r>
    <r>
      <rPr>
        <i/>
        <sz val="11"/>
        <rFont val="Times New Roman"/>
        <family val="1"/>
      </rPr>
      <t xml:space="preserve">bao gồm Phân tích thiết kế;
</t>
    </r>
    <r>
      <rPr>
        <b/>
        <i/>
        <sz val="11"/>
        <rFont val="Times New Roman"/>
        <family val="1"/>
      </rPr>
      <t>Phát triển</t>
    </r>
    <r>
      <rPr>
        <i/>
        <sz val="11"/>
        <rFont val="Times New Roman"/>
        <family val="1"/>
      </rPr>
      <t xml:space="preserve">: gồm lập trình, sửa lỗi, unit test; 
</t>
    </r>
    <r>
      <rPr>
        <b/>
        <i/>
        <sz val="11"/>
        <rFont val="Times New Roman"/>
        <family val="1"/>
      </rPr>
      <t>Kiểm thử:</t>
    </r>
    <r>
      <rPr>
        <i/>
        <sz val="11"/>
        <rFont val="Times New Roman"/>
        <family val="1"/>
      </rPr>
      <t xml:space="preserve"> Kịch bản kiểm thử, Test tính năng, hướng dẫn sử dụng</t>
    </r>
  </si>
  <si>
    <t>TT</t>
  </si>
  <si>
    <t>Mã yêu cầu</t>
  </si>
  <si>
    <t>Tên Chức năng</t>
  </si>
  <si>
    <t>Mô tả chức năng</t>
  </si>
  <si>
    <t>Ghi chú (nếu có)</t>
  </si>
  <si>
    <t>Comment</t>
  </si>
  <si>
    <t>Nỗ lực thực hiện sau khi tái sử dụng (MH)</t>
  </si>
  <si>
    <t>Nỗ lực thực hiện
(MH)</t>
  </si>
  <si>
    <t>Tái sử dụng (%)</t>
  </si>
  <si>
    <t>Tái sử dụng từ chức năng/hệ thống nào</t>
  </si>
  <si>
    <t>Nỗ lực dự án đánh giá có thể đảm bảo được</t>
  </si>
  <si>
    <t>Ghi chú</t>
  </si>
  <si>
    <t>Có thuê ngoài thực hiện không?</t>
  </si>
  <si>
    <t>Nỗ lực thuê ngoài (MH)</t>
  </si>
  <si>
    <t>Nỗ lực tự thực hiện (MH)</t>
  </si>
  <si>
    <t>Tổng nỗ lực thực hiện (MH)</t>
  </si>
  <si>
    <t>Mã chức năng</t>
  </si>
  <si>
    <t>Tổng nỗ lực thực hiện
(MH)</t>
  </si>
  <si>
    <t>PTDL_ĐXGPM3</t>
  </si>
  <si>
    <t>Có</t>
  </si>
  <si>
    <t>PTDL_TONGHOP_FEATURE3</t>
  </si>
  <si>
    <t>PTDL_TRAIN_MODEL_BASE</t>
  </si>
  <si>
    <t>PTDL_MODEL_TUNING</t>
  </si>
  <si>
    <t>PTDL_TEST_MODEL</t>
  </si>
  <si>
    <t>PTDL_BC_KQ_MODEL</t>
  </si>
  <si>
    <t>Nỗ lực (MH)</t>
  </si>
  <si>
    <t>Nỗ lực (MD)</t>
  </si>
  <si>
    <t>Hướng dẫn đánh giá % tái sử dụng:</t>
  </si>
  <si>
    <t>Quản trị dự án đánh giá xem:
* Có chức năng tương tự trong hệ thống không?
* Có chức năng tương tự trong hệ thống khác của đơn vị không?
* Có tái sử dụng được thiết kế của các chức năng tương tự không?</t>
  </si>
  <si>
    <t>BẢNG DANH SÁCH PHI CHỨC NĂNG</t>
  </si>
  <si>
    <t>Tên đầu việc</t>
  </si>
  <si>
    <t>Mô tả</t>
  </si>
  <si>
    <t>Mã phi chức năng</t>
  </si>
  <si>
    <t>Tên loại phi chức năng</t>
  </si>
  <si>
    <t>Chuẩn liệu tài liệu nghiệp vụ</t>
  </si>
  <si>
    <t>PTDL_TAILIEU</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</si>
  <si>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</si>
  <si>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</si>
  <si>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</si>
  <si>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</si>
  <si>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</si>
  <si>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</si>
  <si>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</si>
  <si>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</si>
  <si>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</si>
  <si>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</si>
  <si>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</si>
  <si>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</si>
  <si>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</si>
  <si>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</si>
  <si>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</si>
  <si>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</si>
  <si>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</si>
  <si>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</si>
  <si>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</si>
  <si>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</si>
  <si>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</si>
  <si>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</si>
  <si>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</si>
  <si>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</si>
  <si>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</si>
  <si>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</si>
  <si>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</si>
  <si>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</si>
  <si>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</si>
  <si>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</si>
  <si>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</si>
  <si>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</si>
  <si>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</si>
  <si>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</si>
  <si>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</si>
  <si>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</si>
  <si>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</si>
  <si>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</si>
  <si>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</si>
  <si>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</si>
  <si>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</si>
  <si>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</si>
  <si>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</si>
  <si>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</si>
  <si>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</si>
  <si>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</si>
  <si>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</si>
  <si>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</si>
  <si>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</si>
  <si>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</si>
  <si>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</si>
  <si>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</si>
  <si>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</si>
  <si>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</si>
  <si>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</si>
  <si>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</si>
  <si>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</si>
  <si>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</si>
  <si>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</si>
  <si>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</si>
  <si>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</si>
  <si>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</si>
  <si>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</si>
  <si>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</si>
  <si>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</si>
  <si>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</si>
  <si>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</si>
  <si>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</si>
  <si>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</si>
  <si>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</si>
  <si>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</si>
  <si>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</si>
  <si>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</si>
  <si>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</si>
  <si>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</si>
  <si>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</si>
  <si>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</si>
  <si>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</si>
  <si>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</si>
  <si>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</si>
  <si>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</si>
  <si>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</si>
  <si>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</si>
  <si>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</si>
  <si>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</si>
  <si>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</si>
  <si>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</si>
  <si>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</si>
  <si>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</si>
  <si>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</si>
  <si>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</si>
  <si>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</si>
  <si>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</si>
  <si>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</si>
  <si>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</si>
  <si>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</si>
  <si>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</si>
  <si>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</si>
  <si>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</si>
  <si>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</si>
  <si>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</si>
  <si>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</si>
  <si>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</si>
  <si>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</si>
  <si>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</si>
  <si>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t xml:space="preserve">4. Rủi ro trong quá trình kiểm thử hiệu năng: </t>
    </r>
    <r>
      <rPr>
        <sz val="10"/>
        <color indexed="8"/>
        <rFont val="Times New Roman"/>
        <family val="1"/>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family val="1"/>
      </rPr>
      <t xml:space="preserve">
…………………...</t>
    </r>
    <r>
      <rPr>
        <b/>
        <sz val="15"/>
        <color indexed="8"/>
        <rFont val="Times New Roman"/>
        <family val="1"/>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</si>
  <si>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</si>
  <si>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</si>
  <si>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</si>
  <si>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</si>
  <si>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</si>
  <si>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</si>
  <si>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</si>
  <si>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</si>
  <si>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</si>
  <si>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</si>
  <si>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</si>
  <si>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</si>
  <si>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</si>
  <si>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</si>
  <si>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</si>
  <si>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</si>
  <si>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</si>
  <si>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</si>
  <si>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</si>
  <si>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</si>
  <si>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</si>
  <si>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</si>
  <si>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</si>
  <si>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</si>
  <si>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</si>
  <si>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</si>
  <si>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</si>
  <si>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</si>
  <si>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</si>
  <si>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</si>
  <si>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</si>
  <si>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</si>
  <si>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</si>
  <si>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</si>
  <si>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PTDL_KSNV1</t>
  </si>
  <si>
    <t>Khảo sát nghiệp vụ bài toán đơn giản</t>
  </si>
  <si>
    <t>Số hệ thống cần khảo sát: 1 hệ thống</t>
  </si>
  <si>
    <t>PTDL_KSNV2</t>
  </si>
  <si>
    <t>Khảo sát nghiệp vụ bài toán trung bình</t>
  </si>
  <si>
    <t>Số hệ thống cần khảo sát: 1 &lt; số hệ thống &lt;= 3</t>
  </si>
  <si>
    <t>PTDL_KSNV3</t>
  </si>
  <si>
    <t>Khảo sát nghiệp vụ bài toán phức tạp</t>
  </si>
  <si>
    <t>Số hệ thống cần khảo sát: số hệ thống &gt; 3</t>
  </si>
  <si>
    <t>PTDL_ĐGTNUC1</t>
  </si>
  <si>
    <t>Đánh giá tiềm năng usecase đơn giản</t>
  </si>
  <si>
    <t>Đánh giá giá trị mang lại: 1 UC</t>
  </si>
  <si>
    <t>PTDL_ĐGTNUC2</t>
  </si>
  <si>
    <t>Đánh giá tiềm năng usecase trung bình</t>
  </si>
  <si>
    <t xml:space="preserve">Đánh giá giá trị mang lạị: 1 &lt; số UC &lt;=3 </t>
  </si>
  <si>
    <t>PTDL_ĐGTNUC3</t>
  </si>
  <si>
    <t>Đánh giá tiềm năng usecase phức tạp</t>
  </si>
  <si>
    <t xml:space="preserve">Đánh giá giá trị mang lạị: số UC &gt; 3 </t>
  </si>
  <si>
    <t>PTDL_ĐXGPM1</t>
  </si>
  <si>
    <t>Đề xuất giải pháp xây dựng model đơn giản</t>
  </si>
  <si>
    <t>Số lượng model đề xuất: 1 model</t>
  </si>
  <si>
    <t>PTDL_ĐXGPM2</t>
  </si>
  <si>
    <t>Đề xuất giải pháp xây dựng model trung bình</t>
  </si>
  <si>
    <t>Số lượng model đề xuất: 1 &lt; model &lt;=3</t>
  </si>
  <si>
    <t>Đề xuất giải pháp xây dựng model phức tạp</t>
  </si>
  <si>
    <t>Số lượng model đề xuất:  3 &lt; model</t>
  </si>
  <si>
    <t>PTDL_TNGPM1</t>
  </si>
  <si>
    <t>Thống nhất giải pháp xây dựng model đơn giản</t>
  </si>
  <si>
    <t>Số lượng model cần thống nhất: 1 model</t>
  </si>
  <si>
    <t>PTDL_TNGPM2</t>
  </si>
  <si>
    <t>Thống nhất giải pháp xây dựng model trung bình</t>
  </si>
  <si>
    <t>Số lượng model cần thống nhất: 1 &lt; model &lt;=3</t>
  </si>
  <si>
    <t>PTDL_TNGPM3</t>
  </si>
  <si>
    <t>Thống nhất giải pháp xây dựng model phức tạp</t>
  </si>
  <si>
    <t>Số lượng model cần thống nhất:  3 &lt; model</t>
  </si>
  <si>
    <t>PTDL_XDKBTĐ1</t>
  </si>
  <si>
    <t>Xây dựng kịch bản tác động đơn giản, bao gồm luồng triển khai</t>
  </si>
  <si>
    <t>Kịch bản &lt;3 bước</t>
  </si>
  <si>
    <t>PTDL_XDKBTĐ2</t>
  </si>
  <si>
    <t>Xây dựng kịch bản tác động trung bình, bao gồm luồng triển khai</t>
  </si>
  <si>
    <t>Kịch bản từ 3-5 bước</t>
  </si>
  <si>
    <t>PTDL_XDKBTĐ3</t>
  </si>
  <si>
    <t>Xây dựng kịch bản tác động phức tạp, bao gồm luồng triển khai</t>
  </si>
  <si>
    <t>Kịch bản &gt;5 bước</t>
  </si>
  <si>
    <t>PTDL_XDBC_HQTĐ</t>
  </si>
  <si>
    <t>Xây dựng report đánh giá hiệu quả tác động</t>
  </si>
  <si>
    <t>Report dạng dashboard đơn giản, các chỉ số cần theo dõi đã rõ (TUR, doanh thu ..)  không cần các hiệu ứng =&gt; sử dụng mã chức năng DV_TABLEAU_DASHBOARD1</t>
  </si>
  <si>
    <t>PTDL_BLACKLIST</t>
  </si>
  <si>
    <t>Chuẩn bị logic blacklist</t>
  </si>
  <si>
    <t>Backlist đã rõ khi chốt yêu cầu</t>
  </si>
  <si>
    <t>PTDL_XUAT_BANG_TK</t>
  </si>
  <si>
    <t>Đẩy tập triển khai tác động</t>
  </si>
  <si>
    <t>Lọc danh sách blacklist theo các điều kiện của BA và chia tập đánh giá theo logic =&gt; lấy theo nỗ lực của Tổng hợp dữ liệu đơn giản: DP_AGG1</t>
  </si>
  <si>
    <t>PTDL_CHECK_DAIDIEN</t>
  </si>
  <si>
    <t>Cross-check các tập về tính đại diện</t>
  </si>
  <si>
    <t>Đã có code check tính đại điện, chỉ việc chạy</t>
  </si>
  <si>
    <t>PTDL_GIAMSAT_TACDONG</t>
  </si>
  <si>
    <t>Giám sát quá trình thực hiện tác động</t>
  </si>
  <si>
    <t>Chỉ giám sát quá trình thực hiện tác động đúng theo kịch bản (qua email/giao diện hệ thống campaign)</t>
  </si>
  <si>
    <t>PTDL_ĐGHQ_TACDONG1</t>
  </si>
  <si>
    <t>Đánh giá hiệu quả tác động đơn giản</t>
  </si>
  <si>
    <t>Chỉ lấy các chỉ số hiệu quả tác động: tỉ lệ tác động thành công, việc blocking có đảm bảo, thời gian tác động, chỉ số so sánh hiệu quả giữa các tập</t>
  </si>
  <si>
    <t>PTDL_ĐGHQ_TACDONG2</t>
  </si>
  <si>
    <t>Đánh giá hiệu quả tác động phức tạp</t>
  </si>
  <si>
    <t>Lấy các chỉ số + Postanalysis + Đưa ra các bước tiếp theo</t>
  </si>
  <si>
    <t>PTDL_EXPLORE_DATA</t>
  </si>
  <si>
    <t>Tìm hiểu đặc tính các trường dữ liệu</t>
  </si>
  <si>
    <t>Check phân phối, quantitle, số bản ghi, số bản ghi bị null, số bản ghi có giá trị bằng 0, số distinct value, value_counts của các distinct value
Số lượng feature càng lớn thì việc tính toán và check càng mất thời gian</t>
  </si>
  <si>
    <t>PTDL_HYPOTHESIS</t>
  </si>
  <si>
    <t>Xây dựng / bổ sung giả thuyết, bao gồm dựng luồng và phân tích</t>
  </si>
  <si>
    <t>Đọc thêm paper/trao đổi kinh doanh để tìm, tạo các feature mới thể hiện cho, ảnh hưởng đến hành vi của khách hàng
Đây là estimate thời gian cho 1 giả thuyết</t>
  </si>
  <si>
    <t>PTDL_FEATURE_ENGINEERING</t>
  </si>
  <si>
    <t>Thực hiện feature engineering</t>
  </si>
  <si>
    <t>Hiểu từng dữ liệu một và tạo, transform những features đó</t>
  </si>
  <si>
    <t>Training model base</t>
  </si>
  <si>
    <t>Fine-tune hyperparameters</t>
  </si>
  <si>
    <t>PTDL_ENSEMBLE_MODEL</t>
  </si>
  <si>
    <t>Ensemble các model</t>
  </si>
  <si>
    <t>Đo performance model lần cuối trên test set</t>
  </si>
  <si>
    <t>Trình bày kết quả model</t>
  </si>
  <si>
    <t>PTDL_DONGBO_DULIEU1</t>
  </si>
  <si>
    <t>Đồng bộ dữ liệu đơn giản</t>
  </si>
  <si>
    <t>&lt; 10 trường thông tin hoặc dung lượng &lt; 1GB  hoặc &lt;= 2 nguồn</t>
  </si>
  <si>
    <t>PTDL_DONGBO_DULIEU2</t>
  </si>
  <si>
    <t>Đồng bộ dữ liệu trung bình</t>
  </si>
  <si>
    <t>10-30 trường thông tin hoặc dung lượng từ 1-3GB hoặc từ 2 -5 nguồn</t>
  </si>
  <si>
    <t>PTDL_DONGBO_DULIEU3</t>
  </si>
  <si>
    <t>Đồng bộ dữ liệu phức tạp</t>
  </si>
  <si>
    <t>&gt; 30 trường thông tin hoặc dung lượng &gt;3GB hoặc từ 5 nguồn trở lên</t>
  </si>
  <si>
    <t>PTDL_TONGHOP_FEATURE1</t>
  </si>
  <si>
    <t>Tổng hợp dữ liệu nhỏ</t>
  </si>
  <si>
    <t>&lt; 5 trường thông tin hoặc dung lượng &lt; 1GB hoặc &lt;= 1 bước</t>
  </si>
  <si>
    <t>PTDL_TONGHOP_FEATURE2</t>
  </si>
  <si>
    <t>Tổng hợp dữ liệu đơn giản</t>
  </si>
  <si>
    <t>&lt; 10 trường thông tin hoặc dung lượng &lt; 1GB hoặc &lt;= 2 bước</t>
  </si>
  <si>
    <t>Tổng hợp dữ liệu trung bình</t>
  </si>
  <si>
    <t>10-30 trường thông tin hoặc dung lượng từ 1-3GB hoặc từ 2 -5 bước</t>
  </si>
  <si>
    <t>PTDL_TONGHOP_FEATURE4</t>
  </si>
  <si>
    <t>Tổng hợp dữ liệu phức tạp</t>
  </si>
  <si>
    <t>&gt; 30 trường thông tin hoặc dung lượng &gt;3GB hoặc từ 5 bước trở lên</t>
  </si>
  <si>
    <t>PTDL_KHS1</t>
  </si>
  <si>
    <t xml:space="preserve">Đánh giá kết quả sprint trước và lên kế hoạch sprint tiếp theo </t>
  </si>
  <si>
    <t>Số lượng use-case: 1 use-case hoặc &lt;3 nhân sự</t>
  </si>
  <si>
    <t>PTDL_KHS2</t>
  </si>
  <si>
    <t>Số lượng use-case: 2 use-case hoặc &gt;=3 và &lt;5 nhân sự</t>
  </si>
  <si>
    <t>PTDL_KHS3</t>
  </si>
  <si>
    <t>Số lượng use-case: &gt;3 use-case hoặc &gt;=5 nhân sự</t>
  </si>
  <si>
    <t>PTDL_ĐPRS1</t>
  </si>
  <si>
    <t>Điều phối và rà soát công việc hằng ngày</t>
  </si>
  <si>
    <t>PTDL_ĐPRS2</t>
  </si>
  <si>
    <t>PTDL_ĐPRS3</t>
  </si>
  <si>
    <t>PTDL_HOP</t>
  </si>
  <si>
    <t>Họp weekly meeting/monthly meeting với đội dự án, với BGĐ</t>
  </si>
  <si>
    <t>PTDL_TGUC1</t>
  </si>
  <si>
    <t>Phối hợp thực hiện tham gia upcode đơn giản</t>
  </si>
  <si>
    <t>Số lượng luồng cần phối hợp: 1 luồng</t>
  </si>
  <si>
    <t>PTDL_TGUC2</t>
  </si>
  <si>
    <t>Phối hợp thực hiện tham gia upcode trung bình</t>
  </si>
  <si>
    <t>Số lượng luồng cần thống nhất: 1 &lt; luồng &lt;=3</t>
  </si>
  <si>
    <t>PTDL_TGUC3</t>
  </si>
  <si>
    <t>Phối hợp thực hiện tham gia upcode phức tạp</t>
  </si>
  <si>
    <t>Số lượng luồng cần thống nhất:  3 &lt; luồng</t>
  </si>
  <si>
    <t>PTDL_NTUC1</t>
  </si>
  <si>
    <t>Nghiệp thu luồng upcode đơn giản</t>
  </si>
  <si>
    <t>PTDL_NTUC2</t>
  </si>
  <si>
    <t>Nghiệp thu luồng upcode trung bình</t>
  </si>
  <si>
    <t>PTDL_NTUC3</t>
  </si>
  <si>
    <t>Nghiệp thu luồng upcode phức tạp</t>
  </si>
  <si>
    <t>PTDL_XDTC1</t>
  </si>
  <si>
    <t>Xây dựng test case đơn giản</t>
  </si>
  <si>
    <t>Số lượng test-case cần xây dưng: 3 test-cases</t>
  </si>
  <si>
    <t>PTDL_XDTC2</t>
  </si>
  <si>
    <t>Xây dựng test case trung bình</t>
  </si>
  <si>
    <t>Số lượng test-case cần xây dưng: &lt;3 test-cases &lt;=10</t>
  </si>
  <si>
    <t>PTDL_XDTC3</t>
  </si>
  <si>
    <t>Xây dựng test case phức tạp</t>
  </si>
  <si>
    <t>Số lượng test-case cần xây dưng: 10 test-cases</t>
  </si>
  <si>
    <t>Chuẩn bị và xây dựng các tài liệu liên quan</t>
  </si>
  <si>
    <t>PTDL_SLBC1</t>
  </si>
  <si>
    <t>Chuẩn bị slide báo cáo kết quả đơn giản</t>
  </si>
  <si>
    <t>Số lượng giả thuyết: 3 giả thuyết</t>
  </si>
  <si>
    <t>PTDL_SLBC2</t>
  </si>
  <si>
    <t>Chuẩn bị slide báo cáo kết quả trung bình</t>
  </si>
  <si>
    <t>Số lượng giả thuyết:  3 &lt; giả thuyết &lt;=5 hoặc báo cáo tuần</t>
  </si>
  <si>
    <t>PTDL_SLBC3</t>
  </si>
  <si>
    <t>Chuẩn bị slide báo cáo kết quả phức tạp</t>
  </si>
  <si>
    <t>Số lượng giả thuyết: &gt;5 giả thuyết hoặc báo cáo tháng</t>
  </si>
  <si>
    <t>PTDL_NCGP1</t>
  </si>
  <si>
    <t>Nghiên cứu paper, giải pháp bài toán đơn giản</t>
  </si>
  <si>
    <t>Số lượng paper: 1 paper</t>
  </si>
  <si>
    <t>PTDL_NCGP2</t>
  </si>
  <si>
    <t>Nghiên cứu paper, giải pháp bài toán trung bình</t>
  </si>
  <si>
    <t>Số lượng paper: 1 &lt; paper &lt;=3</t>
  </si>
  <si>
    <t>PTDL_NCGP3</t>
  </si>
  <si>
    <t>Nghiên cứu paper, giải pháp bài toán phức tạp</t>
  </si>
  <si>
    <t>Số lượng paper:  3 &lt; paper</t>
  </si>
  <si>
    <t>PHỤ LỤC 1.2
DANH SÁCH LOẠI CÔNG VIỆC</t>
  </si>
  <si>
    <t>Hoạt động chính</t>
  </si>
  <si>
    <t>Role</t>
  </si>
  <si>
    <t>Tài liệu</t>
  </si>
  <si>
    <t>Tiếp nhận YC PTDL</t>
  </si>
  <si>
    <t>Gửi PYC ứng dụng PTDL vào hoạt động SXKD</t>
  </si>
  <si>
    <t>ĐVYC</t>
  </si>
  <si>
    <t>PYC trên IBM và BM21 đính kèm</t>
  </si>
  <si>
    <t>II</t>
  </si>
  <si>
    <t>Quy trình campaign execution</t>
  </si>
  <si>
    <t>Lựa chọn use case triển khai</t>
  </si>
  <si>
    <t>Khảo sát nghiệp vụ bài toán</t>
  </si>
  <si>
    <t>BA</t>
  </si>
  <si>
    <t>Tài liệu khảo sát nghiệp vụ bài toán (BM01)</t>
  </si>
  <si>
    <t>Khảo sát dữ liệu</t>
  </si>
  <si>
    <t>DE</t>
  </si>
  <si>
    <t>Tài liệu mô tả hiện trạng dữ liệu (BM02)</t>
  </si>
  <si>
    <t>Đánh giá tiềm năng use-case</t>
  </si>
  <si>
    <t>Tài liệu đề xuất các use-case phù hợp (BM03)</t>
  </si>
  <si>
    <t>Lựa chọn use-case triển khai</t>
  </si>
  <si>
    <t>BO</t>
  </si>
  <si>
    <t>Thống nhất giải pháp tổng thể</t>
  </si>
  <si>
    <t>Đồng bộ dữ liệu phục vụ phân tích</t>
  </si>
  <si>
    <t>Tài liệu thiết kế CSDL và luồng đồng bộ (BM09)</t>
  </si>
  <si>
    <t>Đề xuất giải pháp xây dựng model</t>
  </si>
  <si>
    <t>DS</t>
  </si>
  <si>
    <t>Tài liệu đề xuất giải pháp xây dựng model (BM04)</t>
  </si>
  <si>
    <t>Thống nhất giải pháp xây dựng model</t>
  </si>
  <si>
    <t>Tài liệu giải pháp, kế hoạch tổng thể (BM05)</t>
  </si>
  <si>
    <t>Phê duyệt giải pháp. Kế hoạch tổng thể</t>
  </si>
  <si>
    <t>Xây dựng / tối ưu model</t>
  </si>
  <si>
    <t>Tài liệu giải pháp, kết quả model (BM06a, BM06b)</t>
  </si>
  <si>
    <t>Lập kế hoạch tác động</t>
  </si>
  <si>
    <t>Xây dựng kịch bản tác động</t>
  </si>
  <si>
    <t>Tài liệu kịch bản tác động (BM07)</t>
  </si>
  <si>
    <t>Thẩm định kịch bản tác động về tính khả thi</t>
  </si>
  <si>
    <t>SO</t>
  </si>
  <si>
    <t>Mail xác nhận kịch bản tác động khả thi</t>
  </si>
  <si>
    <t>Phê duyệt kịch bản tác động, PYC thực hiện tác động</t>
  </si>
  <si>
    <t>Triển khai tác động</t>
  </si>
  <si>
    <t>Script / dashboard đánh giá hiệu quả tác động</t>
  </si>
  <si>
    <t>Logic blacklist</t>
  </si>
  <si>
    <t>Danh sách các tập triển khai tác động</t>
  </si>
  <si>
    <t>Danh sách các tập triển khai tác động, đã check tính đại diện</t>
  </si>
  <si>
    <t>Thực hiện tác động</t>
  </si>
  <si>
    <t>Các tập được triển khai tác động</t>
  </si>
  <si>
    <t>Mail báo cáo theo dõi quá trình triển khai</t>
  </si>
  <si>
    <t>Đánh giá kết quả tác động</t>
  </si>
  <si>
    <t>Đánh giá hiệu quả tác động</t>
  </si>
  <si>
    <t>Tài liệu đánh giá kết quả tác động (BM08)</t>
  </si>
  <si>
    <t>Phê duyệt bước tiếp theo của use case</t>
  </si>
  <si>
    <t>Tài liệu đánh giá kết quả tác động (đã ký duyệt) và kế hoạch tiếp theo</t>
  </si>
  <si>
    <t>Triển khai production</t>
  </si>
  <si>
    <t>Triển khai luồng chạy định kỳ</t>
  </si>
  <si>
    <t>Luồng tổng hợp dữ liệu, dự đoán, tác động và đánh giá kết quả được triển khai định kỳ</t>
  </si>
  <si>
    <t>III</t>
  </si>
  <si>
    <t>Quy trình build model</t>
  </si>
  <si>
    <t>Phân chia tập dữ liệu</t>
  </si>
  <si>
    <t>Kiểm tra sơ bộ dữ liệu</t>
  </si>
  <si>
    <t>Tài liệu mô tả đặc tính dữ liệu (BM11) + Dataset được load lên df</t>
  </si>
  <si>
    <t>Chia tập test set</t>
  </si>
  <si>
    <t>Tài liệu giải pháp xây dựng model (BM06a)
Tập test set được tách riêng, lưu trên HDFS / local disk của server chạy notebook
Code split tập test set</t>
  </si>
  <si>
    <t>Khám phá dữ liệu để có tri thức về bài toán</t>
  </si>
  <si>
    <t>Tài liệu mô tả đặc tính dữ liệu (BM11)</t>
  </si>
  <si>
    <t>Visualize dữ liệu</t>
  </si>
  <si>
    <t>Xây dựng / bổ sung giả thuyết</t>
  </si>
  <si>
    <t>Danh sách giả thuyết, các feature liên quan (BM12)</t>
  </si>
  <si>
    <t>Bổ sung dữ liệu</t>
  </si>
  <si>
    <t>Tập data set được bổ sung các feature theo giả thuyết
Luồng ETL tổng hợp các feature bổ sung (BM10)</t>
  </si>
  <si>
    <t>Chuẩn bị dữ liệu phù hợp với các thuật toán ML</t>
  </si>
  <si>
    <t>Xử lý outlier</t>
  </si>
  <si>
    <t>Tài liệu giải pháp xây dựng model (BM06a)
Code xử lý outlier</t>
  </si>
  <si>
    <t>Xử lý giá trị null</t>
  </si>
  <si>
    <t>Tài liệu giải pháp xây dựng model (BM06a)
Code xử lý null</t>
  </si>
  <si>
    <t>Lựa chọn feature</t>
  </si>
  <si>
    <t>Tài liệu giải pháp xây dựng model (BM06a)
Code xử lý lựa chọn feature</t>
  </si>
  <si>
    <t>Tài liệu giải pháp xây dựng model (BM06a)
Code thực hiện feature engineering</t>
  </si>
  <si>
    <t>Thử nghiệm tìm nhóm thuật toán tốt nhất</t>
  </si>
  <si>
    <t>Training các model base</t>
  </si>
  <si>
    <t>Tài liệu giải pháp xây dựng model (BM06a)
Tài liệu model tracking (BM06b)
Code training model
Các file model sinh ra sau khi train</t>
  </si>
  <si>
    <t>Phân tích kết quả dự đoán của các model base</t>
  </si>
  <si>
    <t>Tài liệu giải pháp xây dựng model (BM06a)</t>
  </si>
  <si>
    <t>Sử dụng kết quả dự đoán để cải thiện model</t>
  </si>
  <si>
    <t>Chọn ra 3-5 thuật toán phù hợp nhất</t>
  </si>
  <si>
    <t>Fine-tune và kết hợp model</t>
  </si>
  <si>
    <t>Thực hiện ensemble</t>
  </si>
  <si>
    <t>Tài liệu giải pháp xây dựng model (BM06a)
Tài liệu model tracking (BM06b)
Code ensemble model
File model ensemble</t>
  </si>
  <si>
    <t>Tài liệu giải pháp xây dựng model (BM06a)
Tài liệu model tracking (BM06b)</t>
  </si>
  <si>
    <t>Đánh giá nghiệm thu kết quả model</t>
  </si>
  <si>
    <t>Slide báo cáo kết quả model</t>
  </si>
  <si>
    <t>Nghiệm thu kết quả model</t>
  </si>
  <si>
    <t>Mail đồng ý nghiệm thu</t>
  </si>
  <si>
    <t>Triển khai, giảm sát và bảo trì hệ thống</t>
  </si>
  <si>
    <t>Triển khai tích hợp model vào luồng nghiệp vụ</t>
  </si>
  <si>
    <t>Luồng ETL tích hợp model</t>
  </si>
  <si>
    <t>Đặt các mốc giám sát năng lực của hệ thống (model) định kỳ và có cảnh báo khi năng lực suy giảm</t>
  </si>
  <si>
    <t>Đặt lịch train lại model với dữ liệu mới định kỳ (tự động hóa nhiều nhất có thể)</t>
  </si>
  <si>
    <t>PHỤ LỤC 1.3
 CỞ SỞ DỮ LIỆU CHỨC NĂNG</t>
  </si>
  <si>
    <t>Step trong quy trình</t>
  </si>
  <si>
    <t>Loại công việc</t>
  </si>
  <si>
    <t>Nhom cong  viec</t>
  </si>
  <si>
    <t>Tổng nỗ lực thực hiện (mandays)</t>
  </si>
  <si>
    <t xml:space="preserve">Khảo sát nghiệp vụ bài toán </t>
  </si>
  <si>
    <t>Đánh giá tiềm năng usecase</t>
  </si>
  <si>
    <t>Đồng bộ dữ liệu</t>
  </si>
  <si>
    <t>Tổng hợp features</t>
  </si>
  <si>
    <t>Lên kế hoạch sprint</t>
  </si>
  <si>
    <t>Điều phối và rà soát công việc trong team</t>
  </si>
  <si>
    <t>Họp dự án/ họp thống nhất giải pháp/Họp triển khai …</t>
  </si>
  <si>
    <t>Tham gia upcode</t>
  </si>
  <si>
    <t>Nghiệm thu luồng upcode</t>
  </si>
  <si>
    <t>Viết và xây dựng test-case</t>
  </si>
  <si>
    <t>Chuẩn bị tài liệu upcode/ tài liệu giải pháp/ tài liệu theo BM</t>
  </si>
  <si>
    <t>Chuẩn bị slide báo cáo kết quả</t>
  </si>
  <si>
    <t>Nghiên cứu paper, giải pháp bài toán</t>
  </si>
  <si>
    <t>Tỷ lệ phân bổ nguồn lực dự án web</t>
  </si>
  <si>
    <t>Tỷ lệ (%)</t>
  </si>
  <si>
    <t>Có thực hiện?</t>
  </si>
  <si>
    <t>Quản trị dự án</t>
  </si>
  <si>
    <t>Nỗ lực cho hoạt động QTDA (lập kế hoạch, kiểm soát tiến độ, chất lượng, báo cáo, họp định kỳ, họp khởi động, họp kết thúc, họp milestone…)</t>
  </si>
  <si>
    <t>Phân tích</t>
  </si>
  <si>
    <t>Nỗ lực cho các hoạt động khảo sát, tạo và xem xét các tài liệu phân tích, Prototype và thống nhất với khách hàng và đơn vị VHKT</t>
  </si>
  <si>
    <t>Thiết kế</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</si>
  <si>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</si>
  <si>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</si>
  <si>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</si>
  <si>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</si>
  <si>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</si>
  <si>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</si>
  <si>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</si>
  <si>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</si>
  <si>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 Chức năng và phi chức năng)</t>
  </si>
  <si>
    <t xml:space="preserve"> </t>
  </si>
  <si>
    <t>2. Chi tiết các bước thực hiện ước lượng nỗ lực thực hiện phần mềm</t>
  </si>
  <si>
    <t xml:space="preserve">Bước 1 </t>
  </si>
  <si>
    <t>Xác định quy mô và phạm vi bài toán thực hiện</t>
  </si>
  <si>
    <t>Bước 2</t>
  </si>
  <si>
    <r>
      <t xml:space="preserve">- Liệt kê các chức năng của hệ thống vào sheet NL Chuc nang </t>
    </r>
    <r>
      <rPr>
        <sz val="12"/>
        <color indexed="10"/>
        <rFont val="Times New Roman"/>
        <family val="1"/>
      </rPr>
      <t>tại cột "Tên chức năng" và cột "Mô tả chức năng"</t>
    </r>
    <r>
      <rPr>
        <sz val="12"/>
        <rFont val="Times New Roman"/>
        <family val="1"/>
      </rPr>
      <t xml:space="preserve">
</t>
    </r>
  </si>
  <si>
    <t>Bước 3</t>
  </si>
  <si>
    <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indexed="10"/>
        <rFont val="Times New Roman"/>
        <family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</si>
  <si>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</si>
  <si>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t xml:space="preserve">Căn cứ vào CSDL phi chức năng liệt kê các yêu cầu phi chức </t>
    </r>
    <r>
      <rPr>
        <sz val="12"/>
        <color indexed="10"/>
        <rFont val="Times New Roman"/>
        <family val="1"/>
      </rPr>
      <t xml:space="preserve">năng cần thực hiện vào sheet NL phi chức năng.
</t>
    </r>
    <r>
      <rPr>
        <i/>
        <sz val="12"/>
        <color indexed="10"/>
        <rFont val="Times New Roman"/>
        <family val="1"/>
      </rPr>
      <t>Ghi chú: Trong quá trình thực hiện cho phép điều chỉnh nguồn lực sai số +/- 10%</t>
    </r>
  </si>
  <si>
    <t>Bước 5</t>
  </si>
  <si>
    <t>Dữ liệu sẽ tự tính toán hiện thị tại sheet "Tổng hơp". Dự án muốn hiện chi tiết dữ liệu nào có thể tự điều chỉnh để hiển thị.</t>
  </si>
  <si>
    <t>HƯỚNG DẪN ƯỚC LƯỢNG NỖ LỰC TÁI SỬ DỤNG  PHẦN MỀM</t>
  </si>
  <si>
    <r>
      <t xml:space="preserve">1. Mục đích, cách thức: </t>
    </r>
    <r>
      <rPr>
        <i/>
        <sz val="14"/>
        <rFont val="Times New Roman"/>
        <family val="1"/>
      </rPr>
      <t>Đánh giá khả năng tái sử dụng của hệ thống để đưa ra ULNL chuẩn.</t>
    </r>
  </si>
  <si>
    <t>2. Bảng hướng dẫn thời điểm thực hiện đánh giá khả năng tái sử dụng</t>
  </si>
  <si>
    <t>Thời điểm thực hiện</t>
  </si>
  <si>
    <t>Tài liệu đầu vào</t>
  </si>
  <si>
    <t>Biểu mẫu thực hiện</t>
  </si>
  <si>
    <t xml:space="preserve">Trong giai đoạn Khảo sát sơ bộ, tìm hiểu yêu cầu kĩ thuật, nghiệp vụ của hệ thống
</t>
  </si>
  <si>
    <t>Khảo sát sơ bộ</t>
  </si>
  <si>
    <t>Biểu mẫu ước lượng nỗ lực.</t>
  </si>
  <si>
    <t>Tài liệu kỹ thuật, nghiệp vụ của hệ thống</t>
  </si>
  <si>
    <t>Biểu mẫu ước lượng nỗ lực</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</si>
  <si>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</si>
  <si>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</si>
  <si>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</si>
  <si>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</si>
  <si>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</si>
  <si>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</si>
  <si>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</si>
  <si>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QTDA</t>
  </si>
  <si>
    <t>tạo PTYC</t>
  </si>
  <si>
    <t>TKCSDL</t>
  </si>
  <si>
    <t>TKCT</t>
  </si>
  <si>
    <t>Lập trình</t>
  </si>
  <si>
    <t>viết Unit test</t>
  </si>
  <si>
    <t>viết kịch bản kiểm thử</t>
  </si>
  <si>
    <t>kiểm thử</t>
  </si>
  <si>
    <t>viết HDSD</t>
  </si>
  <si>
    <t>viết kịch bản kiểm thử tự động</t>
  </si>
  <si>
    <t>Cấu hình tổng hợp ETL</t>
  </si>
  <si>
    <t>Design file birt</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</si>
  <si>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</si>
  <si>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</si>
  <si>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</si>
  <si>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</si>
  <si>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</si>
  <si>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</si>
  <si>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</si>
  <si>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</si>
  <si>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</si>
  <si>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</si>
  <si>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</si>
  <si>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</si>
  <si>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</si>
  <si>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</si>
  <si>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</si>
  <si>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</si>
  <si>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</si>
  <si>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</si>
  <si>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</si>
  <si>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</si>
  <si>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</si>
  <si>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</si>
  <si>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</si>
  <si>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</si>
  <si>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</si>
  <si>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</si>
  <si>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</si>
  <si>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</si>
  <si>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</si>
  <si>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</si>
  <si>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</si>
  <si>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</si>
  <si>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</si>
  <si>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</si>
  <si>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</si>
  <si>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</si>
  <si>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</si>
  <si>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</si>
  <si>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</si>
  <si>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</si>
  <si>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</si>
  <si>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</si>
  <si>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</si>
  <si>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</si>
  <si>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</si>
  <si>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</si>
  <si>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</si>
  <si>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</si>
  <si>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</si>
  <si>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</si>
  <si>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</si>
  <si>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</si>
  <si>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</si>
  <si>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</si>
  <si>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</si>
  <si>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</si>
  <si>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</si>
  <si>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</si>
  <si>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</si>
  <si>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</si>
  <si>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</si>
  <si>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</si>
  <si>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</si>
  <si>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</si>
  <si>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</si>
  <si>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</si>
  <si>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</si>
  <si>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</si>
  <si>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</si>
  <si>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</si>
  <si>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</si>
  <si>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</si>
  <si>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</si>
  <si>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</si>
  <si>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</si>
  <si>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</si>
  <si>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</si>
  <si>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</si>
  <si>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</si>
  <si>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</si>
  <si>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</si>
  <si>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</si>
  <si>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</si>
  <si>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</si>
  <si>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</si>
  <si>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</si>
  <si>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</si>
  <si>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</si>
  <si>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</si>
  <si>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</si>
  <si>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</si>
  <si>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</si>
  <si>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</si>
  <si>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</si>
  <si>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</si>
  <si>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</si>
  <si>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</si>
  <si>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</si>
  <si>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</si>
  <si>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</si>
  <si>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</si>
  <si>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</si>
  <si>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</si>
  <si>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</si>
  <si>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</si>
  <si>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</si>
  <si>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</si>
  <si>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</si>
  <si>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</si>
  <si>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</si>
  <si>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</si>
  <si>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</si>
  <si>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</si>
  <si>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</si>
  <si>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</si>
  <si>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</si>
  <si>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</si>
  <si>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</si>
  <si>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</si>
  <si>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</si>
  <si>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</si>
  <si>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</si>
  <si>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</si>
  <si>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</si>
  <si>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</si>
  <si>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</si>
  <si>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</si>
  <si>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</si>
  <si>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</si>
  <si>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</si>
  <si>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</si>
  <si>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</si>
  <si>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</si>
  <si>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</si>
  <si>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</si>
  <si>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</si>
  <si>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</si>
  <si>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</si>
  <si>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</si>
  <si>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</si>
  <si>
    <t>Đánh giá kết quả mô hình trên sample TV360</t>
  </si>
  <si>
    <t>Thống nhất giải pháp cho bài toán Visual QA</t>
  </si>
  <si>
    <t>Phân tích thiếu sót của các kết quả đầu ra, từ đó đưa ra các phương án đề xuất</t>
  </si>
  <si>
    <t>Đề xuất phương án tăng chất lượng đầu ra của mô hình:
- Sử dụng InternVL3 cho mô hình hỏi đáp trên TV360
- Sử dụng Qwen2VL cho mô hình hỏi đáp trên TV360
- Xây dựng module phân loại ý định
- Xây dựng cơ sở dữ liệu tham chiếu</t>
  </si>
  <si>
    <t>Đề xuất giải pháp sử dụng 5CD-AI/Vietnamese-Sentiment-visobert cho module phân loại ý định</t>
  </si>
  <si>
    <t>Xây dựng mô hình dịch các câu hỏi từ bộ dữ liệu mẫu sang tiếng việt sử dụng Qwen3-1.7B</t>
  </si>
  <si>
    <t>Xây dựng bộ dữ liệu các câu hỏi với 3 nhãn VIDEO_QA, VISUAL_QA và METADATA_QA</t>
  </si>
  <si>
    <t>Xây dựng mô hình phân loại ý định</t>
  </si>
  <si>
    <t>Tinh chỉnh tham số về warm-up steps</t>
  </si>
  <si>
    <t>Tinh chỉnh tham số về learning rate</t>
  </si>
  <si>
    <t>Tinh chỉnh tham số về weight_decay</t>
  </si>
  <si>
    <t>Đánh giá kết quả trên dữ liệu mẫu</t>
  </si>
  <si>
    <t>Đề xuất giải pháp trích xuất khuôn mặt các nhân vật được đề cập trong phim</t>
  </si>
  <si>
    <t>Đề xuất giải pháp trích xuất khuôn mặt các nhân vật được đề cập trong phim
- NER để nhân diện từ transcribe
- Mô hình OD để nhận diện người
- InsightFace để trích xuất embedding từ ảnh</t>
  </si>
  <si>
    <t>Xây dựng mô hình NER nhận diện thực thể</t>
  </si>
  <si>
    <t>Đánh giá kết quả trên dữ liệu sample TV360</t>
  </si>
  <si>
    <t>Xây dựng module tổng quan trích xuất và nhận diện thông tin nhân vật</t>
  </si>
  <si>
    <t>Xây dựng mô hình Qwen2VL cho tác vụ VQA</t>
  </si>
  <si>
    <t>Chạy mô hình Qwen2VL với prompting 1 cho dữ liệu VQA</t>
  </si>
  <si>
    <t>Chạy mô hình Qwen2VL với prompting 2 cho dữ liệu VQA</t>
  </si>
  <si>
    <t>Chạy mô hình Qwen2VL với prompting 3 cho dữ liệu VQA</t>
  </si>
  <si>
    <t>Chạy mô hình Qwen2VL với prompting 4 cho dữ liệu VQA</t>
  </si>
  <si>
    <t>Đánh giá kết quả mô hình Qwen2VL với prompting 4 cho dữ liệu VQA</t>
  </si>
  <si>
    <t>Visualize kết quả mô hình Qwen2VL với prompting 4 cho dữ liệu VQA</t>
  </si>
  <si>
    <t>Visualize kết quả mô hình trên sample TV360</t>
  </si>
  <si>
    <t>Xây dựng mô hình InternVL3 cho tác vụ VQA</t>
  </si>
  <si>
    <t>Chạy mô hình InternVL3 với prompting 1 cho dữ liệu VQA</t>
  </si>
  <si>
    <t>Chạy mô hình InternVL3 với prompting 2 cho dữ liệu VQA</t>
  </si>
  <si>
    <t>Chạy mô hình InternVL3 với prompting 3 cho dữ liệu VQA</t>
  </si>
  <si>
    <t>Chạy mô hình InternVL3 với prompting 4 cho dữ liệu VQA</t>
  </si>
  <si>
    <t>Đánh giá kết quả mô hình InternVL3 với prompting 4 cho dữ liệu VQA</t>
  </si>
  <si>
    <t>Visualize kết quả mô hình InternVL3 với prompting 4 cho dữ liệu VQA</t>
  </si>
  <si>
    <t>Thống nhất giải pháp cho bài toán Visual QA:
- Sử dụng module phân loại ý định
- Sử dụng InsightFace để trích xuất thông tin thực thể
- Sử dụng Qwen2VL cho VQA
- Sử dụng InternVL3 cho VQA</t>
  </si>
  <si>
    <t>Xây dựng mô hình OD để trích xuất boundingbox người</t>
  </si>
  <si>
    <t>Tinh chỉnh đầu ra của NER</t>
  </si>
  <si>
    <t>Tinh chỉnh đầu ra của NER gồm PERSON, ORG</t>
  </si>
  <si>
    <t>Tinh chỉnh mô hình backbone</t>
  </si>
  <si>
    <t>Tinh chỉnh frame selection cho tối ưu trích xuất boundingbox</t>
  </si>
  <si>
    <t>Tinh chỉnh kích thước đầu vào</t>
  </si>
  <si>
    <t>- Cơ sở dữ liệu tham chiếu dùng Insight Face
- Module phân loại ý định dùng 5CD-AI/Vietnamese-Sentiment-visobert model
- Các mô hình VLM dưới 3B tham số</t>
  </si>
  <si>
    <t>Intention Detection</t>
  </si>
  <si>
    <t>InsightFace</t>
  </si>
  <si>
    <t>Qwen2VL</t>
  </si>
  <si>
    <t>InternVL3</t>
  </si>
  <si>
    <t>Chạy mô hình Qwen2VL với tham số topk cho dữ liệu VQA</t>
  </si>
  <si>
    <t>Chạy mô hình Qwen2VL với tham số top p cho dữ liệu VQA</t>
  </si>
  <si>
    <t>Chạy mô hình Qwen2VL với tham số temperature cho dữ liệu VQA</t>
  </si>
  <si>
    <t>Chạy mô hình InternVL3 với tham số temperature cho dữ liệu VQA</t>
  </si>
  <si>
    <t>Chạy mô hình InternVL3 với tham số top p cho dữ liệu VQA</t>
  </si>
  <si>
    <t>Chạy mô hình InternVL3 với tham số top k cho dữ liệu VQA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</si>
</sst>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_-;\-* #,##0_-;_-* &quot;-&quot;_-;_-@_-"/>
    <numFmt numFmtId="165" formatCode="_-* #,##0.00_-;\-* #,##0.00_-;_-* &quot;-&quot;??_-;_-@_-"/>
    <numFmt numFmtId="166" formatCode="[$-409]d\-mmm\-yy;@"/>
    <numFmt numFmtId="167" formatCode="0.0%"/>
    <numFmt numFmtId="168" formatCode="\$#,##0\ ;\(\$#,##0\)"/>
    <numFmt numFmtId="169" formatCode="#,##0\ &quot;DM&quot;;\-#,##0\ &quot;DM&quot;"/>
    <numFmt numFmtId="170" formatCode="0.000%"/>
    <numFmt numFmtId="171" formatCode="&quot;￥&quot;#,##0;&quot;￥&quot;\-#,##0"/>
    <numFmt numFmtId="172" formatCode="00.000"/>
    <numFmt numFmtId="173" formatCode="_-&quot;$&quot;* #,##0_-;\-&quot;$&quot;* #,##0_-;_-&quot;$&quot;* &quot;-&quot;_-;_-@_-"/>
    <numFmt numFmtId="174" formatCode="_-&quot;$&quot;* #,##0.00_-;\-&quot;$&quot;* #,##0.00_-;_-&quot;$&quot;* &quot;-&quot;??_-;_-@_-"/>
  </numFmts>
  <fonts count="85">
    <font>
      <sz val="10"/>
      <name val="Arial"/>
    </font>
    <font>
      <sz val="10"/>
      <name val="Arial"/>
      <family val="2"/>
    </font>
    <font>
      <u/>
      <sz val="10"/>
      <color indexed="12"/>
      <name val="Arial"/>
      <family val="2"/>
    </font>
    <font>
      <sz val="10"/>
      <name val="Arial"/>
      <family val="2"/>
    </font>
    <font>
      <sz val="12"/>
      <name val="Times New Roman"/>
      <family val="1"/>
    </font>
    <font>
      <b/>
      <sz val="12"/>
      <name val="Times New Roman"/>
      <family val="1"/>
    </font>
    <font>
      <b/>
      <sz val="14"/>
      <name val="Times New Roman"/>
      <family val="1"/>
    </font>
    <font>
      <b/>
      <sz val="16"/>
      <color indexed="12"/>
      <name val="Times New Roman"/>
      <family val="1"/>
    </font>
    <font>
      <b/>
      <i/>
      <sz val="12"/>
      <name val="Times New Roman"/>
      <family val="1"/>
    </font>
    <font>
      <i/>
      <sz val="11"/>
      <color indexed="12"/>
      <name val="Times New Roman"/>
      <family val="1"/>
    </font>
    <font>
      <b/>
      <sz val="10"/>
      <name val="Arial"/>
      <family val="2"/>
    </font>
    <font>
      <sz val="8"/>
      <color indexed="81"/>
      <name val="Tahoma"/>
      <family val="2"/>
    </font>
    <font>
      <b/>
      <sz val="8"/>
      <color indexed="81"/>
      <name val="Tahoma"/>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sz val="10"/>
      <name val="Times New Roman"/>
      <family val="1"/>
    </font>
    <font>
      <sz val="14"/>
      <name val="Times New Roman"/>
      <family val="1"/>
    </font>
    <font>
      <sz val="18"/>
      <name val="Times New Roman"/>
      <family val="1"/>
    </font>
    <font>
      <b/>
      <sz val="24"/>
      <name val="Times New Roman"/>
      <family val="1"/>
    </font>
    <font>
      <b/>
      <sz val="22"/>
      <name val="Times New Roman"/>
      <family val="1"/>
    </font>
    <font>
      <i/>
      <sz val="12"/>
      <color indexed="12"/>
      <name val="Times New Roman"/>
      <family val="1"/>
    </font>
    <font>
      <b/>
      <sz val="12"/>
      <color indexed="16"/>
      <name val="Times New Roman"/>
      <family val="1"/>
    </font>
    <font>
      <i/>
      <sz val="12"/>
      <name val="Times New Roman"/>
      <family val="1"/>
    </font>
    <font>
      <b/>
      <i/>
      <sz val="15"/>
      <name val="Times New Roman"/>
      <family val="1"/>
    </font>
    <font>
      <sz val="10"/>
      <name val="Arial"/>
      <family val="2"/>
    </font>
    <font>
      <sz val="10"/>
      <color indexed="8"/>
      <name val="Times New Roman"/>
      <family val="1"/>
    </font>
    <font>
      <sz val="15"/>
      <color indexed="8"/>
      <name val="Times New Roman"/>
      <family val="1"/>
    </font>
    <font>
      <b/>
      <sz val="15"/>
      <color indexed="8"/>
      <name val="Times New Roman"/>
      <family val="1"/>
    </font>
    <font>
      <b/>
      <i/>
      <sz val="10"/>
      <name val="Arial"/>
      <family val="2"/>
    </font>
    <font>
      <b/>
      <sz val="14"/>
      <color indexed="12"/>
      <name val="Times New Roman"/>
      <family val="1"/>
    </font>
    <font>
      <sz val="12.5"/>
      <name val="Times New Roman"/>
      <family val="1"/>
    </font>
    <font>
      <b/>
      <i/>
      <sz val="14"/>
      <name val="Times New Roman"/>
      <family val="1"/>
    </font>
    <font>
      <u/>
      <sz val="12"/>
      <name val="Times New Roman"/>
      <family val="1"/>
    </font>
    <font>
      <b/>
      <sz val="15"/>
      <name val="Times New Roman"/>
      <family val="1"/>
    </font>
    <font>
      <b/>
      <sz val="16"/>
      <name val="Times New Roman"/>
      <family val="1"/>
    </font>
    <font>
      <i/>
      <sz val="11"/>
      <name val="Times New Roman"/>
      <family val="1"/>
    </font>
    <font>
      <sz val="10"/>
      <name val="Arial"/>
      <family val="2"/>
      <charset val="163"/>
    </font>
    <font>
      <b/>
      <sz val="10"/>
      <name val="Times New Roman"/>
      <family val="1"/>
    </font>
    <font>
      <sz val="10"/>
      <name val="Arial"/>
      <family val="2"/>
    </font>
    <font>
      <sz val="12"/>
      <color indexed="10"/>
      <name val="Times New Roman"/>
      <family val="1"/>
    </font>
    <font>
      <i/>
      <sz val="14"/>
      <name val="Times New Roman"/>
      <family val="1"/>
    </font>
    <font>
      <sz val="13"/>
      <name val="Times New Roman"/>
      <family val="1"/>
    </font>
    <font>
      <b/>
      <sz val="13"/>
      <name val="Times New Roman"/>
      <family val="1"/>
    </font>
    <font>
      <sz val="11"/>
      <name val="Times New Roman"/>
      <family val="1"/>
    </font>
    <font>
      <i/>
      <sz val="12"/>
      <color indexed="10"/>
      <name val="Times New Roman"/>
      <family val="1"/>
    </font>
    <font>
      <b/>
      <i/>
      <sz val="11"/>
      <name val="Times New Roman"/>
      <family val="1"/>
    </font>
    <font>
      <sz val="11"/>
      <color theme="1"/>
      <name val="Calibri"/>
      <family val="2"/>
      <scheme val="minor"/>
    </font>
    <font>
      <b/>
      <sz val="11"/>
      <color theme="0"/>
      <name val="Calibri"/>
      <family val="2"/>
      <scheme val="minor"/>
    </font>
    <font>
      <u/>
      <sz val="10"/>
      <color theme="10"/>
      <name val="Arial"/>
      <family val="2"/>
    </font>
    <font>
      <b/>
      <sz val="15"/>
      <color theme="1"/>
      <name val="Times New Roman"/>
      <family val="1"/>
    </font>
    <font>
      <sz val="12"/>
      <color theme="1"/>
      <name val="Times New Roman"/>
      <family val="1"/>
    </font>
    <font>
      <b/>
      <sz val="12"/>
      <color theme="1"/>
      <name val="Times New Roman"/>
      <family val="1"/>
    </font>
    <font>
      <b/>
      <sz val="13"/>
      <color theme="1"/>
      <name val="Times New Roman"/>
      <family val="1"/>
    </font>
    <font>
      <b/>
      <sz val="15"/>
      <color rgb="FFFF0000"/>
      <name val="Times New Roman"/>
      <family val="1"/>
    </font>
    <font>
      <b/>
      <sz val="12"/>
      <color rgb="FFFF0000"/>
      <name val="Times New Roman"/>
      <family val="1"/>
    </font>
    <font>
      <sz val="15"/>
      <color theme="1"/>
      <name val="Times New Roman"/>
      <family val="1"/>
    </font>
    <font>
      <sz val="10"/>
      <color theme="1"/>
      <name val="Times New Roman"/>
      <family val="1"/>
    </font>
    <font>
      <sz val="12"/>
      <color rgb="FFFF0000"/>
      <name val="Times New Roman"/>
      <family val="1"/>
    </font>
    <font>
      <sz val="12"/>
      <color rgb="FFCCFFCC"/>
      <name val="Times New Roman"/>
      <family val="1"/>
    </font>
    <font>
      <b/>
      <i/>
      <sz val="16"/>
      <color rgb="FF0000FF"/>
      <name val="Times New Roman"/>
      <family val="1"/>
    </font>
    <font>
      <sz val="10"/>
      <color rgb="FFFF0000"/>
      <name val="Arial"/>
      <family val="2"/>
    </font>
    <font>
      <sz val="12"/>
      <color rgb="FF000000"/>
      <name val="Times New Roman"/>
      <family val="1"/>
    </font>
    <font>
      <b/>
      <sz val="12.5"/>
      <color theme="1"/>
      <name val="Times New Roman"/>
      <family val="1"/>
    </font>
    <font>
      <sz val="11"/>
      <color theme="1"/>
      <name val="Times New Roman"/>
      <family val="1"/>
    </font>
    <font>
      <sz val="12.5"/>
      <color theme="1"/>
      <name val="Times New Roman"/>
      <family val="1"/>
    </font>
    <font>
      <b/>
      <i/>
      <sz val="15"/>
      <color rgb="FF0000FF"/>
      <name val="Times New Roman"/>
      <family val="1"/>
    </font>
    <font>
      <b/>
      <sz val="16"/>
      <color rgb="FF0000FF"/>
      <name val="Times New Roman"/>
      <family val="1"/>
    </font>
    <font>
      <i/>
      <sz val="12"/>
      <color rgb="FF0000CC"/>
      <name val="Times New Roman"/>
      <family val="1"/>
    </font>
    <font>
      <sz val="12"/>
      <color rgb="FF0000FF"/>
      <name val="Times New Roman"/>
      <family val="1"/>
    </font>
    <font>
      <b/>
      <sz val="12"/>
      <color rgb="FF0000FF"/>
      <name val="Times New Roman"/>
      <family val="1"/>
    </font>
    <font>
      <b/>
      <sz val="14"/>
      <color rgb="FFFF0000"/>
      <name val="Times New Roman"/>
      <family val="1"/>
    </font>
    <font>
      <i/>
      <sz val="11"/>
      <color rgb="FFFF0000"/>
      <name val="Times New Roman"/>
      <family val="1"/>
    </font>
    <font>
      <sz val="11"/>
      <name val="Calibri"/>
      <family val="2"/>
      <scheme val="minor"/>
    </font>
    <font>
      <b/>
      <sz val="11"/>
      <name val="Calibri"/>
      <family val="2"/>
      <scheme val="minor"/>
    </font>
    <font>
      <b/>
      <i/>
      <sz val="12"/>
      <color rgb="FFFF0000"/>
      <name val="Times New Roman"/>
      <family val="1"/>
    </font>
    <font>
      <sz val="8"/>
      <name val="Arial"/>
      <family val="2"/>
    </font>
    <font>
      <sz val="12"/>
      <name val="Times New Roman"/>
      <charset val="1"/>
    </font>
    <font>
      <i/>
      <sz val="13"/>
      <name val="Times New Roman"/>
      <family val="1"/>
    </font>
    <font>
      <b/>
      <i/>
      <sz val="13"/>
      <name val="Times New Roman"/>
      <family val="1"/>
    </font>
  </fonts>
  <fills count="13">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FF"/>
        <bgColor indexed="64"/>
      </patternFill>
    </fill>
  </fills>
  <borders count="2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bottom style="thin">
        <color rgb="FF000000"/>
      </bottom>
      <diagonal/>
    </border>
    <border>
      <left style="thin">
        <color rgb="FFCCCCCC"/>
      </left>
      <right/>
      <top style="thin">
        <color rgb="FF000000"/>
      </top>
      <bottom style="thin">
        <color rgb="FF000000"/>
      </bottom>
      <diagonal/>
    </border>
    <border>
      <left style="thin">
        <color rgb="FFCCCCCC"/>
      </left>
      <right/>
      <top style="thin">
        <color rgb="FFCCCCCC"/>
      </top>
      <bottom style="thin">
        <color rgb="FF000000"/>
      </bottom>
      <diagonal/>
    </border>
    <border>
      <left style="thin">
        <color rgb="FF000000"/>
      </left>
      <right/>
      <top style="thin">
        <color rgb="FFCCCCCC"/>
      </top>
      <bottom style="thin">
        <color rgb="FF000000"/>
      </bottom>
      <diagonal/>
    </border>
  </borders>
  <cellStyleXfs count="39">
    <xf numFmtId="0" fontId="0" fillId="0" borderId="0"/>
    <xf numFmtId="3" fontId="3" fillId="0" borderId="0" applyFont="0" applyFill="0" applyBorder="0" applyAlignment="0" applyProtection="0"/>
    <xf numFmtId="168"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13" fillId="0" borderId="1" applyNumberFormat="0" applyAlignment="0" applyProtection="0">
      <alignment horizontal="left" vertical="center"/>
    </xf>
    <xf numFmtId="0" fontId="13" fillId="0" borderId="2">
      <alignment horizontal="left" vertical="center"/>
    </xf>
    <xf numFmtId="0" fontId="2"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3" fillId="0" borderId="0"/>
    <xf numFmtId="0" fontId="52" fillId="0" borderId="0"/>
    <xf numFmtId="0" fontId="52" fillId="0" borderId="0"/>
    <xf numFmtId="0" fontId="3" fillId="0" borderId="0"/>
    <xf numFmtId="0" fontId="3" fillId="0" borderId="0"/>
    <xf numFmtId="0" fontId="3" fillId="0" borderId="0"/>
    <xf numFmtId="0" fontId="3" fillId="0" borderId="0"/>
    <xf numFmtId="9" fontId="1"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44" fillId="0" borderId="0" applyFont="0" applyFill="0" applyBorder="0" applyAlignment="0" applyProtection="0"/>
    <xf numFmtId="40" fontId="14" fillId="0" borderId="0" applyFont="0" applyFill="0" applyBorder="0" applyAlignment="0" applyProtection="0"/>
    <xf numFmtId="3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9" fontId="15" fillId="0" borderId="0" applyFont="0" applyFill="0" applyBorder="0" applyAlignment="0" applyProtection="0"/>
    <xf numFmtId="0" fontId="16" fillId="0" borderId="0"/>
    <xf numFmtId="169" fontId="18" fillId="0" borderId="0" applyFont="0" applyFill="0" applyBorder="0" applyAlignment="0" applyProtection="0"/>
    <xf numFmtId="170" fontId="18" fillId="0" borderId="0" applyFont="0" applyFill="0" applyBorder="0" applyAlignment="0" applyProtection="0"/>
    <xf numFmtId="171" fontId="18" fillId="0" borderId="0" applyFont="0" applyFill="0" applyBorder="0" applyAlignment="0" applyProtection="0"/>
    <xf numFmtId="172" fontId="18" fillId="0" borderId="0" applyFont="0" applyFill="0" applyBorder="0" applyAlignment="0" applyProtection="0"/>
    <xf numFmtId="0" fontId="19" fillId="0" borderId="0"/>
    <xf numFmtId="0" fontId="17" fillId="0" borderId="0"/>
    <xf numFmtId="164" fontId="17" fillId="0" borderId="0" applyFont="0" applyFill="0" applyBorder="0" applyAlignment="0" applyProtection="0"/>
    <xf numFmtId="165" fontId="17" fillId="0" borderId="0" applyFont="0" applyFill="0" applyBorder="0" applyAlignment="0" applyProtection="0"/>
    <xf numFmtId="0" fontId="20" fillId="0" borderId="0"/>
    <xf numFmtId="173" fontId="17" fillId="0" borderId="0" applyFont="0" applyFill="0" applyBorder="0" applyAlignment="0" applyProtection="0"/>
    <xf numFmtId="174" fontId="17" fillId="0" borderId="0" applyFont="0" applyFill="0" applyBorder="0" applyAlignment="0" applyProtection="0"/>
    <xf numFmtId="0" fontId="3" fillId="0" borderId="0"/>
  </cellStyleXfs>
  <cellXfs count="427">
    <xf numFmtId="0" fontId="0" fillId="0" borderId="0" xfId="0"/>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5" fillId="3" borderId="3" xfId="0" applyFont="1" applyFill="1" applyBorder="1" applyAlignment="1" applyProtection="1">
      <alignment horizontal="center" vertical="center" wrapText="1"/>
      <protection locked="0"/>
    </xf>
    <xf numFmtId="0" fontId="4" fillId="3" borderId="0" xfId="0" applyFont="1" applyFill="1" applyAlignment="1" applyProtection="1">
      <alignment vertical="center"/>
      <protection locked="0"/>
    </xf>
    <xf numFmtId="0" fontId="9" fillId="3" borderId="0" xfId="0" applyFont="1" applyFill="1" applyAlignment="1" applyProtection="1">
      <alignment horizontal="left" vertical="center"/>
      <protection locked="0"/>
    </xf>
    <xf numFmtId="0" fontId="6" fillId="3" borderId="0" xfId="0" applyFont="1" applyFill="1" applyAlignment="1" applyProtection="1">
      <alignment horizontal="center" vertical="center"/>
      <protection locked="0"/>
    </xf>
    <xf numFmtId="0" fontId="4" fillId="3" borderId="0" xfId="0" applyFont="1" applyFill="1" applyAlignment="1" applyProtection="1">
      <alignment horizontal="center" vertical="center" wrapText="1"/>
      <protection locked="0"/>
    </xf>
    <xf numFmtId="0" fontId="4" fillId="3" borderId="0" xfId="0" applyFont="1" applyFill="1" applyAlignment="1" applyProtection="1">
      <alignment horizontal="center" vertical="center"/>
      <protection locked="0"/>
    </xf>
    <xf numFmtId="0" fontId="4" fillId="3" borderId="0" xfId="0" applyFont="1" applyFill="1" applyAlignment="1" applyProtection="1">
      <alignment vertical="center" wrapText="1"/>
      <protection locked="0"/>
    </xf>
    <xf numFmtId="0" fontId="5" fillId="3" borderId="0" xfId="0" applyFont="1" applyFill="1" applyAlignment="1">
      <alignment horizontal="center" vertical="center"/>
    </xf>
    <xf numFmtId="0" fontId="4" fillId="2" borderId="3"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left" vertical="center" wrapText="1"/>
      <protection locked="0"/>
    </xf>
    <xf numFmtId="0" fontId="5" fillId="3" borderId="4"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protection locked="0"/>
    </xf>
    <xf numFmtId="0" fontId="7" fillId="3" borderId="0" xfId="0" applyFont="1" applyFill="1" applyAlignment="1" applyProtection="1">
      <alignment vertical="center" wrapText="1"/>
      <protection locked="0"/>
    </xf>
    <xf numFmtId="0" fontId="7" fillId="3" borderId="0" xfId="0" applyFont="1" applyFill="1" applyAlignment="1" applyProtection="1">
      <alignment vertical="center"/>
      <protection locked="0"/>
    </xf>
    <xf numFmtId="0" fontId="5" fillId="3" borderId="3" xfId="0" applyFont="1" applyFill="1" applyBorder="1" applyAlignment="1" applyProtection="1">
      <alignment vertical="center" wrapText="1"/>
      <protection locked="0"/>
    </xf>
    <xf numFmtId="0" fontId="4" fillId="2" borderId="3" xfId="0" applyFont="1" applyFill="1" applyBorder="1" applyAlignment="1" applyProtection="1">
      <alignment horizontal="center" vertical="center"/>
      <protection locked="0"/>
    </xf>
    <xf numFmtId="0" fontId="5" fillId="3" borderId="0" xfId="0" applyFont="1" applyFill="1" applyAlignment="1" applyProtection="1">
      <alignment horizontal="left" vertical="center" wrapText="1"/>
      <protection locked="0"/>
    </xf>
    <xf numFmtId="0" fontId="4" fillId="2" borderId="3" xfId="0" applyFont="1" applyFill="1" applyBorder="1" applyAlignment="1" applyProtection="1">
      <alignment vertical="center" wrapText="1"/>
      <protection locked="0"/>
    </xf>
    <xf numFmtId="2" fontId="4" fillId="3" borderId="0" xfId="0" applyNumberFormat="1" applyFont="1" applyFill="1" applyAlignment="1" applyProtection="1">
      <alignment vertical="center" wrapText="1"/>
      <protection locked="0"/>
    </xf>
    <xf numFmtId="0" fontId="21" fillId="0" borderId="0" xfId="13" applyFont="1"/>
    <xf numFmtId="0" fontId="21" fillId="2" borderId="0" xfId="13" applyFont="1" applyFill="1"/>
    <xf numFmtId="0" fontId="25" fillId="0" borderId="0" xfId="13" applyFont="1" applyAlignment="1">
      <alignment wrapText="1"/>
    </xf>
    <xf numFmtId="0" fontId="4" fillId="2" borderId="0" xfId="13" applyFont="1" applyFill="1"/>
    <xf numFmtId="0" fontId="4" fillId="2" borderId="0" xfId="0" applyFont="1" applyFill="1" applyAlignment="1">
      <alignment horizontal="left"/>
    </xf>
    <xf numFmtId="0" fontId="4" fillId="2" borderId="0" xfId="13" applyFont="1" applyFill="1" applyAlignment="1">
      <alignment horizontal="left"/>
    </xf>
    <xf numFmtId="0" fontId="5" fillId="2" borderId="0" xfId="13" applyFont="1" applyFill="1"/>
    <xf numFmtId="0" fontId="4" fillId="2" borderId="0" xfId="0" applyFont="1" applyFill="1"/>
    <xf numFmtId="0" fontId="4" fillId="0" borderId="0" xfId="13" applyFont="1"/>
    <xf numFmtId="14" fontId="4" fillId="2" borderId="0" xfId="0" applyNumberFormat="1" applyFont="1" applyFill="1"/>
    <xf numFmtId="15" fontId="4" fillId="2" borderId="0" xfId="0" applyNumberFormat="1" applyFont="1" applyFill="1"/>
    <xf numFmtId="166" fontId="5"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0" xfId="0" applyFont="1" applyFill="1"/>
    <xf numFmtId="166"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15"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vertical="center"/>
    </xf>
    <xf numFmtId="49" fontId="4" fillId="2" borderId="3" xfId="0" quotePrefix="1" applyNumberFormat="1" applyFont="1" applyFill="1" applyBorder="1" applyAlignment="1">
      <alignment horizontal="center" vertical="center"/>
    </xf>
    <xf numFmtId="0" fontId="4" fillId="2" borderId="3" xfId="0" quotePrefix="1" applyFont="1" applyFill="1" applyBorder="1" applyAlignment="1">
      <alignment horizontal="center" vertical="center"/>
    </xf>
    <xf numFmtId="166" fontId="4" fillId="2" borderId="3" xfId="0" applyNumberFormat="1" applyFont="1" applyFill="1" applyBorder="1" applyAlignment="1">
      <alignment vertical="center"/>
    </xf>
    <xf numFmtId="49" fontId="4" fillId="2" borderId="3" xfId="0" applyNumberFormat="1" applyFont="1" applyFill="1" applyBorder="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2" fontId="4" fillId="3" borderId="3" xfId="0" applyNumberFormat="1" applyFont="1" applyFill="1" applyBorder="1" applyAlignment="1">
      <alignment horizontal="center" vertical="center" wrapText="1"/>
    </xf>
    <xf numFmtId="0" fontId="8" fillId="3" borderId="0" xfId="0" applyFont="1" applyFill="1" applyAlignment="1" applyProtection="1">
      <alignment horizontal="left" vertical="center" wrapText="1"/>
      <protection locked="0"/>
    </xf>
    <xf numFmtId="0" fontId="8" fillId="3" borderId="3" xfId="0" applyFont="1" applyFill="1" applyBorder="1" applyAlignment="1">
      <alignment horizontal="left" vertical="center"/>
    </xf>
    <xf numFmtId="0" fontId="8" fillId="3" borderId="3" xfId="0" applyFont="1" applyFill="1" applyBorder="1" applyAlignment="1">
      <alignment vertical="center" wrapText="1"/>
    </xf>
    <xf numFmtId="0" fontId="8"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29" fillId="3" borderId="3" xfId="0" applyFont="1" applyFill="1" applyBorder="1" applyAlignment="1">
      <alignment vertical="center" wrapText="1"/>
    </xf>
    <xf numFmtId="0" fontId="29" fillId="3" borderId="0" xfId="0" applyFont="1" applyFill="1" applyAlignment="1">
      <alignment vertical="center"/>
    </xf>
    <xf numFmtId="0" fontId="4" fillId="3" borderId="0" xfId="0" applyFont="1" applyFill="1" applyAlignment="1">
      <alignment horizontal="center" vertical="center" wrapText="1"/>
    </xf>
    <xf numFmtId="0" fontId="4" fillId="3" borderId="0" xfId="0" applyFont="1" applyFill="1" applyAlignment="1">
      <alignment vertical="center" wrapText="1"/>
    </xf>
    <xf numFmtId="0" fontId="4" fillId="3" borderId="0" xfId="0" applyFont="1" applyFill="1" applyAlignment="1">
      <alignment horizontal="left" vertical="center" wrapText="1"/>
    </xf>
    <xf numFmtId="4" fontId="8" fillId="3" borderId="0" xfId="0" applyNumberFormat="1" applyFont="1" applyFill="1" applyAlignment="1">
      <alignment horizontal="center" vertical="center" wrapText="1"/>
    </xf>
    <xf numFmtId="0" fontId="55" fillId="3" borderId="0" xfId="0" applyFont="1" applyFill="1" applyAlignment="1" applyProtection="1">
      <alignment horizontal="left" vertical="center"/>
      <protection locked="0"/>
    </xf>
    <xf numFmtId="0" fontId="55" fillId="3" borderId="0" xfId="0" applyFont="1" applyFill="1" applyAlignment="1" applyProtection="1">
      <alignment horizontal="center" vertical="center"/>
      <protection locked="0"/>
    </xf>
    <xf numFmtId="0" fontId="55" fillId="3" borderId="0" xfId="0" quotePrefix="1" applyFont="1" applyFill="1" applyAlignment="1" applyProtection="1">
      <alignment horizontal="center" vertical="center"/>
      <protection locked="0"/>
    </xf>
    <xf numFmtId="0" fontId="55" fillId="3" borderId="0" xfId="0" applyFont="1" applyFill="1" applyAlignment="1" applyProtection="1">
      <alignment vertical="center"/>
      <protection locked="0"/>
    </xf>
    <xf numFmtId="0" fontId="5" fillId="3" borderId="4" xfId="0" applyFont="1" applyFill="1" applyBorder="1" applyAlignment="1" applyProtection="1">
      <alignment vertical="center" wrapText="1"/>
      <protection locked="0"/>
    </xf>
    <xf numFmtId="0" fontId="4" fillId="0" borderId="3" xfId="0" applyFont="1" applyBorder="1" applyAlignment="1">
      <alignment vertical="center"/>
    </xf>
    <xf numFmtId="0" fontId="4" fillId="0" borderId="3" xfId="0" applyFont="1" applyBorder="1" applyAlignment="1">
      <alignment vertical="center" wrapText="1"/>
    </xf>
    <xf numFmtId="0" fontId="4" fillId="4" borderId="3" xfId="0" applyFont="1" applyFill="1" applyBorder="1" applyAlignment="1" applyProtection="1">
      <alignment horizontal="center" vertical="center" wrapText="1"/>
      <protection locked="0"/>
    </xf>
    <xf numFmtId="0" fontId="4" fillId="0" borderId="3" xfId="0" applyFont="1" applyBorder="1" applyAlignment="1">
      <alignment horizontal="justify" vertical="center"/>
    </xf>
    <xf numFmtId="0" fontId="56" fillId="3" borderId="0" xfId="0" applyFont="1" applyFill="1" applyAlignment="1" applyProtection="1">
      <alignment vertical="center"/>
      <protection locked="0"/>
    </xf>
    <xf numFmtId="0" fontId="56" fillId="3" borderId="0" xfId="0" quotePrefix="1" applyFont="1" applyFill="1" applyAlignment="1" applyProtection="1">
      <alignment vertical="center"/>
      <protection locked="0"/>
    </xf>
    <xf numFmtId="0" fontId="56" fillId="3" borderId="0" xfId="0" applyFont="1" applyFill="1" applyAlignment="1" applyProtection="1">
      <alignment horizontal="center" vertical="center"/>
      <protection locked="0"/>
    </xf>
    <xf numFmtId="0" fontId="57" fillId="3" borderId="0" xfId="0" applyFont="1" applyFill="1" applyAlignment="1" applyProtection="1">
      <alignment horizontal="center" vertical="center"/>
      <protection locked="0"/>
    </xf>
    <xf numFmtId="0" fontId="58" fillId="3" borderId="0" xfId="0" applyFont="1" applyFill="1" applyAlignment="1" applyProtection="1">
      <alignment horizontal="center" vertical="center"/>
      <protection locked="0"/>
    </xf>
    <xf numFmtId="0" fontId="4" fillId="3" borderId="0" xfId="0" quotePrefix="1" applyFont="1" applyFill="1" applyAlignment="1" applyProtection="1">
      <alignment vertical="center" wrapText="1"/>
      <protection locked="0"/>
    </xf>
    <xf numFmtId="0" fontId="4" fillId="3" borderId="0" xfId="0" quotePrefix="1" applyFont="1" applyFill="1" applyAlignment="1" applyProtection="1">
      <alignment vertical="center"/>
      <protection locked="0"/>
    </xf>
    <xf numFmtId="0" fontId="59" fillId="3" borderId="0" xfId="0" applyFont="1" applyFill="1" applyAlignment="1" applyProtection="1">
      <alignment horizontal="left" vertical="center"/>
      <protection locked="0"/>
    </xf>
    <xf numFmtId="0" fontId="59" fillId="3" borderId="0" xfId="0" applyFont="1" applyFill="1" applyAlignment="1" applyProtection="1">
      <alignment horizontal="center" vertical="center"/>
      <protection locked="0"/>
    </xf>
    <xf numFmtId="2" fontId="60" fillId="3" borderId="0" xfId="0" applyNumberFormat="1" applyFont="1" applyFill="1" applyAlignment="1" applyProtection="1">
      <alignment horizontal="center" vertical="center"/>
      <protection locked="0"/>
    </xf>
    <xf numFmtId="0" fontId="60" fillId="3" borderId="0" xfId="0" applyFont="1" applyFill="1" applyAlignment="1" applyProtection="1">
      <alignment horizontal="center" vertical="center"/>
      <protection locked="0"/>
    </xf>
    <xf numFmtId="0" fontId="61" fillId="3" borderId="0" xfId="0" applyFont="1" applyFill="1" applyAlignment="1" applyProtection="1">
      <alignment vertical="center"/>
      <protection locked="0"/>
    </xf>
    <xf numFmtId="0" fontId="61" fillId="3" borderId="0" xfId="0" quotePrefix="1" applyFont="1" applyFill="1" applyAlignment="1" applyProtection="1">
      <alignment vertical="center"/>
      <protection locked="0"/>
    </xf>
    <xf numFmtId="0" fontId="56" fillId="3" borderId="0" xfId="0" applyFont="1" applyFill="1" applyAlignment="1" applyProtection="1">
      <alignment horizontal="left" vertical="center"/>
      <protection locked="0"/>
    </xf>
    <xf numFmtId="0" fontId="62" fillId="3" borderId="0" xfId="0" quotePrefix="1" applyFont="1" applyFill="1" applyAlignment="1" applyProtection="1">
      <alignment vertical="center"/>
      <protection locked="0"/>
    </xf>
    <xf numFmtId="49" fontId="4" fillId="2" borderId="3" xfId="0" applyNumberFormat="1" applyFont="1" applyFill="1" applyBorder="1" applyAlignment="1" applyProtection="1">
      <alignment horizontal="center" vertical="center" wrapText="1"/>
      <protection locked="0"/>
    </xf>
    <xf numFmtId="0" fontId="55" fillId="3" borderId="0" xfId="0" applyFont="1" applyFill="1" applyAlignment="1" applyProtection="1">
      <alignment vertical="center" wrapText="1"/>
      <protection locked="0"/>
    </xf>
    <xf numFmtId="0" fontId="63" fillId="3" borderId="0" xfId="0" applyFont="1" applyFill="1" applyAlignment="1" applyProtection="1">
      <alignment vertical="center"/>
      <protection locked="0"/>
    </xf>
    <xf numFmtId="0" fontId="63" fillId="3" borderId="0" xfId="0" applyFont="1" applyFill="1" applyAlignment="1" applyProtection="1">
      <alignment horizontal="left" vertical="center" wrapText="1"/>
      <protection locked="0"/>
    </xf>
    <xf numFmtId="0" fontId="63" fillId="3" borderId="0" xfId="0" applyFont="1" applyFill="1" applyAlignment="1" applyProtection="1">
      <alignment vertical="center" wrapText="1"/>
      <protection locked="0"/>
    </xf>
    <xf numFmtId="0" fontId="57" fillId="3" borderId="0" xfId="0" applyFont="1" applyFill="1" applyAlignment="1" applyProtection="1">
      <alignment vertical="center"/>
      <protection locked="0"/>
    </xf>
    <xf numFmtId="2" fontId="59" fillId="3" borderId="0" xfId="0" applyNumberFormat="1" applyFont="1" applyFill="1" applyAlignment="1" applyProtection="1">
      <alignment horizontal="center" vertical="center"/>
      <protection locked="0"/>
    </xf>
    <xf numFmtId="0" fontId="64" fillId="3" borderId="0" xfId="0" applyFont="1" applyFill="1" applyAlignment="1" applyProtection="1">
      <alignment horizontal="left" vertical="center" wrapText="1"/>
      <protection locked="0"/>
    </xf>
    <xf numFmtId="0" fontId="64" fillId="3" borderId="0" xfId="0" applyFont="1" applyFill="1" applyAlignment="1" applyProtection="1">
      <alignment vertical="center" wrapText="1"/>
      <protection locked="0"/>
    </xf>
    <xf numFmtId="0" fontId="34" fillId="0" borderId="5" xfId="9" applyFont="1" applyBorder="1"/>
    <xf numFmtId="0" fontId="3" fillId="0" borderId="0" xfId="9"/>
    <xf numFmtId="0" fontId="3" fillId="0" borderId="3" xfId="9" applyBorder="1"/>
    <xf numFmtId="0" fontId="34" fillId="0" borderId="3" xfId="9" applyFont="1" applyBorder="1"/>
    <xf numFmtId="0" fontId="34" fillId="0" borderId="3" xfId="9" applyFont="1" applyBorder="1" applyAlignment="1">
      <alignment wrapText="1"/>
    </xf>
    <xf numFmtId="0" fontId="3" fillId="0" borderId="3" xfId="9" applyBorder="1" applyAlignment="1">
      <alignment wrapText="1"/>
    </xf>
    <xf numFmtId="0" fontId="3" fillId="0" borderId="0" xfId="9" applyAlignment="1">
      <alignment wrapText="1"/>
    </xf>
    <xf numFmtId="0" fontId="60" fillId="3" borderId="0" xfId="0" applyFont="1" applyFill="1" applyAlignment="1" applyProtection="1">
      <alignment horizontal="left" vertical="center"/>
      <protection locked="0"/>
    </xf>
    <xf numFmtId="0" fontId="56" fillId="3" borderId="0" xfId="0" quotePrefix="1" applyFont="1" applyFill="1" applyAlignment="1" applyProtection="1">
      <alignment horizontal="left" vertical="center"/>
      <protection locked="0"/>
    </xf>
    <xf numFmtId="0" fontId="3" fillId="4" borderId="0" xfId="15" applyFill="1"/>
    <xf numFmtId="0" fontId="7" fillId="3" borderId="0" xfId="15" applyFont="1" applyFill="1" applyAlignment="1" applyProtection="1">
      <alignment vertical="center"/>
      <protection locked="0"/>
    </xf>
    <xf numFmtId="0" fontId="35" fillId="3" borderId="0" xfId="15" applyFont="1" applyFill="1" applyAlignment="1" applyProtection="1">
      <alignment vertical="center"/>
      <protection locked="0"/>
    </xf>
    <xf numFmtId="0" fontId="3" fillId="4" borderId="0" xfId="15" quotePrefix="1" applyFill="1"/>
    <xf numFmtId="0" fontId="65" fillId="3" borderId="0" xfId="0" applyFont="1" applyFill="1" applyAlignment="1">
      <alignment vertical="center"/>
    </xf>
    <xf numFmtId="0" fontId="3" fillId="0" borderId="0" xfId="9" applyAlignment="1">
      <alignment horizontal="left" wrapText="1"/>
    </xf>
    <xf numFmtId="0" fontId="66" fillId="0" borderId="3" xfId="9" applyFont="1" applyBorder="1"/>
    <xf numFmtId="0" fontId="3" fillId="0" borderId="3" xfId="9" applyBorder="1" applyAlignment="1">
      <alignment vertical="top"/>
    </xf>
    <xf numFmtId="0" fontId="66" fillId="0" borderId="3" xfId="9" applyFont="1" applyBorder="1" applyAlignment="1">
      <alignment vertical="top" wrapText="1"/>
    </xf>
    <xf numFmtId="0" fontId="66" fillId="0" borderId="3" xfId="9" applyFont="1" applyBorder="1" applyAlignment="1">
      <alignment vertical="top"/>
    </xf>
    <xf numFmtId="0" fontId="3" fillId="0" borderId="3" xfId="9" applyBorder="1" applyAlignment="1">
      <alignment vertical="top" wrapText="1"/>
    </xf>
    <xf numFmtId="0" fontId="4" fillId="0" borderId="0" xfId="9" applyFont="1" applyAlignment="1">
      <alignment vertical="top"/>
    </xf>
    <xf numFmtId="10" fontId="8" fillId="5" borderId="3" xfId="0" applyNumberFormat="1" applyFont="1" applyFill="1" applyBorder="1" applyAlignment="1">
      <alignment horizontal="center" vertical="center"/>
    </xf>
    <xf numFmtId="0" fontId="0" fillId="0" borderId="0" xfId="0" applyAlignment="1">
      <alignment wrapText="1"/>
    </xf>
    <xf numFmtId="0" fontId="4" fillId="0" borderId="3" xfId="12" applyFont="1" applyBorder="1" applyAlignment="1" applyProtection="1">
      <alignment horizontal="center" vertical="center" wrapText="1"/>
      <protection locked="0"/>
    </xf>
    <xf numFmtId="0" fontId="4" fillId="0" borderId="3" xfId="12" applyFont="1" applyBorder="1" applyAlignment="1" applyProtection="1">
      <alignment horizontal="left" vertical="center" wrapText="1"/>
      <protection locked="0"/>
    </xf>
    <xf numFmtId="0" fontId="4" fillId="0" borderId="3" xfId="0" applyFont="1" applyBorder="1" applyAlignment="1">
      <alignment horizontal="center" wrapText="1"/>
    </xf>
    <xf numFmtId="0" fontId="4" fillId="6" borderId="3" xfId="12" applyFont="1" applyFill="1" applyBorder="1" applyAlignment="1" applyProtection="1">
      <alignment horizontal="left" vertical="center" wrapText="1"/>
      <protection locked="0"/>
    </xf>
    <xf numFmtId="0" fontId="4" fillId="6" borderId="3" xfId="0" applyFont="1" applyFill="1" applyBorder="1" applyAlignment="1">
      <alignment horizontal="center" wrapText="1"/>
    </xf>
    <xf numFmtId="0" fontId="4" fillId="6" borderId="3" xfId="0" applyFont="1" applyFill="1" applyBorder="1" applyAlignment="1">
      <alignment vertical="center" wrapText="1"/>
    </xf>
    <xf numFmtId="0" fontId="56" fillId="0" borderId="3" xfId="0" applyFont="1" applyBorder="1" applyAlignment="1">
      <alignment wrapText="1"/>
    </xf>
    <xf numFmtId="0" fontId="56" fillId="6" borderId="3" xfId="0" applyFont="1" applyFill="1" applyBorder="1" applyAlignment="1">
      <alignment wrapText="1"/>
    </xf>
    <xf numFmtId="0" fontId="56" fillId="6" borderId="3" xfId="0" applyFont="1" applyFill="1" applyBorder="1" applyAlignment="1">
      <alignment horizontal="left" wrapText="1"/>
    </xf>
    <xf numFmtId="0" fontId="56" fillId="0" borderId="3" xfId="0" applyFont="1" applyBorder="1" applyAlignment="1">
      <alignment horizontal="left" wrapText="1"/>
    </xf>
    <xf numFmtId="0" fontId="4" fillId="0" borderId="3" xfId="0" applyFont="1" applyBorder="1" applyAlignment="1">
      <alignment horizontal="left" vertical="center" wrapText="1"/>
    </xf>
    <xf numFmtId="0" fontId="56" fillId="6" borderId="3" xfId="0" applyFont="1" applyFill="1" applyBorder="1" applyAlignment="1">
      <alignment horizontal="left" vertical="center" wrapText="1"/>
    </xf>
    <xf numFmtId="0" fontId="56" fillId="0" borderId="3" xfId="0" applyFont="1" applyBorder="1" applyAlignment="1">
      <alignment horizontal="left" vertical="center" wrapText="1"/>
    </xf>
    <xf numFmtId="0" fontId="67" fillId="6" borderId="3" xfId="0" applyFont="1" applyFill="1" applyBorder="1" applyAlignment="1">
      <alignment horizontal="left" vertical="center" wrapText="1"/>
    </xf>
    <xf numFmtId="0" fontId="56" fillId="6" borderId="3" xfId="0" applyFont="1" applyFill="1" applyBorder="1" applyAlignment="1">
      <alignment vertical="center" wrapText="1"/>
    </xf>
    <xf numFmtId="0" fontId="56" fillId="6" borderId="3" xfId="0" applyFont="1" applyFill="1" applyBorder="1" applyAlignment="1">
      <alignment horizontal="center" vertical="center" wrapText="1"/>
    </xf>
    <xf numFmtId="0" fontId="67" fillId="0" borderId="3" xfId="0" applyFont="1" applyBorder="1" applyAlignment="1">
      <alignment horizontal="left" vertical="center" wrapText="1"/>
    </xf>
    <xf numFmtId="0" fontId="56" fillId="0" borderId="3" xfId="0" applyFont="1" applyBorder="1" applyAlignment="1">
      <alignment vertical="center" wrapText="1"/>
    </xf>
    <xf numFmtId="0" fontId="56" fillId="0" borderId="3" xfId="0" applyFont="1" applyBorder="1" applyAlignment="1">
      <alignment horizontal="center" vertical="center" wrapText="1"/>
    </xf>
    <xf numFmtId="0" fontId="10" fillId="7" borderId="3" xfId="0" applyFont="1" applyFill="1" applyBorder="1" applyAlignment="1">
      <alignment wrapText="1"/>
    </xf>
    <xf numFmtId="0" fontId="56" fillId="7" borderId="3" xfId="0" applyFont="1" applyFill="1" applyBorder="1" applyAlignment="1">
      <alignment vertical="center" wrapText="1"/>
    </xf>
    <xf numFmtId="0" fontId="0" fillId="7" borderId="3" xfId="0" applyFill="1" applyBorder="1" applyAlignment="1">
      <alignment wrapText="1"/>
    </xf>
    <xf numFmtId="0" fontId="68" fillId="7" borderId="3" xfId="0" applyFont="1" applyFill="1" applyBorder="1" applyAlignment="1">
      <alignment vertical="top"/>
    </xf>
    <xf numFmtId="0" fontId="0" fillId="7" borderId="0" xfId="0" applyFill="1" applyAlignment="1">
      <alignment wrapText="1"/>
    </xf>
    <xf numFmtId="0" fontId="57" fillId="7" borderId="3" xfId="0" applyFont="1" applyFill="1" applyBorder="1" applyAlignment="1">
      <alignment vertical="top"/>
    </xf>
    <xf numFmtId="0" fontId="69" fillId="0" borderId="0" xfId="0" applyFont="1" applyAlignment="1">
      <alignment horizontal="center" vertical="top"/>
    </xf>
    <xf numFmtId="0" fontId="69" fillId="0" borderId="0" xfId="0" applyFont="1" applyAlignment="1">
      <alignment vertical="top"/>
    </xf>
    <xf numFmtId="0" fontId="69" fillId="0" borderId="0" xfId="0" applyFont="1" applyAlignment="1">
      <alignment vertical="top" wrapText="1"/>
    </xf>
    <xf numFmtId="0" fontId="36" fillId="0" borderId="3" xfId="0" applyFont="1" applyBorder="1" applyAlignment="1">
      <alignment vertical="top" wrapText="1"/>
    </xf>
    <xf numFmtId="0" fontId="70" fillId="0" borderId="3" xfId="0" applyFont="1" applyBorder="1" applyAlignment="1">
      <alignment vertical="top" wrapText="1"/>
    </xf>
    <xf numFmtId="0" fontId="0" fillId="7" borderId="3" xfId="0" applyFill="1" applyBorder="1" applyAlignment="1" applyProtection="1">
      <alignment wrapText="1"/>
      <protection locked="0"/>
    </xf>
    <xf numFmtId="9" fontId="10" fillId="7" borderId="3" xfId="16" applyFont="1" applyFill="1" applyBorder="1" applyAlignment="1">
      <alignment wrapText="1"/>
    </xf>
    <xf numFmtId="0" fontId="56" fillId="7" borderId="3" xfId="0" applyFont="1" applyFill="1" applyBorder="1" applyAlignment="1">
      <alignment vertical="top" wrapText="1"/>
    </xf>
    <xf numFmtId="0" fontId="36" fillId="0" borderId="3" xfId="0" applyFont="1" applyBorder="1" applyAlignment="1">
      <alignment horizontal="center" vertical="top" wrapText="1"/>
    </xf>
    <xf numFmtId="0" fontId="68" fillId="7" borderId="3" xfId="0" applyFont="1" applyFill="1" applyBorder="1" applyAlignment="1">
      <alignment vertical="top" wrapText="1"/>
    </xf>
    <xf numFmtId="0" fontId="70" fillId="7" borderId="3" xfId="0" applyFont="1" applyFill="1" applyBorder="1" applyAlignment="1">
      <alignment vertical="top" wrapText="1"/>
    </xf>
    <xf numFmtId="0" fontId="36" fillId="7" borderId="3" xfId="0" applyFont="1" applyFill="1" applyBorder="1" applyAlignment="1">
      <alignment horizontal="center" vertical="top" wrapText="1"/>
    </xf>
    <xf numFmtId="0" fontId="69" fillId="7" borderId="0" xfId="0" applyFont="1" applyFill="1" applyAlignment="1">
      <alignment horizontal="center" vertical="top" wrapText="1"/>
    </xf>
    <xf numFmtId="0" fontId="69" fillId="7" borderId="3" xfId="0" applyFont="1" applyFill="1" applyBorder="1" applyAlignment="1">
      <alignment vertical="top" wrapText="1"/>
    </xf>
    <xf numFmtId="9" fontId="0" fillId="0" borderId="0" xfId="0" applyNumberFormat="1" applyAlignment="1">
      <alignment wrapText="1"/>
    </xf>
    <xf numFmtId="10" fontId="8" fillId="3" borderId="3" xfId="0" applyNumberFormat="1" applyFont="1" applyFill="1" applyBorder="1" applyAlignment="1">
      <alignment horizontal="center" vertical="center"/>
    </xf>
    <xf numFmtId="10" fontId="8" fillId="3" borderId="3" xfId="0" applyNumberFormat="1" applyFont="1" applyFill="1" applyBorder="1" applyAlignment="1">
      <alignment horizontal="center" vertical="center" wrapText="1"/>
    </xf>
    <xf numFmtId="167" fontId="4" fillId="3" borderId="3" xfId="0" applyNumberFormat="1" applyFont="1" applyFill="1" applyBorder="1" applyAlignment="1">
      <alignment horizontal="center" vertical="center"/>
    </xf>
    <xf numFmtId="10" fontId="4" fillId="3" borderId="3" xfId="0" applyNumberFormat="1" applyFont="1" applyFill="1" applyBorder="1" applyAlignment="1">
      <alignment horizontal="center" vertical="center"/>
    </xf>
    <xf numFmtId="4" fontId="71" fillId="3" borderId="3" xfId="0" applyNumberFormat="1" applyFont="1" applyFill="1" applyBorder="1" applyAlignment="1">
      <alignment horizontal="center" vertical="center" wrapText="1"/>
    </xf>
    <xf numFmtId="2" fontId="29" fillId="3" borderId="3" xfId="0" applyNumberFormat="1" applyFont="1" applyFill="1" applyBorder="1" applyAlignment="1">
      <alignment vertical="center" wrapText="1"/>
    </xf>
    <xf numFmtId="10" fontId="4" fillId="3" borderId="4" xfId="0" applyNumberFormat="1" applyFont="1" applyFill="1" applyBorder="1" applyAlignment="1">
      <alignment horizontal="center" vertical="center"/>
    </xf>
    <xf numFmtId="10" fontId="8" fillId="5" borderId="4" xfId="0" applyNumberFormat="1" applyFont="1" applyFill="1" applyBorder="1" applyAlignment="1">
      <alignment horizontal="center" vertical="center"/>
    </xf>
    <xf numFmtId="0" fontId="4" fillId="2" borderId="3" xfId="9" applyFont="1" applyFill="1" applyBorder="1" applyAlignment="1">
      <alignment horizontal="center" vertical="center" wrapText="1"/>
    </xf>
    <xf numFmtId="0" fontId="57" fillId="8" borderId="3" xfId="0" applyFont="1" applyFill="1" applyBorder="1" applyAlignment="1">
      <alignment horizontal="center" vertical="center" wrapText="1"/>
    </xf>
    <xf numFmtId="0" fontId="4" fillId="0" borderId="3" xfId="0" applyFont="1" applyBorder="1" applyAlignment="1">
      <alignment vertical="top" wrapText="1"/>
    </xf>
    <xf numFmtId="0" fontId="39" fillId="3" borderId="3" xfId="0" applyFont="1" applyFill="1" applyBorder="1" applyAlignment="1">
      <alignment horizontal="center" vertical="center" wrapText="1"/>
    </xf>
    <xf numFmtId="4" fontId="72" fillId="3" borderId="3" xfId="0" applyNumberFormat="1" applyFont="1" applyFill="1" applyBorder="1" applyAlignment="1">
      <alignment horizontal="center" vertical="center" wrapText="1"/>
    </xf>
    <xf numFmtId="0" fontId="4" fillId="0" borderId="3" xfId="0" applyFont="1" applyBorder="1" applyAlignment="1">
      <alignment wrapText="1"/>
    </xf>
    <xf numFmtId="0" fontId="28" fillId="3" borderId="3" xfId="0" applyFont="1" applyFill="1" applyBorder="1" applyAlignment="1">
      <alignment horizontal="left" vertical="center" wrapText="1"/>
    </xf>
    <xf numFmtId="0" fontId="4" fillId="0" borderId="3" xfId="0" applyFont="1" applyBorder="1" applyAlignment="1">
      <alignment vertical="top"/>
    </xf>
    <xf numFmtId="0" fontId="8" fillId="3" borderId="6" xfId="0" applyFont="1" applyFill="1" applyBorder="1" applyAlignment="1">
      <alignment horizontal="center" vertical="center" wrapText="1"/>
    </xf>
    <xf numFmtId="0" fontId="8" fillId="3" borderId="4" xfId="0" applyFont="1" applyFill="1" applyBorder="1" applyAlignment="1">
      <alignment horizontal="center" vertical="center" wrapText="1"/>
    </xf>
    <xf numFmtId="2" fontId="5" fillId="3" borderId="3" xfId="0" applyNumberFormat="1" applyFont="1" applyFill="1" applyBorder="1" applyAlignment="1">
      <alignment horizontal="center" vertical="center" wrapText="1"/>
    </xf>
    <xf numFmtId="0" fontId="8" fillId="3" borderId="4" xfId="0" applyFont="1" applyFill="1" applyBorder="1" applyAlignment="1">
      <alignment horizontal="center" vertical="center"/>
    </xf>
    <xf numFmtId="0" fontId="4" fillId="0" borderId="3" xfId="0" applyFont="1" applyBorder="1" applyAlignment="1">
      <alignment horizontal="center" vertical="top"/>
    </xf>
    <xf numFmtId="0" fontId="4" fillId="0" borderId="3" xfId="0" applyFont="1" applyBorder="1" applyAlignment="1" applyProtection="1">
      <alignment vertical="top" wrapText="1"/>
      <protection locked="0"/>
    </xf>
    <xf numFmtId="0" fontId="4" fillId="2" borderId="0" xfId="9" applyFont="1" applyFill="1" applyAlignment="1">
      <alignment wrapText="1"/>
    </xf>
    <xf numFmtId="0" fontId="8" fillId="2" borderId="0" xfId="9" applyFont="1" applyFill="1" applyAlignment="1">
      <alignment horizontal="left" wrapText="1"/>
    </xf>
    <xf numFmtId="0" fontId="4" fillId="2" borderId="0" xfId="9" applyFont="1" applyFill="1" applyAlignment="1">
      <alignment vertical="center" wrapText="1"/>
    </xf>
    <xf numFmtId="0" fontId="4" fillId="2" borderId="0" xfId="9" applyFont="1" applyFill="1" applyAlignment="1">
      <alignment horizontal="left" wrapText="1"/>
    </xf>
    <xf numFmtId="0" fontId="5" fillId="2" borderId="0" xfId="9" applyFont="1" applyFill="1" applyAlignment="1">
      <alignment horizontal="center" wrapText="1"/>
    </xf>
    <xf numFmtId="0" fontId="8" fillId="2" borderId="0" xfId="0" applyFont="1" applyFill="1" applyAlignment="1">
      <alignment horizontal="left"/>
    </xf>
    <xf numFmtId="0" fontId="4" fillId="2" borderId="0" xfId="0" applyFont="1" applyFill="1" applyAlignment="1">
      <alignment horizontal="left" indent="11"/>
    </xf>
    <xf numFmtId="9" fontId="4" fillId="3" borderId="3" xfId="16" applyFont="1" applyFill="1" applyBorder="1" applyAlignment="1">
      <alignment horizontal="center" vertical="center" wrapText="1"/>
    </xf>
    <xf numFmtId="0" fontId="4" fillId="0" borderId="3" xfId="0" applyFont="1" applyBorder="1"/>
    <xf numFmtId="0" fontId="38" fillId="2" borderId="7" xfId="7" applyFont="1" applyFill="1" applyBorder="1" applyAlignment="1" applyProtection="1">
      <alignment horizontal="center" vertical="center" wrapText="1"/>
    </xf>
    <xf numFmtId="0" fontId="21" fillId="2" borderId="0" xfId="9" applyFont="1" applyFill="1" applyAlignment="1">
      <alignment wrapText="1"/>
    </xf>
    <xf numFmtId="0" fontId="37" fillId="2" borderId="0" xfId="9" applyFont="1" applyFill="1" applyAlignment="1">
      <alignment horizontal="left" wrapText="1"/>
    </xf>
    <xf numFmtId="0" fontId="5" fillId="3" borderId="8" xfId="9" applyFont="1" applyFill="1" applyBorder="1" applyAlignment="1">
      <alignment horizontal="center" vertical="center" wrapText="1"/>
    </xf>
    <xf numFmtId="0" fontId="5" fillId="4" borderId="3" xfId="9" applyFont="1" applyFill="1" applyBorder="1" applyAlignment="1">
      <alignment horizontal="center" vertical="center" wrapText="1"/>
    </xf>
    <xf numFmtId="0" fontId="21" fillId="0" borderId="0" xfId="9" applyFont="1" applyAlignment="1">
      <alignment vertical="center" wrapText="1"/>
    </xf>
    <xf numFmtId="0" fontId="4" fillId="0" borderId="8" xfId="9" applyFont="1" applyBorder="1" applyAlignment="1">
      <alignment horizontal="center" vertical="center" wrapText="1"/>
    </xf>
    <xf numFmtId="0" fontId="4" fillId="0" borderId="3" xfId="9" quotePrefix="1" applyFont="1" applyBorder="1" applyAlignment="1">
      <alignment horizontal="left" vertical="center" wrapText="1"/>
    </xf>
    <xf numFmtId="0" fontId="4" fillId="0" borderId="3" xfId="9" applyFont="1" applyBorder="1" applyAlignment="1">
      <alignment horizontal="left" vertical="center" wrapText="1"/>
    </xf>
    <xf numFmtId="0" fontId="73" fillId="0" borderId="3" xfId="9" applyFont="1" applyBorder="1" applyAlignment="1">
      <alignment horizontal="left" vertical="center" wrapText="1"/>
    </xf>
    <xf numFmtId="0" fontId="47" fillId="2" borderId="0" xfId="9" applyFont="1" applyFill="1" applyAlignment="1">
      <alignment horizontal="left" wrapText="1"/>
    </xf>
    <xf numFmtId="0" fontId="48" fillId="2" borderId="0" xfId="9" applyFont="1" applyFill="1" applyAlignment="1">
      <alignment horizontal="center" wrapText="1"/>
    </xf>
    <xf numFmtId="0" fontId="47" fillId="2" borderId="0" xfId="9" applyFont="1" applyFill="1" applyAlignment="1">
      <alignment vertical="center" wrapText="1"/>
    </xf>
    <xf numFmtId="0" fontId="55" fillId="0" borderId="0" xfId="0" applyFont="1" applyAlignment="1">
      <alignment vertical="top" wrapText="1"/>
    </xf>
    <xf numFmtId="0" fontId="49" fillId="0" borderId="0" xfId="0" applyFont="1" applyAlignment="1">
      <alignment vertical="top"/>
    </xf>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3" fillId="0" borderId="0" xfId="0" applyFont="1" applyAlignment="1">
      <alignment vertical="top"/>
    </xf>
    <xf numFmtId="0" fontId="69" fillId="8" borderId="0" xfId="0" applyFont="1" applyFill="1" applyAlignment="1">
      <alignment vertical="center"/>
    </xf>
    <xf numFmtId="0" fontId="57" fillId="8" borderId="3" xfId="0" applyFont="1" applyFill="1" applyBorder="1" applyAlignment="1">
      <alignment horizontal="center" vertical="center"/>
    </xf>
    <xf numFmtId="0" fontId="57" fillId="8" borderId="4" xfId="0" applyFont="1" applyFill="1" applyBorder="1" applyAlignment="1">
      <alignment horizontal="center" vertical="center" wrapText="1"/>
    </xf>
    <xf numFmtId="0" fontId="56" fillId="0" borderId="3" xfId="0" applyFont="1" applyBorder="1" applyAlignment="1">
      <alignment vertical="top"/>
    </xf>
    <xf numFmtId="0" fontId="56" fillId="0" borderId="3" xfId="0" applyFont="1" applyBorder="1" applyAlignment="1">
      <alignment vertical="top" wrapText="1"/>
    </xf>
    <xf numFmtId="9" fontId="4" fillId="0" borderId="3" xfId="20" applyFont="1" applyFill="1" applyBorder="1" applyAlignment="1">
      <alignment wrapText="1"/>
    </xf>
    <xf numFmtId="0" fontId="4" fillId="0" borderId="3" xfId="0" applyFont="1" applyBorder="1" applyAlignment="1" applyProtection="1">
      <alignment wrapText="1"/>
      <protection locked="0"/>
    </xf>
    <xf numFmtId="0" fontId="67" fillId="0" borderId="3" xfId="0" applyFont="1" applyBorder="1" applyAlignment="1">
      <alignment vertical="center" wrapText="1"/>
    </xf>
    <xf numFmtId="0" fontId="69" fillId="0" borderId="0" xfId="0" applyFont="1" applyAlignment="1">
      <alignment horizontal="center" vertical="top" wrapText="1"/>
    </xf>
    <xf numFmtId="0" fontId="69" fillId="0" borderId="0" xfId="0" applyFont="1" applyAlignment="1">
      <alignment vertical="center" wrapText="1"/>
    </xf>
    <xf numFmtId="0" fontId="69" fillId="0" borderId="0" xfId="0" applyFont="1" applyAlignment="1">
      <alignment horizontal="left" vertical="top" wrapText="1"/>
    </xf>
    <xf numFmtId="0" fontId="69" fillId="0" borderId="0" xfId="0" applyFont="1" applyAlignment="1">
      <alignment wrapText="1"/>
    </xf>
    <xf numFmtId="0" fontId="22" fillId="5" borderId="3" xfId="12" applyFont="1" applyFill="1" applyBorder="1" applyAlignment="1" applyProtection="1">
      <alignment horizontal="center" vertical="center" wrapText="1"/>
      <protection locked="0"/>
    </xf>
    <xf numFmtId="0" fontId="22" fillId="5" borderId="3" xfId="12" applyFont="1" applyFill="1" applyBorder="1" applyAlignment="1" applyProtection="1">
      <alignment vertical="center" wrapText="1"/>
      <protection locked="0"/>
    </xf>
    <xf numFmtId="0" fontId="22" fillId="5" borderId="3" xfId="0" applyFont="1" applyFill="1" applyBorder="1" applyAlignment="1">
      <alignment wrapText="1"/>
    </xf>
    <xf numFmtId="0" fontId="22" fillId="5" borderId="3" xfId="0" applyFont="1" applyFill="1" applyBorder="1"/>
    <xf numFmtId="0" fontId="22" fillId="5" borderId="3" xfId="0" applyFont="1" applyFill="1" applyBorder="1" applyAlignment="1">
      <alignment vertical="top" wrapText="1"/>
    </xf>
    <xf numFmtId="0" fontId="22" fillId="5" borderId="3" xfId="0" applyFont="1" applyFill="1" applyBorder="1" applyAlignment="1">
      <alignment horizontal="center"/>
    </xf>
    <xf numFmtId="0" fontId="22" fillId="5" borderId="3" xfId="0" applyFont="1" applyFill="1" applyBorder="1" applyAlignment="1">
      <alignment horizontal="center" vertical="top" wrapText="1"/>
    </xf>
    <xf numFmtId="0" fontId="74" fillId="3" borderId="0" xfId="9" applyFont="1" applyFill="1" applyAlignment="1" applyProtection="1">
      <alignment vertical="center"/>
      <protection locked="0"/>
    </xf>
    <xf numFmtId="0" fontId="4" fillId="3" borderId="0" xfId="9" applyFont="1" applyFill="1" applyAlignment="1" applyProtection="1">
      <alignment vertical="center"/>
      <protection locked="0"/>
    </xf>
    <xf numFmtId="0" fontId="6" fillId="4" borderId="0" xfId="9" applyFont="1" applyFill="1" applyAlignment="1" applyProtection="1">
      <alignment horizontal="center" vertical="center"/>
      <protection locked="0"/>
    </xf>
    <xf numFmtId="0" fontId="41" fillId="3" borderId="0" xfId="9" applyFont="1" applyFill="1" applyAlignment="1" applyProtection="1">
      <alignment horizontal="left" vertical="center"/>
      <protection locked="0"/>
    </xf>
    <xf numFmtId="0" fontId="6" fillId="3" borderId="0" xfId="9" applyFont="1" applyFill="1" applyAlignment="1" applyProtection="1">
      <alignment horizontal="center" vertical="center" wrapText="1"/>
      <protection locked="0"/>
    </xf>
    <xf numFmtId="0" fontId="6" fillId="3" borderId="0" xfId="9" applyFont="1" applyFill="1" applyAlignment="1" applyProtection="1">
      <alignment horizontal="left" vertical="center"/>
      <protection locked="0"/>
    </xf>
    <xf numFmtId="0" fontId="4" fillId="3" borderId="0" xfId="9" applyFont="1" applyFill="1" applyAlignment="1" applyProtection="1">
      <alignment horizontal="center" vertical="center"/>
      <protection locked="0"/>
    </xf>
    <xf numFmtId="0" fontId="4" fillId="3" borderId="0" xfId="9" applyFont="1" applyFill="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74" fillId="3" borderId="0" xfId="9" applyFont="1" applyFill="1" applyAlignment="1" applyProtection="1">
      <alignment horizontal="center" vertical="center"/>
      <protection locked="0"/>
    </xf>
    <xf numFmtId="0" fontId="5" fillId="3" borderId="3" xfId="9" applyFont="1" applyFill="1" applyBorder="1" applyAlignment="1" applyProtection="1">
      <alignment horizontal="center" vertical="center" wrapText="1"/>
      <protection locked="0"/>
    </xf>
    <xf numFmtId="0" fontId="75" fillId="3" borderId="3" xfId="9" applyFont="1" applyFill="1" applyBorder="1" applyAlignment="1" applyProtection="1">
      <alignment horizontal="center" vertical="center" wrapText="1"/>
      <protection locked="0"/>
    </xf>
    <xf numFmtId="0" fontId="5" fillId="2" borderId="3" xfId="9" applyFont="1" applyFill="1" applyBorder="1" applyAlignment="1" applyProtection="1">
      <alignment horizontal="center" vertical="center" wrapText="1"/>
      <protection locked="0"/>
    </xf>
    <xf numFmtId="0" fontId="5" fillId="0" borderId="3" xfId="9" applyFont="1" applyBorder="1" applyAlignment="1" applyProtection="1">
      <alignment horizontal="center" vertical="center" wrapText="1"/>
      <protection locked="0"/>
    </xf>
    <xf numFmtId="0" fontId="4" fillId="4" borderId="3" xfId="9" applyFont="1" applyFill="1" applyBorder="1" applyAlignment="1">
      <alignment horizontal="left" vertical="center" wrapText="1"/>
    </xf>
    <xf numFmtId="0" fontId="4" fillId="4" borderId="3" xfId="9" applyFont="1" applyFill="1" applyBorder="1" applyAlignment="1">
      <alignment horizontal="right" vertical="center" wrapText="1"/>
    </xf>
    <xf numFmtId="0" fontId="4" fillId="2" borderId="3" xfId="9" applyFont="1" applyFill="1" applyBorder="1" applyAlignment="1" applyProtection="1">
      <alignment horizontal="center" vertical="center" wrapText="1"/>
      <protection locked="0"/>
    </xf>
    <xf numFmtId="0" fontId="4" fillId="0" borderId="3" xfId="9" applyFont="1" applyBorder="1" applyAlignment="1" applyProtection="1">
      <alignment vertical="center" wrapText="1"/>
      <protection locked="0"/>
    </xf>
    <xf numFmtId="0" fontId="74" fillId="0" borderId="3" xfId="9" applyFont="1" applyBorder="1" applyAlignment="1" applyProtection="1">
      <alignment horizontal="center" vertical="center" wrapText="1"/>
      <protection locked="0"/>
    </xf>
    <xf numFmtId="0" fontId="4" fillId="3" borderId="0" xfId="9" applyFont="1" applyFill="1" applyAlignment="1" applyProtection="1">
      <alignment vertical="center" wrapText="1"/>
      <protection locked="0"/>
    </xf>
    <xf numFmtId="0" fontId="4" fillId="2" borderId="3" xfId="9" applyFont="1" applyFill="1" applyBorder="1" applyAlignment="1" applyProtection="1">
      <alignment horizontal="left" vertical="center" wrapText="1"/>
      <protection locked="0"/>
    </xf>
    <xf numFmtId="0" fontId="5" fillId="3" borderId="0" xfId="9" applyFont="1" applyFill="1" applyAlignment="1" applyProtection="1">
      <alignment horizontal="left" vertical="center"/>
      <protection locked="0"/>
    </xf>
    <xf numFmtId="2" fontId="5" fillId="3" borderId="0" xfId="9" applyNumberFormat="1" applyFont="1" applyFill="1" applyAlignment="1">
      <alignment horizontal="right" vertical="center"/>
    </xf>
    <xf numFmtId="0" fontId="5" fillId="3" borderId="0" xfId="9" applyFont="1" applyFill="1" applyAlignment="1" applyProtection="1">
      <alignment vertical="center" wrapText="1"/>
      <protection locked="0"/>
    </xf>
    <xf numFmtId="0" fontId="5" fillId="3" borderId="0" xfId="9" applyFont="1" applyFill="1" applyAlignment="1" applyProtection="1">
      <alignment horizontal="right" vertical="center"/>
      <protection locked="0"/>
    </xf>
    <xf numFmtId="0" fontId="5" fillId="3" borderId="0" xfId="9" applyFont="1" applyFill="1" applyAlignment="1" applyProtection="1">
      <alignment horizontal="center" vertical="center"/>
      <protection locked="0"/>
    </xf>
    <xf numFmtId="2" fontId="75" fillId="3" borderId="0" xfId="9" applyNumberFormat="1" applyFont="1" applyFill="1" applyAlignment="1" applyProtection="1">
      <alignment horizontal="right" vertical="center"/>
      <protection locked="0"/>
    </xf>
    <xf numFmtId="0" fontId="8" fillId="3" borderId="0" xfId="9" applyFont="1" applyFill="1" applyAlignment="1" applyProtection="1">
      <alignment horizontal="left" vertical="center"/>
      <protection locked="0"/>
    </xf>
    <xf numFmtId="0" fontId="5" fillId="3" borderId="0" xfId="9" applyFont="1" applyFill="1" applyAlignment="1">
      <alignment horizontal="center" vertical="center"/>
    </xf>
    <xf numFmtId="0" fontId="4" fillId="3" borderId="0" xfId="9" applyFont="1" applyFill="1" applyAlignment="1" applyProtection="1">
      <alignment horizontal="left" vertical="center"/>
      <protection locked="0"/>
    </xf>
    <xf numFmtId="2" fontId="74" fillId="3" borderId="0" xfId="9" applyNumberFormat="1" applyFont="1" applyFill="1" applyAlignment="1" applyProtection="1">
      <alignment vertical="center"/>
      <protection locked="0"/>
    </xf>
    <xf numFmtId="2" fontId="48" fillId="3" borderId="3" xfId="0" applyNumberFormat="1" applyFont="1" applyFill="1" applyBorder="1" applyAlignment="1">
      <alignment horizontal="center" vertical="center" wrapText="1"/>
    </xf>
    <xf numFmtId="2" fontId="48" fillId="3" borderId="3" xfId="0" applyNumberFormat="1" applyFont="1" applyFill="1" applyBorder="1" applyAlignment="1">
      <alignment horizontal="center" vertical="center"/>
    </xf>
    <xf numFmtId="2" fontId="4" fillId="3" borderId="3" xfId="0" applyNumberFormat="1" applyFont="1" applyFill="1" applyBorder="1" applyAlignment="1">
      <alignment horizontal="center" vertical="center"/>
    </xf>
    <xf numFmtId="0" fontId="74" fillId="4" borderId="3" xfId="9" applyFont="1" applyFill="1" applyBorder="1" applyAlignment="1">
      <alignment horizontal="right" vertical="center" wrapText="1"/>
    </xf>
    <xf numFmtId="49" fontId="4" fillId="2" borderId="3" xfId="0" applyNumberFormat="1" applyFont="1" applyFill="1" applyBorder="1" applyAlignment="1" applyProtection="1">
      <alignment horizontal="left" vertical="center" wrapText="1"/>
      <protection locked="0"/>
    </xf>
    <xf numFmtId="49" fontId="60" fillId="2" borderId="3" xfId="0" applyNumberFormat="1" applyFont="1" applyFill="1" applyBorder="1" applyAlignment="1" applyProtection="1">
      <alignment horizontal="left" vertical="center"/>
      <protection locked="0"/>
    </xf>
    <xf numFmtId="0" fontId="4" fillId="0" borderId="3" xfId="0" quotePrefix="1" applyFont="1" applyBorder="1" applyAlignment="1">
      <alignment horizontal="left" vertical="center" wrapText="1"/>
    </xf>
    <xf numFmtId="4" fontId="4" fillId="3" borderId="0" xfId="0" applyNumberFormat="1" applyFont="1" applyFill="1" applyAlignment="1">
      <alignment vertical="center"/>
    </xf>
    <xf numFmtId="0" fontId="4" fillId="0" borderId="3" xfId="9" applyFont="1" applyBorder="1" applyAlignment="1">
      <alignment horizontal="center"/>
    </xf>
    <xf numFmtId="4" fontId="72" fillId="3" borderId="3" xfId="0" quotePrefix="1" applyNumberFormat="1" applyFont="1" applyFill="1" applyBorder="1" applyAlignment="1">
      <alignment horizontal="center" vertical="center" wrapText="1"/>
    </xf>
    <xf numFmtId="0" fontId="4" fillId="5" borderId="3" xfId="0" applyFont="1" applyFill="1" applyBorder="1" applyAlignment="1" applyProtection="1">
      <alignment horizontal="center" vertical="center" wrapText="1"/>
      <protection locked="0"/>
    </xf>
    <xf numFmtId="0" fontId="49" fillId="3" borderId="3" xfId="0" applyFont="1" applyFill="1" applyBorder="1" applyAlignment="1">
      <alignment vertical="center" wrapText="1"/>
    </xf>
    <xf numFmtId="0" fontId="41" fillId="3" borderId="3" xfId="0" applyFont="1" applyFill="1" applyBorder="1" applyAlignment="1">
      <alignment horizontal="left" vertical="center" wrapText="1"/>
    </xf>
    <xf numFmtId="0" fontId="48" fillId="3" borderId="3" xfId="0" applyFont="1" applyFill="1" applyBorder="1" applyAlignment="1">
      <alignment vertical="center" wrapText="1"/>
    </xf>
    <xf numFmtId="0" fontId="49" fillId="3" borderId="3" xfId="0" applyFont="1" applyFill="1" applyBorder="1" applyAlignment="1">
      <alignment horizontal="left" vertical="center" wrapText="1"/>
    </xf>
    <xf numFmtId="0" fontId="48" fillId="3" borderId="3" xfId="0" applyFont="1" applyFill="1" applyBorder="1" applyAlignment="1">
      <alignment horizontal="left" vertical="center" wrapText="1"/>
    </xf>
    <xf numFmtId="0" fontId="77" fillId="3" borderId="0" xfId="9" applyFont="1" applyFill="1" applyAlignment="1" applyProtection="1">
      <alignment horizontal="left" vertical="center"/>
      <protection locked="0"/>
    </xf>
    <xf numFmtId="0" fontId="53" fillId="9" borderId="3" xfId="0" applyFont="1" applyFill="1" applyBorder="1" applyAlignment="1">
      <alignment vertical="center"/>
    </xf>
    <xf numFmtId="0" fontId="78" fillId="10" borderId="3" xfId="0" applyFont="1" applyFill="1" applyBorder="1" applyAlignment="1">
      <alignment horizontal="center" vertical="center" wrapText="1"/>
    </xf>
    <xf numFmtId="0" fontId="78" fillId="0" borderId="0" xfId="0" applyFont="1"/>
    <xf numFmtId="0" fontId="78" fillId="11" borderId="3" xfId="0" applyFont="1" applyFill="1" applyBorder="1" applyAlignment="1">
      <alignment horizontal="center" vertical="center" wrapText="1"/>
    </xf>
    <xf numFmtId="0" fontId="78" fillId="0" borderId="3" xfId="0" applyFont="1" applyBorder="1" applyAlignment="1">
      <alignment vertical="center" wrapText="1"/>
    </xf>
    <xf numFmtId="0" fontId="78" fillId="0" borderId="3" xfId="0" applyFont="1" applyBorder="1" applyAlignment="1">
      <alignment horizontal="center" vertical="center" wrapText="1"/>
    </xf>
    <xf numFmtId="0" fontId="79" fillId="11" borderId="3" xfId="0" applyFont="1" applyFill="1" applyBorder="1" applyAlignment="1">
      <alignment horizontal="center" vertical="center" wrapText="1"/>
    </xf>
    <xf numFmtId="0" fontId="22" fillId="0" borderId="0" xfId="0" applyFont="1"/>
    <xf numFmtId="0" fontId="6" fillId="3" borderId="3" xfId="12" applyFont="1" applyFill="1" applyBorder="1" applyAlignment="1" applyProtection="1">
      <alignment horizontal="center" vertical="center" wrapText="1"/>
      <protection locked="0"/>
    </xf>
    <xf numFmtId="0" fontId="22" fillId="0" borderId="3" xfId="0" applyFont="1" applyBorder="1" applyAlignment="1">
      <alignment vertical="center"/>
    </xf>
    <xf numFmtId="0" fontId="22" fillId="0" borderId="3" xfId="0" applyFont="1" applyBorder="1" applyAlignment="1">
      <alignment vertical="center" wrapText="1"/>
    </xf>
    <xf numFmtId="0" fontId="22" fillId="0" borderId="3" xfId="0" applyFont="1" applyBorder="1"/>
    <xf numFmtId="0" fontId="22" fillId="0" borderId="3" xfId="0" applyFont="1" applyBorder="1" applyAlignment="1">
      <alignment horizontal="left" vertical="center"/>
    </xf>
    <xf numFmtId="0" fontId="22" fillId="0" borderId="3" xfId="0" applyFont="1" applyBorder="1" applyAlignment="1">
      <alignment horizontal="center"/>
    </xf>
    <xf numFmtId="0" fontId="22" fillId="0" borderId="3" xfId="0" applyFont="1" applyBorder="1" applyAlignment="1">
      <alignment wrapText="1"/>
    </xf>
    <xf numFmtId="0" fontId="75" fillId="3" borderId="3" xfId="9" applyFont="1" applyFill="1" applyBorder="1" applyAlignment="1" applyProtection="1">
      <alignment vertical="center" wrapText="1"/>
      <protection locked="0"/>
    </xf>
    <xf numFmtId="9" fontId="4" fillId="2" borderId="3" xfId="0" applyNumberFormat="1" applyFont="1" applyFill="1" applyBorder="1" applyAlignment="1" applyProtection="1">
      <alignment horizontal="right" vertical="center" wrapText="1"/>
      <protection locked="0"/>
    </xf>
    <xf numFmtId="0" fontId="41" fillId="3" borderId="0" xfId="9" applyFont="1" applyFill="1" applyAlignment="1" applyProtection="1">
      <alignment horizontal="left" vertical="center" wrapText="1"/>
      <protection locked="0"/>
    </xf>
    <xf numFmtId="0" fontId="8" fillId="3" borderId="0" xfId="9" applyFont="1" applyFill="1" applyAlignment="1" applyProtection="1">
      <alignment horizontal="left" vertical="center" wrapText="1"/>
      <protection locked="0"/>
    </xf>
    <xf numFmtId="0" fontId="4" fillId="7" borderId="0" xfId="9" applyFont="1" applyFill="1" applyAlignment="1" applyProtection="1">
      <alignment vertical="center"/>
      <protection locked="0"/>
    </xf>
    <xf numFmtId="0" fontId="1" fillId="0" borderId="0" xfId="0" applyFont="1" applyAlignment="1">
      <alignment vertical="top"/>
    </xf>
    <xf numFmtId="0" fontId="1" fillId="0" borderId="0" xfId="0" applyFont="1" applyAlignment="1" applyProtection="1">
      <alignment vertical="top"/>
      <protection locked="0"/>
    </xf>
    <xf numFmtId="0" fontId="76" fillId="0" borderId="3" xfId="0" applyFont="1" applyBorder="1" applyAlignment="1">
      <alignment vertical="top" wrapText="1"/>
    </xf>
    <xf numFmtId="0" fontId="4" fillId="3" borderId="3" xfId="9" applyFont="1" applyFill="1" applyBorder="1" applyAlignment="1" applyProtection="1">
      <alignment horizontal="center" vertical="center" wrapText="1"/>
      <protection locked="0"/>
    </xf>
    <xf numFmtId="0" fontId="4" fillId="3" borderId="3" xfId="9" applyFont="1" applyFill="1" applyBorder="1" applyAlignment="1" applyProtection="1">
      <alignment horizontal="left" vertical="center" wrapText="1"/>
      <protection locked="0"/>
    </xf>
    <xf numFmtId="0" fontId="5" fillId="3" borderId="3" xfId="9" applyFont="1" applyFill="1" applyBorder="1" applyAlignment="1" applyProtection="1">
      <alignment vertical="center" wrapText="1"/>
      <protection locked="0"/>
    </xf>
    <xf numFmtId="2" fontId="4" fillId="3" borderId="3" xfId="9" applyNumberFormat="1" applyFont="1" applyFill="1" applyBorder="1" applyAlignment="1" applyProtection="1">
      <alignment vertical="center" wrapText="1"/>
      <protection locked="0"/>
    </xf>
    <xf numFmtId="0" fontId="82" fillId="12" borderId="15" xfId="0" applyFont="1" applyFill="1" applyBorder="1" applyAlignment="1">
      <alignment wrapText="1" readingOrder="1"/>
    </xf>
    <xf numFmtId="0" fontId="82" fillId="0" borderId="16" xfId="0" applyFont="1" applyBorder="1" applyAlignment="1">
      <alignment wrapText="1" readingOrder="1"/>
    </xf>
    <xf numFmtId="0" fontId="82" fillId="12" borderId="16" xfId="0" applyFont="1" applyFill="1" applyBorder="1" applyAlignment="1">
      <alignment wrapText="1" readingOrder="1"/>
    </xf>
    <xf numFmtId="2" fontId="74" fillId="3" borderId="3" xfId="9" applyNumberFormat="1" applyFont="1" applyFill="1" applyBorder="1" applyAlignment="1" applyProtection="1">
      <alignment vertical="center" wrapText="1"/>
      <protection locked="0"/>
    </xf>
    <xf numFmtId="0" fontId="5" fillId="3" borderId="3" xfId="9" applyFont="1" applyFill="1" applyBorder="1" applyAlignment="1" applyProtection="1">
      <alignment horizontal="left" vertical="center" wrapText="1"/>
      <protection locked="0"/>
    </xf>
    <xf numFmtId="0" fontId="4" fillId="3" borderId="3" xfId="9" applyFont="1" applyFill="1" applyBorder="1" applyAlignment="1" applyProtection="1">
      <alignment vertical="center" wrapText="1"/>
      <protection locked="0"/>
    </xf>
    <xf numFmtId="2" fontId="5" fillId="3" borderId="3" xfId="9" applyNumberFormat="1" applyFont="1" applyFill="1" applyBorder="1" applyAlignment="1">
      <alignment horizontal="right" vertical="center" wrapText="1"/>
    </xf>
    <xf numFmtId="0" fontId="5" fillId="3" borderId="3" xfId="9" applyFont="1" applyFill="1" applyBorder="1" applyAlignment="1" applyProtection="1">
      <alignment horizontal="right" vertical="center" wrapText="1"/>
      <protection locked="0"/>
    </xf>
    <xf numFmtId="2" fontId="75" fillId="3" borderId="3" xfId="9" applyNumberFormat="1" applyFont="1" applyFill="1" applyBorder="1" applyAlignment="1" applyProtection="1">
      <alignment horizontal="right" vertical="center" wrapText="1"/>
      <protection locked="0"/>
    </xf>
    <xf numFmtId="2" fontId="75" fillId="3" borderId="3" xfId="9" applyNumberFormat="1" applyFont="1" applyFill="1" applyBorder="1" applyAlignment="1">
      <alignment horizontal="right" vertical="center" wrapText="1"/>
    </xf>
    <xf numFmtId="0" fontId="4" fillId="12" borderId="16" xfId="0" applyFont="1" applyFill="1" applyBorder="1" applyAlignment="1">
      <alignment wrapText="1" readingOrder="1"/>
    </xf>
    <xf numFmtId="0" fontId="4" fillId="0" borderId="16" xfId="0" applyFont="1" applyBorder="1" applyAlignment="1">
      <alignment wrapText="1" readingOrder="1"/>
    </xf>
    <xf numFmtId="0" fontId="82" fillId="5" borderId="16" xfId="0" applyFont="1" applyFill="1" applyBorder="1" applyAlignment="1">
      <alignment wrapText="1" readingOrder="1"/>
    </xf>
    <xf numFmtId="0" fontId="83" fillId="3" borderId="0" xfId="9" applyFont="1" applyFill="1" applyAlignment="1" applyProtection="1">
      <alignment vertical="center"/>
      <protection locked="0"/>
    </xf>
    <xf numFmtId="0" fontId="47" fillId="3" borderId="0" xfId="9" applyFont="1" applyFill="1" applyAlignment="1" applyProtection="1">
      <alignment vertical="center"/>
      <protection locked="0"/>
    </xf>
    <xf numFmtId="0" fontId="47" fillId="3" borderId="3" xfId="9" applyFont="1" applyFill="1" applyBorder="1" applyAlignment="1" applyProtection="1">
      <alignment vertical="center" wrapText="1"/>
      <protection locked="0"/>
    </xf>
    <xf numFmtId="0" fontId="84" fillId="3" borderId="0" xfId="9" applyFont="1" applyFill="1" applyAlignment="1" applyProtection="1">
      <alignment vertical="center"/>
      <protection locked="0"/>
    </xf>
    <xf numFmtId="0" fontId="82" fillId="12" borderId="18" xfId="0" applyFont="1" applyFill="1" applyBorder="1" applyAlignment="1">
      <alignment wrapText="1" readingOrder="1"/>
    </xf>
    <xf numFmtId="0" fontId="82" fillId="12" borderId="19" xfId="0" applyFont="1" applyFill="1" applyBorder="1" applyAlignment="1">
      <alignment wrapText="1" readingOrder="1"/>
    </xf>
    <xf numFmtId="0" fontId="82" fillId="0" borderId="19" xfId="0" applyFont="1" applyBorder="1" applyAlignment="1">
      <alignment wrapText="1" readingOrder="1"/>
    </xf>
    <xf numFmtId="0" fontId="4" fillId="12" borderId="19" xfId="0" applyFont="1" applyFill="1" applyBorder="1" applyAlignment="1">
      <alignment wrapText="1" readingOrder="1"/>
    </xf>
    <xf numFmtId="0" fontId="82" fillId="5" borderId="19" xfId="0" applyFont="1" applyFill="1" applyBorder="1" applyAlignment="1">
      <alignment wrapText="1" readingOrder="1"/>
    </xf>
    <xf numFmtId="0" fontId="4" fillId="12" borderId="20" xfId="0" applyFont="1" applyFill="1" applyBorder="1" applyAlignment="1">
      <alignment wrapText="1" readingOrder="1"/>
    </xf>
    <xf numFmtId="0" fontId="4" fillId="5" borderId="7" xfId="0" applyFont="1" applyFill="1" applyBorder="1" applyAlignment="1">
      <alignment horizontal="left" wrapText="1" readingOrder="1"/>
    </xf>
    <xf numFmtId="0" fontId="47" fillId="3" borderId="8" xfId="9" applyFont="1" applyFill="1" applyBorder="1" applyAlignment="1" applyProtection="1">
      <alignment vertical="center" wrapText="1"/>
      <protection locked="0"/>
    </xf>
    <xf numFmtId="0" fontId="47" fillId="0" borderId="3" xfId="0" applyFont="1" applyBorder="1" applyAlignment="1">
      <alignment vertical="center" wrapText="1"/>
    </xf>
    <xf numFmtId="0" fontId="4" fillId="2" borderId="0" xfId="0" applyFont="1" applyFill="1" applyAlignment="1">
      <alignment horizontal="left"/>
    </xf>
    <xf numFmtId="0" fontId="22" fillId="2" borderId="0" xfId="13" applyFont="1" applyFill="1" applyAlignment="1">
      <alignment horizontal="center"/>
    </xf>
    <xf numFmtId="0" fontId="6" fillId="2" borderId="0" xfId="13" applyFont="1" applyFill="1" applyAlignment="1">
      <alignment horizontal="center"/>
    </xf>
    <xf numFmtId="0" fontId="23" fillId="2" borderId="0" xfId="13" applyFont="1" applyFill="1" applyAlignment="1">
      <alignment horizontal="center" vertical="center"/>
    </xf>
    <xf numFmtId="0" fontId="24" fillId="2" borderId="0" xfId="13" applyFont="1" applyFill="1" applyAlignment="1">
      <alignment horizontal="center" wrapText="1"/>
    </xf>
    <xf numFmtId="0" fontId="40" fillId="2" borderId="0" xfId="0" applyFont="1" applyFill="1" applyAlignment="1">
      <alignment horizontal="center"/>
    </xf>
    <xf numFmtId="0" fontId="7" fillId="3" borderId="0" xfId="0" applyFont="1" applyFill="1" applyAlignment="1">
      <alignment horizontal="center" vertical="center"/>
    </xf>
    <xf numFmtId="0" fontId="46" fillId="7" borderId="0" xfId="0" applyFont="1" applyFill="1" applyAlignment="1">
      <alignment horizontal="center"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7" xfId="0" applyFont="1" applyFill="1" applyBorder="1" applyAlignment="1">
      <alignment horizontal="left" vertical="center"/>
    </xf>
    <xf numFmtId="0" fontId="55" fillId="0" borderId="0" xfId="0" applyFont="1" applyAlignment="1">
      <alignment horizontal="center" vertical="top" wrapText="1"/>
    </xf>
    <xf numFmtId="0" fontId="68" fillId="8" borderId="3" xfId="0" applyFont="1" applyFill="1" applyBorder="1" applyAlignment="1">
      <alignment horizontal="center" vertical="top"/>
    </xf>
    <xf numFmtId="0" fontId="68" fillId="8" borderId="3" xfId="0" applyFont="1" applyFill="1" applyBorder="1" applyAlignment="1">
      <alignment horizontal="center" vertical="top" wrapText="1"/>
    </xf>
    <xf numFmtId="0" fontId="68" fillId="8" borderId="4" xfId="0" applyFont="1" applyFill="1" applyBorder="1" applyAlignment="1">
      <alignment horizontal="center" vertical="top" wrapText="1"/>
    </xf>
    <xf numFmtId="0" fontId="68" fillId="8" borderId="8" xfId="0" applyFont="1" applyFill="1" applyBorder="1" applyAlignment="1">
      <alignment horizontal="center" vertical="top"/>
    </xf>
    <xf numFmtId="0" fontId="40" fillId="3" borderId="0" xfId="9" applyFont="1" applyFill="1" applyAlignment="1" applyProtection="1">
      <alignment horizontal="center" vertical="center" wrapText="1"/>
      <protection locked="0"/>
    </xf>
    <xf numFmtId="0" fontId="46" fillId="7" borderId="0" xfId="9" applyFont="1" applyFill="1" applyAlignment="1" applyProtection="1">
      <alignment horizontal="center" vertical="center"/>
      <protection locked="0"/>
    </xf>
    <xf numFmtId="0" fontId="41" fillId="3" borderId="0" xfId="9" applyFont="1" applyFill="1" applyAlignment="1" applyProtection="1">
      <alignment horizontal="left" vertical="center" wrapText="1"/>
      <protection locked="0"/>
    </xf>
    <xf numFmtId="0" fontId="5" fillId="3" borderId="4" xfId="9" applyFont="1" applyFill="1" applyBorder="1" applyAlignment="1" applyProtection="1">
      <alignment horizontal="center" vertical="center" wrapText="1"/>
      <protection locked="0"/>
    </xf>
    <xf numFmtId="0" fontId="5" fillId="3" borderId="8" xfId="9" applyFont="1" applyFill="1" applyBorder="1" applyAlignment="1" applyProtection="1">
      <alignment horizontal="center" vertical="center" wrapText="1"/>
      <protection locked="0"/>
    </xf>
    <xf numFmtId="0" fontId="43" fillId="3" borderId="4" xfId="9" applyFont="1" applyFill="1" applyBorder="1" applyAlignment="1" applyProtection="1">
      <alignment horizontal="center" vertical="center" wrapText="1"/>
      <protection locked="0"/>
    </xf>
    <xf numFmtId="0" fontId="43" fillId="3" borderId="17" xfId="9" applyFont="1" applyFill="1" applyBorder="1" applyAlignment="1" applyProtection="1">
      <alignment horizontal="center" vertical="center" wrapText="1"/>
      <protection locked="0"/>
    </xf>
    <xf numFmtId="0" fontId="5" fillId="3" borderId="5" xfId="9" applyFont="1" applyFill="1" applyBorder="1" applyAlignment="1" applyProtection="1">
      <alignment horizontal="center" vertical="center" wrapText="1"/>
      <protection locked="0"/>
    </xf>
    <xf numFmtId="0" fontId="5" fillId="3" borderId="2" xfId="9" applyFont="1" applyFill="1" applyBorder="1" applyAlignment="1" applyProtection="1">
      <alignment horizontal="center" vertical="center" wrapText="1"/>
      <protection locked="0"/>
    </xf>
    <xf numFmtId="0" fontId="5" fillId="3" borderId="7" xfId="9" applyFont="1" applyFill="1" applyBorder="1" applyAlignment="1" applyProtection="1">
      <alignment horizontal="center" vertical="center" wrapText="1"/>
      <protection locked="0"/>
    </xf>
    <xf numFmtId="0" fontId="5" fillId="3" borderId="17" xfId="9" applyFont="1" applyFill="1" applyBorder="1" applyAlignment="1" applyProtection="1">
      <alignment horizontal="center" vertical="center" wrapText="1"/>
      <protection locked="0"/>
    </xf>
    <xf numFmtId="0" fontId="47" fillId="0" borderId="3" xfId="0" applyFont="1" applyBorder="1" applyAlignment="1">
      <alignment vertical="center" wrapText="1"/>
    </xf>
    <xf numFmtId="0" fontId="75" fillId="3" borderId="5" xfId="9" applyFont="1" applyFill="1" applyBorder="1" applyAlignment="1" applyProtection="1">
      <alignment horizontal="center" vertical="center" wrapText="1"/>
      <protection locked="0"/>
    </xf>
    <xf numFmtId="0" fontId="75" fillId="3" borderId="2" xfId="9" applyFont="1" applyFill="1" applyBorder="1" applyAlignment="1" applyProtection="1">
      <alignment horizontal="center" vertical="center" wrapText="1"/>
      <protection locked="0"/>
    </xf>
    <xf numFmtId="0" fontId="75" fillId="3" borderId="7" xfId="9" applyFont="1" applyFill="1" applyBorder="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48" fillId="3" borderId="4" xfId="9" applyFont="1" applyFill="1" applyBorder="1" applyAlignment="1" applyProtection="1">
      <alignment vertical="center" wrapText="1"/>
      <protection locked="0"/>
    </xf>
    <xf numFmtId="0" fontId="48" fillId="3" borderId="14" xfId="9" applyFont="1" applyFill="1" applyBorder="1" applyAlignment="1" applyProtection="1">
      <alignment vertical="center" wrapText="1"/>
      <protection locked="0"/>
    </xf>
    <xf numFmtId="0" fontId="4" fillId="3" borderId="0" xfId="9" applyFont="1" applyFill="1" applyAlignment="1" applyProtection="1">
      <alignment horizontal="left" vertical="center"/>
      <protection locked="0"/>
    </xf>
    <xf numFmtId="0" fontId="5" fillId="3" borderId="6" xfId="9" applyFont="1" applyFill="1" applyBorder="1" applyAlignment="1" applyProtection="1">
      <alignment horizontal="center" vertical="center" wrapText="1"/>
      <protection locked="0"/>
    </xf>
    <xf numFmtId="0" fontId="5" fillId="3" borderId="11" xfId="9" applyFont="1" applyFill="1" applyBorder="1" applyAlignment="1" applyProtection="1">
      <alignment horizontal="center" vertical="center" wrapText="1"/>
      <protection locked="0"/>
    </xf>
    <xf numFmtId="0" fontId="41" fillId="3" borderId="0" xfId="9" applyFont="1" applyFill="1" applyAlignment="1" applyProtection="1">
      <alignment horizontal="left" vertical="center"/>
      <protection locked="0"/>
    </xf>
    <xf numFmtId="0" fontId="5" fillId="3" borderId="4" xfId="9" applyFont="1" applyFill="1" applyBorder="1" applyAlignment="1" applyProtection="1">
      <alignment horizontal="center" vertical="center"/>
      <protection locked="0"/>
    </xf>
    <xf numFmtId="0" fontId="5" fillId="3" borderId="8" xfId="9" applyFont="1" applyFill="1" applyBorder="1" applyAlignment="1" applyProtection="1">
      <alignment horizontal="center" vertical="center"/>
      <protection locked="0"/>
    </xf>
    <xf numFmtId="0" fontId="5" fillId="4" borderId="3" xfId="12" applyFont="1" applyFill="1" applyBorder="1" applyAlignment="1" applyProtection="1">
      <alignment horizontal="center" vertical="center" wrapText="1"/>
      <protection locked="0"/>
    </xf>
    <xf numFmtId="0" fontId="5" fillId="3" borderId="9" xfId="9" applyFont="1" applyFill="1" applyBorder="1" applyAlignment="1" applyProtection="1">
      <alignment horizontal="center" vertical="center" wrapText="1"/>
      <protection locked="0"/>
    </xf>
    <xf numFmtId="0" fontId="5" fillId="3" borderId="10" xfId="9" applyFont="1" applyFill="1" applyBorder="1" applyAlignment="1" applyProtection="1">
      <alignment horizontal="center" vertical="center" wrapText="1"/>
      <protection locked="0"/>
    </xf>
    <xf numFmtId="0" fontId="56" fillId="3" borderId="13" xfId="0" quotePrefix="1" applyFont="1" applyFill="1" applyBorder="1" applyAlignment="1" applyProtection="1">
      <alignment horizontal="center" vertical="center"/>
      <protection locked="0"/>
    </xf>
    <xf numFmtId="0" fontId="4" fillId="3" borderId="9" xfId="0" quotePrefix="1" applyFont="1" applyFill="1" applyBorder="1" applyAlignment="1" applyProtection="1">
      <alignment horizontal="center" vertical="center" wrapText="1"/>
      <protection locked="0"/>
    </xf>
    <xf numFmtId="0" fontId="4" fillId="3" borderId="0" xfId="0" quotePrefix="1" applyFont="1" applyFill="1" applyAlignment="1" applyProtection="1">
      <alignment horizontal="left" vertical="center" wrapText="1"/>
      <protection locked="0"/>
    </xf>
    <xf numFmtId="0" fontId="56" fillId="3" borderId="0" xfId="0" quotePrefix="1" applyFont="1" applyFill="1" applyAlignment="1" applyProtection="1">
      <alignment horizontal="left" vertical="center"/>
      <protection locked="0"/>
    </xf>
    <xf numFmtId="0" fontId="55" fillId="3" borderId="0" xfId="0" applyFont="1" applyFill="1" applyAlignment="1" applyProtection="1">
      <alignment horizontal="left" vertical="center" wrapText="1"/>
      <protection locked="0"/>
    </xf>
    <xf numFmtId="0" fontId="80" fillId="3" borderId="0" xfId="0" applyFont="1" applyFill="1" applyAlignment="1" applyProtection="1">
      <alignment horizontal="left" vertical="center" wrapText="1"/>
      <protection locked="0"/>
    </xf>
    <xf numFmtId="0" fontId="8" fillId="3" borderId="0" xfId="0" applyFont="1" applyFill="1" applyAlignment="1" applyProtection="1">
      <alignment horizontal="left" vertical="center" wrapText="1"/>
      <protection locked="0"/>
    </xf>
    <xf numFmtId="0" fontId="8" fillId="3" borderId="12" xfId="0" applyFont="1" applyFill="1" applyBorder="1" applyAlignment="1" applyProtection="1">
      <alignment horizontal="left" vertical="center" wrapText="1"/>
      <protection locked="0"/>
    </xf>
    <xf numFmtId="0" fontId="4" fillId="3" borderId="9" xfId="0" quotePrefix="1" applyFont="1" applyFill="1" applyBorder="1" applyAlignment="1" applyProtection="1">
      <alignment horizontal="left" vertical="center" wrapText="1"/>
      <protection locked="0"/>
    </xf>
    <xf numFmtId="0" fontId="60" fillId="3" borderId="0" xfId="0" applyFont="1" applyFill="1" applyAlignment="1" applyProtection="1">
      <alignment horizontal="left" vertical="center"/>
      <protection locked="0"/>
    </xf>
    <xf numFmtId="0" fontId="4" fillId="3" borderId="0" xfId="0" applyFont="1" applyFill="1" applyAlignment="1" applyProtection="1">
      <alignment horizontal="left" vertical="center" wrapText="1"/>
      <protection locked="0"/>
    </xf>
    <xf numFmtId="0" fontId="3" fillId="4" borderId="0" xfId="15" applyFill="1" applyAlignment="1">
      <alignment horizontal="left" vertical="center" wrapText="1"/>
    </xf>
    <xf numFmtId="0" fontId="22" fillId="0" borderId="4" xfId="0" applyFont="1" applyBorder="1" applyAlignment="1">
      <alignment horizontal="left" vertical="center" wrapText="1"/>
    </xf>
    <xf numFmtId="0" fontId="22" fillId="0" borderId="14" xfId="0" applyFont="1" applyBorder="1" applyAlignment="1">
      <alignment horizontal="left" vertical="center" wrapText="1"/>
    </xf>
    <xf numFmtId="0" fontId="22" fillId="0" borderId="8" xfId="0" applyFont="1" applyBorder="1" applyAlignment="1">
      <alignment horizontal="left" vertical="center" wrapText="1"/>
    </xf>
    <xf numFmtId="0" fontId="6" fillId="0" borderId="5" xfId="0" applyFont="1" applyBorder="1" applyAlignment="1">
      <alignment horizontal="center" vertical="top" wrapText="1"/>
    </xf>
    <xf numFmtId="0" fontId="6" fillId="0" borderId="2" xfId="0" applyFont="1" applyBorder="1" applyAlignment="1">
      <alignment horizontal="center" vertical="top" wrapText="1"/>
    </xf>
    <xf numFmtId="0" fontId="6" fillId="0" borderId="2" xfId="0" applyFont="1" applyBorder="1" applyAlignment="1">
      <alignment horizontal="center" vertical="top"/>
    </xf>
    <xf numFmtId="0" fontId="6" fillId="0" borderId="7" xfId="0" applyFont="1" applyBorder="1" applyAlignment="1">
      <alignment horizontal="center" vertical="top"/>
    </xf>
    <xf numFmtId="0" fontId="6" fillId="3" borderId="3" xfId="12" applyFont="1" applyFill="1" applyBorder="1" applyAlignment="1" applyProtection="1">
      <alignment horizontal="center" vertical="center" wrapText="1"/>
      <protection locked="0"/>
    </xf>
    <xf numFmtId="0" fontId="6" fillId="3" borderId="4" xfId="12" applyFont="1" applyFill="1" applyBorder="1" applyAlignment="1" applyProtection="1">
      <alignment horizontal="center" vertical="center" wrapText="1"/>
      <protection locked="0"/>
    </xf>
    <xf numFmtId="0" fontId="6" fillId="3" borderId="8" xfId="12" applyFont="1" applyFill="1" applyBorder="1" applyAlignment="1" applyProtection="1">
      <alignment horizontal="center" vertical="center" wrapText="1"/>
      <protection locked="0"/>
    </xf>
    <xf numFmtId="0" fontId="22" fillId="0" borderId="3" xfId="0" applyFont="1" applyBorder="1" applyAlignment="1">
      <alignmen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xf>
    <xf numFmtId="0" fontId="22" fillId="0" borderId="14" xfId="0" applyFont="1" applyBorder="1" applyAlignment="1">
      <alignment horizontal="left" vertical="center"/>
    </xf>
    <xf numFmtId="0" fontId="22" fillId="0" borderId="8" xfId="0" applyFont="1" applyBorder="1" applyAlignment="1">
      <alignment horizontal="left" vertical="center"/>
    </xf>
    <xf numFmtId="0" fontId="22" fillId="0" borderId="3" xfId="0" applyFont="1" applyBorder="1" applyAlignment="1">
      <alignment vertical="center"/>
    </xf>
    <xf numFmtId="0" fontId="29" fillId="3" borderId="5"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37" fillId="3" borderId="5" xfId="0" applyFont="1" applyFill="1" applyBorder="1" applyAlignment="1">
      <alignment horizontal="center" vertical="center"/>
    </xf>
    <xf numFmtId="0" fontId="37" fillId="3" borderId="2" xfId="0" applyFont="1" applyFill="1" applyBorder="1" applyAlignment="1">
      <alignment horizontal="center" vertical="center"/>
    </xf>
    <xf numFmtId="0" fontId="37" fillId="3" borderId="7" xfId="0" applyFont="1" applyFill="1" applyBorder="1" applyAlignment="1">
      <alignment horizontal="center" vertical="center"/>
    </xf>
    <xf numFmtId="0" fontId="28" fillId="3" borderId="5" xfId="0" applyFont="1" applyFill="1" applyBorder="1" applyAlignment="1">
      <alignment horizontal="left" vertical="center" wrapText="1"/>
    </xf>
    <xf numFmtId="0" fontId="28" fillId="3" borderId="7" xfId="0" applyFont="1" applyFill="1" applyBorder="1" applyAlignment="1">
      <alignment horizontal="left" vertical="center" wrapText="1"/>
    </xf>
    <xf numFmtId="0" fontId="8" fillId="3" borderId="5"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4" fillId="2" borderId="3" xfId="7" quotePrefix="1" applyFont="1" applyFill="1" applyBorder="1" applyAlignment="1" applyProtection="1">
      <alignment horizontal="left" vertical="center" wrapText="1"/>
    </xf>
    <xf numFmtId="0" fontId="38" fillId="2" borderId="5" xfId="7" applyFont="1" applyFill="1" applyBorder="1" applyAlignment="1" applyProtection="1">
      <alignment horizontal="center" vertical="center" wrapText="1"/>
    </xf>
    <xf numFmtId="0" fontId="38" fillId="2" borderId="7" xfId="7" applyFont="1" applyFill="1" applyBorder="1" applyAlignment="1" applyProtection="1">
      <alignment horizontal="center" vertical="center" wrapText="1"/>
    </xf>
    <xf numFmtId="0" fontId="63" fillId="2" borderId="5" xfId="7" quotePrefix="1" applyFont="1" applyFill="1" applyBorder="1" applyAlignment="1" applyProtection="1">
      <alignment horizontal="left" vertical="center" wrapText="1"/>
    </xf>
    <xf numFmtId="0" fontId="4" fillId="2" borderId="2" xfId="7" quotePrefix="1" applyFont="1" applyFill="1" applyBorder="1" applyAlignment="1" applyProtection="1">
      <alignment horizontal="left" vertical="center" wrapText="1"/>
    </xf>
    <xf numFmtId="0" fontId="4" fillId="2" borderId="7" xfId="7" quotePrefix="1" applyFont="1" applyFill="1" applyBorder="1" applyAlignment="1" applyProtection="1">
      <alignment horizontal="left" vertical="center" wrapText="1"/>
    </xf>
    <xf numFmtId="0" fontId="4" fillId="2" borderId="3" xfId="7" applyFont="1" applyFill="1" applyBorder="1" applyAlignment="1" applyProtection="1">
      <alignment horizontal="left" vertical="center" wrapText="1"/>
    </xf>
    <xf numFmtId="0" fontId="4" fillId="2" borderId="0" xfId="9" applyFont="1" applyFill="1" applyAlignment="1">
      <alignment horizontal="left" wrapText="1"/>
    </xf>
    <xf numFmtId="0" fontId="39" fillId="2" borderId="0" xfId="9" applyFont="1" applyFill="1" applyAlignment="1" applyProtection="1">
      <alignment horizontal="center" vertical="center" wrapText="1"/>
      <protection locked="0"/>
    </xf>
    <xf numFmtId="0" fontId="8" fillId="2" borderId="0" xfId="9" applyFont="1" applyFill="1" applyAlignment="1">
      <alignment horizontal="left" wrapText="1"/>
    </xf>
    <xf numFmtId="0" fontId="4" fillId="2" borderId="0" xfId="9" applyFont="1" applyFill="1" applyAlignment="1">
      <alignment horizontal="left" vertical="top" wrapText="1"/>
    </xf>
    <xf numFmtId="0" fontId="4" fillId="2" borderId="5" xfId="7" quotePrefix="1" applyFont="1" applyFill="1" applyBorder="1" applyAlignment="1" applyProtection="1">
      <alignment horizontal="left" vertical="center" wrapText="1"/>
    </xf>
    <xf numFmtId="0" fontId="21" fillId="2" borderId="0" xfId="9" applyFont="1" applyFill="1" applyAlignment="1">
      <alignment horizontal="left" wrapText="1"/>
    </xf>
    <xf numFmtId="0" fontId="40" fillId="2" borderId="0" xfId="9" applyFont="1" applyFill="1" applyAlignment="1" applyProtection="1">
      <alignment horizontal="center" vertical="center" wrapText="1"/>
      <protection locked="0"/>
    </xf>
    <xf numFmtId="0" fontId="37" fillId="2" borderId="0" xfId="9" applyFont="1" applyFill="1" applyAlignment="1">
      <alignment horizontal="left" wrapText="1"/>
    </xf>
    <xf numFmtId="0" fontId="3" fillId="0" borderId="0" xfId="9" applyAlignment="1">
      <alignment horizontal="left" wrapText="1"/>
    </xf>
    <xf numFmtId="0" fontId="34" fillId="0" borderId="0" xfId="9" applyFont="1" applyAlignment="1">
      <alignment horizontal="left" wrapText="1"/>
    </xf>
  </cellXfs>
  <cellStyles count="39">
    <cellStyle name="Comma0" xfId="1" xr:uid="{00000000-0005-0000-0000-000000000000}"/>
    <cellStyle name="Currency0" xfId="2" xr:uid="{00000000-0005-0000-0000-000001000000}"/>
    <cellStyle name="Date" xfId="3" xr:uid="{00000000-0005-0000-0000-000002000000}"/>
    <cellStyle name="Fixed" xfId="4" xr:uid="{00000000-0005-0000-0000-000003000000}"/>
    <cellStyle name="Header1" xfId="5" xr:uid="{00000000-0005-0000-0000-000004000000}"/>
    <cellStyle name="Header2" xfId="6" xr:uid="{00000000-0005-0000-0000-000005000000}"/>
    <cellStyle name="Hyperlink" xfId="7" builtinId="8"/>
    <cellStyle name="Hyperlink 2" xfId="8" xr:uid="{00000000-0005-0000-0000-000007000000}"/>
    <cellStyle name="Normal" xfId="0" builtinId="0"/>
    <cellStyle name="Normal 13" xfId="9" xr:uid="{00000000-0005-0000-0000-000009000000}"/>
    <cellStyle name="Normal 13 2" xfId="38" xr:uid="{00000000-0005-0000-0000-00000A000000}"/>
    <cellStyle name="Normal 2" xfId="10" xr:uid="{00000000-0005-0000-0000-00000B000000}"/>
    <cellStyle name="Normal 2 2" xfId="11" xr:uid="{00000000-0005-0000-0000-00000C000000}"/>
    <cellStyle name="Normal 2 3" xfId="12" xr:uid="{00000000-0005-0000-0000-00000D000000}"/>
    <cellStyle name="Normal 3" xfId="13" xr:uid="{00000000-0005-0000-0000-00000E000000}"/>
    <cellStyle name="Normal 4" xfId="14" xr:uid="{00000000-0005-0000-0000-00000F000000}"/>
    <cellStyle name="Normal 5" xfId="15" xr:uid="{00000000-0005-0000-0000-000010000000}"/>
    <cellStyle name="Percent" xfId="16" builtinId="5"/>
    <cellStyle name="Percent 2" xfId="17" xr:uid="{00000000-0005-0000-0000-000012000000}"/>
    <cellStyle name="Percent 2 2" xfId="18" xr:uid="{00000000-0005-0000-0000-000013000000}"/>
    <cellStyle name="Percent 3" xfId="19" xr:uid="{00000000-0005-0000-0000-000014000000}"/>
    <cellStyle name="Percent 4" xfId="20" xr:uid="{00000000-0005-0000-0000-000015000000}"/>
    <cellStyle name="똿뗦먛귟 [0.00]_PRODUCT DETAIL Q1" xfId="21" xr:uid="{00000000-0005-0000-0000-000016000000}"/>
    <cellStyle name="똿뗦먛귟_PRODUCT DETAIL Q1" xfId="22" xr:uid="{00000000-0005-0000-0000-000017000000}"/>
    <cellStyle name="믅됞 [0.00]_PRODUCT DETAIL Q1" xfId="23" xr:uid="{00000000-0005-0000-0000-000018000000}"/>
    <cellStyle name="믅됞_PRODUCT DETAIL Q1" xfId="24" xr:uid="{00000000-0005-0000-0000-000019000000}"/>
    <cellStyle name="백분율_95" xfId="25" xr:uid="{00000000-0005-0000-0000-00001A000000}"/>
    <cellStyle name="뷭?_BOOKSHIP" xfId="26" xr:uid="{00000000-0005-0000-0000-00001B000000}"/>
    <cellStyle name="콤마 [0]_1202" xfId="27" xr:uid="{00000000-0005-0000-0000-00001C000000}"/>
    <cellStyle name="콤마_1202" xfId="28" xr:uid="{00000000-0005-0000-0000-00001D000000}"/>
    <cellStyle name="통화 [0]_1202" xfId="29" xr:uid="{00000000-0005-0000-0000-00001E000000}"/>
    <cellStyle name="통화_1202" xfId="30" xr:uid="{00000000-0005-0000-0000-00001F000000}"/>
    <cellStyle name="표준_(정보부문)월별인원계획" xfId="31" xr:uid="{00000000-0005-0000-0000-000020000000}"/>
    <cellStyle name="一般_Book1" xfId="32" xr:uid="{00000000-0005-0000-0000-000021000000}"/>
    <cellStyle name="千分位[0]_Book1" xfId="33" xr:uid="{00000000-0005-0000-0000-000022000000}"/>
    <cellStyle name="千分位_Book1" xfId="34" xr:uid="{00000000-0005-0000-0000-000023000000}"/>
    <cellStyle name="標準_結合試験(AllOvertheWorld)" xfId="35" xr:uid="{00000000-0005-0000-0000-000024000000}"/>
    <cellStyle name="貨幣 [0]_Book1" xfId="36" xr:uid="{00000000-0005-0000-0000-000025000000}"/>
    <cellStyle name="貨幣_Book1" xfId="37" xr:uid="{00000000-0005-0000-0000-000026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ont>
        <color indexed="20"/>
      </font>
      <fill>
        <patternFill>
          <bgColor indexed="4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133350</xdr:rowOff>
    </xdr:from>
    <xdr:to>
      <xdr:col>1</xdr:col>
      <xdr:colOff>933450</xdr:colOff>
      <xdr:row>3</xdr:row>
      <xdr:rowOff>152400</xdr:rowOff>
    </xdr:to>
    <xdr:pic>
      <xdr:nvPicPr>
        <xdr:cNvPr id="97290" name="Picture 1">
          <a:extLst>
            <a:ext uri="{FF2B5EF4-FFF2-40B4-BE49-F238E27FC236}">
              <a16:creationId xmlns:a16="http://schemas.microsoft.com/office/drawing/2014/main" id="{DE223F94-C9FD-E09A-1930-1B333C2CA0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4355"/>
        <a:stretch>
          <a:fillRect/>
        </a:stretch>
      </xdr:blipFill>
      <xdr:spPr bwMode="auto">
        <a:xfrm>
          <a:off x="114300" y="133350"/>
          <a:ext cx="14287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58359</xdr:colOff>
      <xdr:row>0</xdr:row>
      <xdr:rowOff>380253</xdr:rowOff>
    </xdr:from>
    <xdr:to>
      <xdr:col>4</xdr:col>
      <xdr:colOff>1393474</xdr:colOff>
      <xdr:row>0</xdr:row>
      <xdr:rowOff>380253</xdr:rowOff>
    </xdr:to>
    <xdr:cxnSp macro="">
      <xdr:nvCxnSpPr>
        <xdr:cNvPr id="2" name="Straight Connector 1">
          <a:extLst>
            <a:ext uri="{FF2B5EF4-FFF2-40B4-BE49-F238E27FC236}">
              <a16:creationId xmlns:a16="http://schemas.microsoft.com/office/drawing/2014/main" id="{48C697A7-5939-FE5F-6268-D061CC582456}"/>
            </a:ext>
          </a:extLst>
        </xdr:cNvPr>
        <xdr:cNvCxnSpPr/>
      </xdr:nvCxnSpPr>
      <xdr:spPr>
        <a:xfrm>
          <a:off x="4668931" y="481853"/>
          <a:ext cx="13704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2414</xdr:colOff>
      <xdr:row>6</xdr:row>
      <xdr:rowOff>152400</xdr:rowOff>
    </xdr:from>
    <xdr:to>
      <xdr:col>2</xdr:col>
      <xdr:colOff>2550175</xdr:colOff>
      <xdr:row>7</xdr:row>
      <xdr:rowOff>0</xdr:rowOff>
    </xdr:to>
    <xdr:sp macro="" textlink="">
      <xdr:nvSpPr>
        <xdr:cNvPr id="2" name="Rectangle 1">
          <a:extLst>
            <a:ext uri="{FF2B5EF4-FFF2-40B4-BE49-F238E27FC236}">
              <a16:creationId xmlns:a16="http://schemas.microsoft.com/office/drawing/2014/main" id="{74550197-6A9B-0321-4173-4CF5F80C768C}"/>
            </a:ext>
          </a:extLst>
        </xdr:cNvPr>
        <xdr:cNvSpPr>
          <a:spLocks noChangeArrowheads="1"/>
        </xdr:cNvSpPr>
      </xdr:nvSpPr>
      <xdr:spPr bwMode="auto">
        <a:xfrm>
          <a:off x="1247775" y="6648450"/>
          <a:ext cx="2118473" cy="790575"/>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danh sách chức</a:t>
          </a:r>
          <a:r>
            <a:rPr lang="en-US" sz="1300" b="1" i="0" strike="noStrike" baseline="0">
              <a:solidFill>
                <a:srgbClr val="000000"/>
              </a:solidFill>
              <a:latin typeface="Times New Roman"/>
              <a:cs typeface="Times New Roman"/>
            </a:rPr>
            <a:t> </a:t>
          </a:r>
          <a:r>
            <a:rPr lang="vi-VN" sz="1300" b="1" i="0" strike="noStrike">
              <a:solidFill>
                <a:srgbClr val="000000"/>
              </a:solidFill>
              <a:latin typeface="Times New Roman"/>
              <a:cs typeface="Times New Roman"/>
            </a:rPr>
            <a:t>năng </a:t>
          </a:r>
        </a:p>
      </xdr:txBody>
    </xdr:sp>
    <xdr:clientData/>
  </xdr:twoCellAnchor>
  <xdr:twoCellAnchor editAs="oneCell">
    <xdr:from>
      <xdr:col>1</xdr:col>
      <xdr:colOff>551689</xdr:colOff>
      <xdr:row>7</xdr:row>
      <xdr:rowOff>133350</xdr:rowOff>
    </xdr:from>
    <xdr:to>
      <xdr:col>2</xdr:col>
      <xdr:colOff>2550703</xdr:colOff>
      <xdr:row>7</xdr:row>
      <xdr:rowOff>723899</xdr:rowOff>
    </xdr:to>
    <xdr:sp macro="" textlink="">
      <xdr:nvSpPr>
        <xdr:cNvPr id="3" name="Rectangle 1">
          <a:extLst>
            <a:ext uri="{FF2B5EF4-FFF2-40B4-BE49-F238E27FC236}">
              <a16:creationId xmlns:a16="http://schemas.microsoft.com/office/drawing/2014/main" id="{85DC7624-A43F-FB7B-90A5-EA547946AB7E}"/>
            </a:ext>
          </a:extLst>
        </xdr:cNvPr>
        <xdr:cNvSpPr>
          <a:spLocks noChangeArrowheads="1"/>
        </xdr:cNvSpPr>
      </xdr:nvSpPr>
      <xdr:spPr bwMode="auto">
        <a:xfrm>
          <a:off x="1295400" y="7743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a:t>
          </a:r>
          <a:r>
            <a:rPr lang="en-US" sz="1300" b="1" i="0" strike="noStrike">
              <a:solidFill>
                <a:srgbClr val="000000"/>
              </a:solidFill>
              <a:latin typeface="Times New Roman"/>
              <a:cs typeface="Times New Roman"/>
            </a:rPr>
            <a:t> chức</a:t>
          </a:r>
          <a:r>
            <a:rPr lang="en-US" sz="1300" b="1" i="0" strike="noStrike" baseline="0">
              <a:solidFill>
                <a:srgbClr val="000000"/>
              </a:solidFill>
              <a:latin typeface="Times New Roman"/>
              <a:cs typeface="Times New Roman"/>
            </a:rPr>
            <a:t> năng</a:t>
          </a:r>
          <a:endParaRPr lang="vi-VN" sz="1300" b="1" i="0" strike="noStrike">
            <a:solidFill>
              <a:srgbClr val="000000"/>
            </a:solidFill>
            <a:latin typeface="Times New Roman"/>
            <a:cs typeface="Times New Roman"/>
          </a:endParaRPr>
        </a:p>
      </xdr:txBody>
    </xdr:sp>
    <xdr:clientData/>
  </xdr:twoCellAnchor>
  <xdr:twoCellAnchor editAs="oneCell">
    <xdr:from>
      <xdr:col>2</xdr:col>
      <xdr:colOff>1943</xdr:colOff>
      <xdr:row>8</xdr:row>
      <xdr:rowOff>152400</xdr:rowOff>
    </xdr:from>
    <xdr:to>
      <xdr:col>2</xdr:col>
      <xdr:colOff>2550072</xdr:colOff>
      <xdr:row>9</xdr:row>
      <xdr:rowOff>4026</xdr:rowOff>
    </xdr:to>
    <xdr:sp macro="" textlink="">
      <xdr:nvSpPr>
        <xdr:cNvPr id="4" name="Rectangle 1">
          <a:extLst>
            <a:ext uri="{FF2B5EF4-FFF2-40B4-BE49-F238E27FC236}">
              <a16:creationId xmlns:a16="http://schemas.microsoft.com/office/drawing/2014/main" id="{D779C6BD-61B5-7969-BD9A-E6442E71825F}"/>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 </a:t>
          </a:r>
          <a:r>
            <a:rPr lang="en-US" sz="1300" b="1" i="0" strike="noStrike">
              <a:solidFill>
                <a:srgbClr val="000000"/>
              </a:solidFill>
              <a:latin typeface="Times New Roman"/>
              <a:cs typeface="Times New Roman"/>
            </a:rPr>
            <a:t>phi chức</a:t>
          </a:r>
          <a:r>
            <a:rPr lang="en-US" sz="1300" b="1" i="0" strike="noStrike" baseline="0">
              <a:solidFill>
                <a:srgbClr val="000000"/>
              </a:solidFill>
              <a:latin typeface="Times New Roman"/>
              <a:cs typeface="Times New Roman"/>
            </a:rPr>
            <a:t> năng (QTDA, Triển khai...)</a:t>
          </a:r>
          <a:endParaRPr lang="vi-VN" sz="1300" b="1" i="0" strike="noStrike">
            <a:solidFill>
              <a:srgbClr val="000000"/>
            </a:solidFill>
            <a:latin typeface="Times New Roman"/>
            <a:cs typeface="Times New Roman"/>
          </a:endParaRPr>
        </a:p>
      </xdr:txBody>
    </xdr:sp>
    <xdr:clientData/>
  </xdr:twoCellAnchor>
  <xdr:twoCellAnchor editAs="oneCell">
    <xdr:from>
      <xdr:col>2</xdr:col>
      <xdr:colOff>2414</xdr:colOff>
      <xdr:row>5</xdr:row>
      <xdr:rowOff>161925</xdr:rowOff>
    </xdr:from>
    <xdr:to>
      <xdr:col>2</xdr:col>
      <xdr:colOff>2550178</xdr:colOff>
      <xdr:row>6</xdr:row>
      <xdr:rowOff>3834</xdr:rowOff>
    </xdr:to>
    <xdr:sp macro="" textlink="">
      <xdr:nvSpPr>
        <xdr:cNvPr id="6" name="Rectangle 1">
          <a:extLst>
            <a:ext uri="{FF2B5EF4-FFF2-40B4-BE49-F238E27FC236}">
              <a16:creationId xmlns:a16="http://schemas.microsoft.com/office/drawing/2014/main" id="{87703CE6-A5F1-2D22-4265-2762A33F7F6C}"/>
            </a:ext>
          </a:extLst>
        </xdr:cNvPr>
        <xdr:cNvSpPr>
          <a:spLocks noChangeArrowheads="1"/>
        </xdr:cNvSpPr>
      </xdr:nvSpPr>
      <xdr:spPr bwMode="auto">
        <a:xfrm>
          <a:off x="1304925" y="56102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a:cs typeface="Times New Roman"/>
            </a:rPr>
            <a:t>Xác định </a:t>
          </a:r>
          <a:r>
            <a:rPr lang="en-US" sz="1300" b="1" i="0" strike="noStrike">
              <a:solidFill>
                <a:srgbClr val="000000"/>
              </a:solidFill>
              <a:latin typeface="Times New Roman"/>
              <a:cs typeface="Times New Roman"/>
            </a:rPr>
            <a:t>công</a:t>
          </a:r>
          <a:r>
            <a:rPr lang="en-US" sz="1300" b="1" i="0" strike="noStrike" baseline="0">
              <a:solidFill>
                <a:srgbClr val="000000"/>
              </a:solidFill>
              <a:latin typeface="Times New Roman"/>
              <a:cs typeface="Times New Roman"/>
            </a:rPr>
            <a:t> nghệ dự án</a:t>
          </a:r>
          <a:endParaRPr lang="vi-VN" sz="1300" b="1" i="0" strike="noStrike">
            <a:solidFill>
              <a:srgbClr val="000000"/>
            </a:solidFill>
            <a:latin typeface="Times New Roman"/>
            <a:cs typeface="Times New Roman"/>
          </a:endParaRPr>
        </a:p>
      </xdr:txBody>
    </xdr:sp>
    <xdr:clientData/>
  </xdr:twoCellAnchor>
  <xdr:oneCellAnchor>
    <xdr:from>
      <xdr:col>2</xdr:col>
      <xdr:colOff>1943</xdr:colOff>
      <xdr:row>9</xdr:row>
      <xdr:rowOff>152400</xdr:rowOff>
    </xdr:from>
    <xdr:ext cx="2606162" cy="899376"/>
    <xdr:sp macro="" textlink="">
      <xdr:nvSpPr>
        <xdr:cNvPr id="7" name="Rectangle 1">
          <a:extLst>
            <a:ext uri="{FF2B5EF4-FFF2-40B4-BE49-F238E27FC236}">
              <a16:creationId xmlns:a16="http://schemas.microsoft.com/office/drawing/2014/main" id="{FF45BB10-0AC1-03F5-A1B1-FA5435C17F4D}"/>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tổng nỗ lực dự án và phân bổ chi tiết</a:t>
          </a:r>
          <a:endParaRPr lang="vi-VN" sz="1300" b="1" i="0" strike="noStrike">
            <a:solidFill>
              <a:srgbClr val="000000"/>
            </a:solidFill>
            <a:latin typeface="Times New Roman"/>
            <a:cs typeface="Times New Roman"/>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28575</xdr:colOff>
      <xdr:row>8</xdr:row>
      <xdr:rowOff>142875</xdr:rowOff>
    </xdr:from>
    <xdr:to>
      <xdr:col>1</xdr:col>
      <xdr:colOff>2466975</xdr:colOff>
      <xdr:row>12</xdr:row>
      <xdr:rowOff>161925</xdr:rowOff>
    </xdr:to>
    <xdr:grpSp>
      <xdr:nvGrpSpPr>
        <xdr:cNvPr id="100412" name="Group 1">
          <a:extLst>
            <a:ext uri="{FF2B5EF4-FFF2-40B4-BE49-F238E27FC236}">
              <a16:creationId xmlns:a16="http://schemas.microsoft.com/office/drawing/2014/main" id="{29BDE25A-EEEC-948A-6415-3CE6F5C68930}"/>
            </a:ext>
          </a:extLst>
        </xdr:cNvPr>
        <xdr:cNvGrpSpPr>
          <a:grpSpLocks/>
        </xdr:cNvGrpSpPr>
      </xdr:nvGrpSpPr>
      <xdr:grpSpPr bwMode="auto">
        <a:xfrm>
          <a:off x="715869" y="5133228"/>
          <a:ext cx="2438400" cy="5614521"/>
          <a:chOff x="790575" y="5219700"/>
          <a:chExt cx="2181225" cy="6362699"/>
        </a:xfrm>
      </xdr:grpSpPr>
      <xdr:sp macro="" textlink="">
        <xdr:nvSpPr>
          <xdr:cNvPr id="3" name="Rectangle 2">
            <a:extLst>
              <a:ext uri="{FF2B5EF4-FFF2-40B4-BE49-F238E27FC236}">
                <a16:creationId xmlns:a16="http://schemas.microsoft.com/office/drawing/2014/main" id="{080AD332-041B-0FD3-15D0-C6EECA99BAC7}"/>
              </a:ext>
            </a:extLst>
          </xdr:cNvPr>
          <xdr:cNvSpPr>
            <a:spLocks noChangeArrowheads="1"/>
          </xdr:cNvSpPr>
        </xdr:nvSpPr>
        <xdr:spPr bwMode="auto">
          <a:xfrm>
            <a:off x="892820" y="6308908"/>
            <a:ext cx="2078980" cy="7872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Đề</a:t>
            </a:r>
            <a:r>
              <a:rPr lang="en-US" sz="1300" b="1" i="0" strike="noStrike" baseline="0">
                <a:solidFill>
                  <a:srgbClr val="000000"/>
                </a:solidFill>
                <a:latin typeface="Times New Roman"/>
                <a:cs typeface="Times New Roman"/>
              </a:rPr>
              <a:t> xuất các hệ thống, chức năng tái sử dụng</a:t>
            </a:r>
            <a:endParaRPr lang="vi-VN" sz="1300" b="1" i="0" strike="noStrike">
              <a:solidFill>
                <a:srgbClr val="000000"/>
              </a:solidFill>
              <a:latin typeface="Times New Roman"/>
              <a:cs typeface="Times New Roman"/>
            </a:endParaRPr>
          </a:p>
        </xdr:txBody>
      </xdr:sp>
      <xdr:sp macro="" textlink="">
        <xdr:nvSpPr>
          <xdr:cNvPr id="4" name="Rectangle 1">
            <a:extLst>
              <a:ext uri="{FF2B5EF4-FFF2-40B4-BE49-F238E27FC236}">
                <a16:creationId xmlns:a16="http://schemas.microsoft.com/office/drawing/2014/main" id="{CA6876E4-88AF-9266-53ED-8A6A84299312}"/>
              </a:ext>
            </a:extLst>
          </xdr:cNvPr>
          <xdr:cNvSpPr>
            <a:spLocks noChangeArrowheads="1"/>
          </xdr:cNvSpPr>
        </xdr:nvSpPr>
        <xdr:spPr bwMode="auto">
          <a:xfrm>
            <a:off x="867259" y="8034385"/>
            <a:ext cx="2070460" cy="733328"/>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baseline="0">
                <a:solidFill>
                  <a:srgbClr val="000000"/>
                </a:solidFill>
                <a:latin typeface="Times New Roman"/>
                <a:cs typeface="Times New Roman"/>
              </a:rPr>
              <a:t>Đánh giá,  thẩm định khả năng tái sử dụng</a:t>
            </a:r>
            <a:endParaRPr lang="vi-VN" sz="1300" b="1" i="0" strike="noStrike">
              <a:solidFill>
                <a:srgbClr val="000000"/>
              </a:solidFill>
              <a:latin typeface="Times New Roman"/>
              <a:cs typeface="Times New Roman"/>
            </a:endParaRPr>
          </a:p>
        </xdr:txBody>
      </xdr:sp>
      <xdr:sp macro="" textlink="">
        <xdr:nvSpPr>
          <xdr:cNvPr id="5" name="Rectangle 1">
            <a:extLst>
              <a:ext uri="{FF2B5EF4-FFF2-40B4-BE49-F238E27FC236}">
                <a16:creationId xmlns:a16="http://schemas.microsoft.com/office/drawing/2014/main" id="{C0689A77-4EB1-60EF-CE34-815B33F7BFDA}"/>
              </a:ext>
            </a:extLst>
          </xdr:cNvPr>
          <xdr:cNvSpPr>
            <a:spLocks noChangeArrowheads="1"/>
          </xdr:cNvSpPr>
        </xdr:nvSpPr>
        <xdr:spPr bwMode="auto">
          <a:xfrm>
            <a:off x="824657" y="9824569"/>
            <a:ext cx="2078980" cy="711760"/>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Thống</a:t>
            </a:r>
            <a:r>
              <a:rPr lang="en-US" sz="1300" b="1" i="0" strike="noStrike" baseline="0">
                <a:solidFill>
                  <a:srgbClr val="000000"/>
                </a:solidFill>
                <a:latin typeface="Times New Roman"/>
                <a:cs typeface="Times New Roman"/>
              </a:rPr>
              <a:t> nhất khả năng và tỷ lệ  tái sử dụng</a:t>
            </a:r>
            <a:endParaRPr lang="vi-VN" sz="1300" b="1" i="0" strike="noStrike">
              <a:solidFill>
                <a:srgbClr val="000000"/>
              </a:solidFill>
              <a:latin typeface="Times New Roman"/>
              <a:cs typeface="Times New Roman"/>
            </a:endParaRPr>
          </a:p>
        </xdr:txBody>
      </xdr:sp>
      <xdr:sp macro="" textlink="">
        <xdr:nvSpPr>
          <xdr:cNvPr id="6" name="Rectangle 1">
            <a:extLst>
              <a:ext uri="{FF2B5EF4-FFF2-40B4-BE49-F238E27FC236}">
                <a16:creationId xmlns:a16="http://schemas.microsoft.com/office/drawing/2014/main" id="{2188E01B-0EF4-5755-779E-DF19330DC44D}"/>
              </a:ext>
            </a:extLst>
          </xdr:cNvPr>
          <xdr:cNvSpPr>
            <a:spLocks noChangeArrowheads="1"/>
          </xdr:cNvSpPr>
        </xdr:nvSpPr>
        <xdr:spPr bwMode="auto">
          <a:xfrm>
            <a:off x="875779" y="5219700"/>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Tìm</a:t>
            </a:r>
            <a:r>
              <a:rPr lang="en-US" sz="1300" b="1" i="0" strike="noStrike" baseline="0">
                <a:solidFill>
                  <a:srgbClr val="000000"/>
                </a:solidFill>
                <a:latin typeface="Times New Roman"/>
                <a:cs typeface="Times New Roman"/>
              </a:rPr>
              <a:t> hiểu yêu cầu kỹ thuật, nghiệp vụ của hệ thống</a:t>
            </a:r>
            <a:endParaRPr lang="vi-VN" sz="1300" b="1" i="0" strike="noStrike">
              <a:solidFill>
                <a:srgbClr val="000000"/>
              </a:solidFill>
              <a:latin typeface="Times New Roman"/>
              <a:cs typeface="Times New Roman"/>
            </a:endParaRPr>
          </a:p>
        </xdr:txBody>
      </xdr:sp>
      <xdr:sp macro="" textlink="">
        <xdr:nvSpPr>
          <xdr:cNvPr id="7" name="Rectangle 1">
            <a:extLst>
              <a:ext uri="{FF2B5EF4-FFF2-40B4-BE49-F238E27FC236}">
                <a16:creationId xmlns:a16="http://schemas.microsoft.com/office/drawing/2014/main" id="{6F7B9CA0-1818-A0E2-841E-C8640638ED55}"/>
              </a:ext>
            </a:extLst>
          </xdr:cNvPr>
          <xdr:cNvSpPr>
            <a:spLocks noChangeArrowheads="1"/>
          </xdr:cNvSpPr>
        </xdr:nvSpPr>
        <xdr:spPr bwMode="auto">
          <a:xfrm>
            <a:off x="790575" y="10838287"/>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ULNL tái sử dụng</a:t>
            </a:r>
            <a:endParaRPr lang="vi-VN" sz="1300" b="1" i="0" strike="noStrike">
              <a:solidFill>
                <a:srgbClr val="000000"/>
              </a:solidFill>
              <a:latin typeface="Times New Roman"/>
              <a:cs typeface="Times New Roman"/>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1121</xdr:colOff>
      <xdr:row>0</xdr:row>
      <xdr:rowOff>312084</xdr:rowOff>
    </xdr:from>
    <xdr:to>
      <xdr:col>3</xdr:col>
      <xdr:colOff>2500807</xdr:colOff>
      <xdr:row>0</xdr:row>
      <xdr:rowOff>312084</xdr:rowOff>
    </xdr:to>
    <xdr:cxnSp macro="">
      <xdr:nvCxnSpPr>
        <xdr:cNvPr id="2" name="Straight Connector 1">
          <a:extLst>
            <a:ext uri="{FF2B5EF4-FFF2-40B4-BE49-F238E27FC236}">
              <a16:creationId xmlns:a16="http://schemas.microsoft.com/office/drawing/2014/main" id="{731B73D2-55FD-9CE3-1362-9E5C33A9CF54}"/>
            </a:ext>
          </a:extLst>
        </xdr:cNvPr>
        <xdr:cNvCxnSpPr/>
      </xdr:nvCxnSpPr>
      <xdr:spPr>
        <a:xfrm>
          <a:off x="2249021" y="454959"/>
          <a:ext cx="1905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anhnt89\AppData\Local\Microsoft\Windows\Temporary%20Internet%20Files\Content.Outlook\MZ100A8S\BM.11.QT.09.QLCL.03%20Bieu%20mau%20uoc%20luong%20no%20luc%20lan%20cu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1\QLCL_H~1\LOCALS~1\Temp\BM_HDTKD_ULNL_E1%20Bieu%20mau%20uoc%20luong%20no%20luc%20lan%20dau%20ti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 val="Account"/>
      <sheetName val="Giới_thiệu7"/>
      <sheetName val="Gi?i_thi?u7"/>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refreshError="1"/>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BM_No luc code"/>
      <sheetName val="BM_Kiem thu hieu nang"/>
      <sheetName val="Tham chiếu list"/>
      <sheetName val="HDKTHN"/>
      <sheetName val="Draff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showGridLines="0" view="pageBreakPreview" zoomScaleNormal="100" zoomScaleSheetLayoutView="100" zoomScalePageLayoutView="85" workbookViewId="0">
      <selection activeCell="C14" sqref="C14"/>
    </sheetView>
  </sheetViews>
  <sheetFormatPr defaultColWidth="9.1796875" defaultRowHeight="13"/>
  <cols>
    <col min="1" max="1" width="9.1796875" style="22"/>
    <col min="2" max="2" width="16.54296875" style="22" customWidth="1"/>
    <col min="3" max="3" width="12.7265625" style="22" customWidth="1"/>
    <col min="4" max="4" width="14.1796875" style="22" customWidth="1"/>
    <col min="5" max="5" width="30.453125" style="22" customWidth="1"/>
    <col min="6" max="6" width="21.1796875" style="22" customWidth="1"/>
    <col min="7" max="7" width="18.26953125" style="22" customWidth="1"/>
    <col min="8" max="8" width="8.1796875" style="22" customWidth="1"/>
    <col min="9" max="9" width="8.26953125" style="22" customWidth="1"/>
    <col min="10" max="16384" width="9.1796875" style="22"/>
  </cols>
  <sheetData>
    <row r="1" spans="1:10" ht="27.75" customHeight="1">
      <c r="A1" s="23"/>
      <c r="B1" s="23"/>
      <c r="C1" s="23"/>
      <c r="D1" s="331" t="s">
        <v>0</v>
      </c>
      <c r="E1" s="331"/>
      <c r="F1" s="331"/>
      <c r="G1" s="331"/>
      <c r="H1" s="23"/>
      <c r="I1" s="23"/>
    </row>
    <row r="2" spans="1:10" ht="17.5">
      <c r="A2" s="23"/>
      <c r="B2" s="23"/>
      <c r="C2" s="23"/>
      <c r="D2" s="332" t="s">
        <v>1</v>
      </c>
      <c r="E2" s="332" t="s">
        <v>2</v>
      </c>
      <c r="F2" s="332"/>
      <c r="G2" s="332"/>
      <c r="H2" s="23"/>
      <c r="I2" s="23"/>
    </row>
    <row r="3" spans="1:10">
      <c r="A3" s="23"/>
      <c r="B3" s="23"/>
      <c r="C3" s="23"/>
      <c r="D3" s="23"/>
      <c r="E3" s="23"/>
      <c r="F3" s="23"/>
      <c r="G3" s="23"/>
      <c r="H3" s="23"/>
      <c r="I3" s="23"/>
    </row>
    <row r="4" spans="1:10">
      <c r="A4" s="23"/>
      <c r="B4" s="23"/>
      <c r="C4" s="23"/>
      <c r="D4" s="23"/>
      <c r="E4" s="23"/>
      <c r="F4" s="23"/>
      <c r="G4" s="23"/>
      <c r="H4" s="23"/>
      <c r="I4" s="23"/>
    </row>
    <row r="5" spans="1:10">
      <c r="A5" s="23"/>
      <c r="B5" s="23"/>
      <c r="C5" s="23"/>
      <c r="D5" s="23"/>
      <c r="E5" s="23"/>
      <c r="F5" s="23"/>
      <c r="G5" s="23"/>
      <c r="H5" s="23"/>
      <c r="I5" s="23"/>
    </row>
    <row r="6" spans="1:10">
      <c r="A6" s="23"/>
      <c r="B6" s="23"/>
      <c r="C6" s="23"/>
      <c r="D6" s="23"/>
      <c r="E6" s="23"/>
      <c r="F6" s="23"/>
      <c r="G6" s="23"/>
      <c r="H6" s="23"/>
      <c r="I6" s="23"/>
    </row>
    <row r="7" spans="1:10" ht="32.25" customHeight="1">
      <c r="A7" s="333"/>
      <c r="B7" s="333"/>
      <c r="C7" s="333"/>
      <c r="D7" s="333"/>
      <c r="E7" s="333"/>
      <c r="F7" s="333"/>
      <c r="G7" s="333"/>
      <c r="H7" s="333"/>
      <c r="I7" s="333"/>
    </row>
    <row r="8" spans="1:10" ht="27.75" customHeight="1">
      <c r="A8" s="334"/>
      <c r="B8" s="334"/>
      <c r="C8" s="334"/>
      <c r="D8" s="334"/>
      <c r="E8" s="334"/>
      <c r="F8" s="334"/>
      <c r="G8" s="334"/>
      <c r="H8" s="334"/>
      <c r="I8" s="334"/>
      <c r="J8" s="24"/>
    </row>
    <row r="9" spans="1:10" ht="15.5">
      <c r="A9" s="25"/>
      <c r="B9" s="25"/>
      <c r="C9" s="25"/>
      <c r="D9" s="25"/>
      <c r="E9" s="25"/>
      <c r="F9" s="25"/>
      <c r="G9" s="25"/>
      <c r="H9" s="25"/>
      <c r="I9" s="25"/>
    </row>
    <row r="10" spans="1:10" ht="15.5">
      <c r="A10" s="25"/>
      <c r="B10" s="25"/>
      <c r="C10" s="25"/>
      <c r="D10" s="25"/>
      <c r="E10" s="25"/>
      <c r="F10" s="28"/>
      <c r="G10" s="25"/>
      <c r="H10" s="25"/>
      <c r="I10" s="25"/>
    </row>
    <row r="11" spans="1:10" ht="17.25" customHeight="1">
      <c r="A11" s="25"/>
      <c r="B11" s="25"/>
      <c r="C11" s="330" t="s">
        <v>3</v>
      </c>
      <c r="D11" s="330"/>
      <c r="E11" s="27"/>
      <c r="F11" s="25"/>
      <c r="G11" s="25"/>
      <c r="H11" s="25"/>
      <c r="I11" s="25"/>
    </row>
    <row r="12" spans="1:10" ht="15.5">
      <c r="A12" s="28"/>
      <c r="B12" s="28"/>
      <c r="C12" s="330" t="s">
        <v>4</v>
      </c>
      <c r="D12" s="330" t="s">
        <v>5</v>
      </c>
      <c r="E12" s="27" t="s">
        <v>6</v>
      </c>
      <c r="F12" s="28"/>
      <c r="G12" s="28"/>
      <c r="H12" s="28"/>
      <c r="I12" s="28"/>
    </row>
    <row r="13" spans="1:10" ht="18.75" customHeight="1">
      <c r="A13" s="25"/>
      <c r="B13" s="25"/>
      <c r="C13" s="330" t="s">
        <v>7</v>
      </c>
      <c r="D13" s="330" t="s">
        <v>5</v>
      </c>
      <c r="E13" s="27"/>
      <c r="F13" s="25"/>
      <c r="G13" s="25"/>
      <c r="H13" s="25"/>
      <c r="I13" s="25"/>
    </row>
    <row r="14" spans="1:10" ht="18.75" customHeight="1">
      <c r="A14" s="25"/>
      <c r="B14" s="25"/>
      <c r="C14" s="29"/>
      <c r="D14" s="29"/>
      <c r="E14" s="27"/>
      <c r="F14" s="25"/>
      <c r="G14" s="25"/>
      <c r="H14" s="25"/>
      <c r="I14" s="25"/>
    </row>
    <row r="15" spans="1:10" ht="18.75" customHeight="1">
      <c r="A15" s="25"/>
      <c r="B15" s="25"/>
      <c r="C15" s="29"/>
      <c r="D15" s="29"/>
      <c r="E15" s="27"/>
      <c r="F15" s="25"/>
      <c r="G15" s="25"/>
      <c r="H15" s="25"/>
      <c r="I15" s="25"/>
    </row>
    <row r="16" spans="1:10" ht="15.5">
      <c r="A16" s="187" t="s">
        <v>8</v>
      </c>
      <c r="B16" s="29"/>
      <c r="C16" s="26"/>
      <c r="D16" s="29"/>
      <c r="E16" s="29"/>
      <c r="F16" s="29"/>
      <c r="G16" s="29"/>
      <c r="H16" s="29"/>
      <c r="I16" s="30"/>
    </row>
    <row r="17" spans="1:9" ht="15.5">
      <c r="A17" s="26"/>
      <c r="B17" s="29"/>
      <c r="C17" s="29" t="s">
        <v>9</v>
      </c>
      <c r="D17" s="29"/>
      <c r="E17" s="30"/>
      <c r="F17" s="29" t="s">
        <v>10</v>
      </c>
      <c r="G17" s="30"/>
      <c r="H17" s="31"/>
      <c r="I17" s="30"/>
    </row>
    <row r="18" spans="1:9" ht="15.5">
      <c r="A18" s="188"/>
      <c r="B18" s="29"/>
      <c r="C18" s="29" t="s">
        <v>11</v>
      </c>
      <c r="D18" s="29"/>
      <c r="E18" s="30"/>
      <c r="F18" s="29"/>
      <c r="G18" s="30"/>
      <c r="H18" s="29"/>
      <c r="I18" s="30"/>
    </row>
    <row r="19" spans="1:9" ht="15.5">
      <c r="A19" s="26"/>
      <c r="B19" s="29"/>
      <c r="C19" s="29"/>
      <c r="D19" s="29"/>
      <c r="E19" s="30"/>
      <c r="F19" s="29"/>
      <c r="G19" s="30"/>
      <c r="H19" s="29"/>
      <c r="I19" s="30"/>
    </row>
    <row r="20" spans="1:9" ht="15.5">
      <c r="A20" s="187"/>
      <c r="B20" s="29"/>
      <c r="C20" s="29"/>
      <c r="D20" s="29"/>
      <c r="E20" s="30"/>
      <c r="F20" s="29"/>
      <c r="G20" s="30"/>
      <c r="H20" s="29"/>
      <c r="I20" s="30"/>
    </row>
    <row r="21" spans="1:9" ht="15.5">
      <c r="A21" s="187"/>
      <c r="B21" s="29"/>
      <c r="C21" s="29"/>
      <c r="D21" s="29"/>
      <c r="E21" s="30"/>
      <c r="F21" s="29"/>
      <c r="G21" s="30"/>
      <c r="H21" s="29"/>
      <c r="I21" s="30"/>
    </row>
    <row r="22" spans="1:9" ht="15.5">
      <c r="A22" s="187" t="s">
        <v>12</v>
      </c>
      <c r="B22" s="29"/>
      <c r="C22" s="29"/>
      <c r="D22" s="29"/>
      <c r="E22" s="30"/>
      <c r="F22" s="29"/>
      <c r="G22" s="30"/>
      <c r="H22" s="29"/>
      <c r="I22" s="30"/>
    </row>
    <row r="23" spans="1:9" ht="15.5">
      <c r="A23" s="26"/>
      <c r="B23" s="29"/>
      <c r="C23" s="26" t="s">
        <v>13</v>
      </c>
      <c r="D23" s="29"/>
      <c r="E23" s="30"/>
      <c r="F23" s="29" t="s">
        <v>14</v>
      </c>
      <c r="G23" s="30"/>
      <c r="H23" s="29"/>
      <c r="I23" s="30"/>
    </row>
    <row r="24" spans="1:9" ht="15.5">
      <c r="A24" s="26"/>
      <c r="B24" s="29"/>
      <c r="C24" s="29" t="s">
        <v>11</v>
      </c>
      <c r="D24" s="29"/>
      <c r="E24" s="30"/>
      <c r="F24" s="31"/>
      <c r="G24" s="30"/>
      <c r="H24" s="29"/>
      <c r="I24" s="30"/>
    </row>
    <row r="25" spans="1:9" ht="15.5">
      <c r="A25" s="26"/>
      <c r="B25" s="29"/>
      <c r="C25" s="29"/>
      <c r="D25" s="29"/>
      <c r="E25" s="30"/>
      <c r="F25" s="29"/>
      <c r="G25" s="30"/>
      <c r="H25" s="29"/>
      <c r="I25" s="30"/>
    </row>
    <row r="26" spans="1:9" ht="15.5">
      <c r="A26" s="26"/>
      <c r="B26" s="29"/>
      <c r="C26" s="29"/>
      <c r="D26" s="29"/>
      <c r="E26" s="30"/>
      <c r="F26" s="29"/>
      <c r="G26" s="30"/>
      <c r="H26" s="29"/>
      <c r="I26" s="30"/>
    </row>
    <row r="27" spans="1:9" ht="15.5">
      <c r="A27" s="26"/>
      <c r="B27" s="29"/>
      <c r="C27" s="29"/>
      <c r="D27" s="29"/>
      <c r="E27" s="30"/>
      <c r="F27" s="29"/>
      <c r="G27" s="30"/>
      <c r="H27" s="29"/>
      <c r="I27" s="30"/>
    </row>
    <row r="28" spans="1:9" ht="15.5">
      <c r="A28" s="187" t="s">
        <v>15</v>
      </c>
      <c r="B28" s="29"/>
      <c r="C28" s="29"/>
      <c r="D28" s="29"/>
      <c r="E28" s="30"/>
      <c r="F28" s="29"/>
      <c r="G28" s="30"/>
      <c r="H28" s="29"/>
      <c r="I28" s="30"/>
    </row>
    <row r="29" spans="1:9" ht="15.5">
      <c r="A29" s="29"/>
      <c r="B29" s="29"/>
      <c r="C29" s="26" t="s">
        <v>16</v>
      </c>
      <c r="D29" s="29"/>
      <c r="E29" s="30"/>
      <c r="F29" s="29" t="s">
        <v>17</v>
      </c>
      <c r="G29" s="30"/>
      <c r="H29" s="29"/>
      <c r="I29" s="30"/>
    </row>
    <row r="30" spans="1:9" ht="15.5">
      <c r="A30" s="29"/>
      <c r="B30" s="29"/>
      <c r="C30" s="29" t="s">
        <v>11</v>
      </c>
      <c r="D30" s="29"/>
      <c r="E30" s="29"/>
      <c r="F30" s="29"/>
      <c r="G30" s="29"/>
      <c r="H30" s="29"/>
      <c r="I30" s="30"/>
    </row>
    <row r="31" spans="1:9" ht="15.5">
      <c r="A31" s="29"/>
      <c r="B31" s="29"/>
      <c r="C31" s="29"/>
      <c r="D31" s="29"/>
      <c r="E31" s="29"/>
      <c r="F31" s="29"/>
      <c r="G31" s="29"/>
      <c r="H31" s="29"/>
      <c r="I31" s="30"/>
    </row>
  </sheetData>
  <mergeCells count="7">
    <mergeCell ref="C12:D12"/>
    <mergeCell ref="C13:D13"/>
    <mergeCell ref="D1:G1"/>
    <mergeCell ref="D2:G2"/>
    <mergeCell ref="A7:I7"/>
    <mergeCell ref="A8:I8"/>
    <mergeCell ref="C11:D11"/>
  </mergeCells>
  <printOptions horizontalCentered="1"/>
  <pageMargins left="0.7" right="0.7" top="0.55000000000000004" bottom="0.54" header="0.3" footer="0.3"/>
  <pageSetup scale="89" fitToHeight="0" orientation="landscape" verticalDpi="300" r:id="rId1"/>
  <headerFooter alignWithMargins="0">
    <oddFooter>&amp;L&amp;"time new romand,Italic"&amp;12HD.VTS.QLCL.01&amp;C&amp;"Arial,Italic"&amp;12Lần ban hành:   /Ngày hiệu lực    /    /20&amp;R1/1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8"/>
  <sheetViews>
    <sheetView view="pageBreakPreview" zoomScaleNormal="100" zoomScaleSheetLayoutView="100" workbookViewId="0">
      <selection activeCell="B6" sqref="B6"/>
    </sheetView>
  </sheetViews>
  <sheetFormatPr defaultColWidth="9.1796875" defaultRowHeight="15.5"/>
  <cols>
    <col min="1" max="1" width="4.81640625" style="29" customWidth="1"/>
    <col min="2" max="2" width="12.81640625" style="29" customWidth="1"/>
    <col min="3" max="3" width="13.7265625" style="29" customWidth="1"/>
    <col min="4" max="4" width="9.1796875" style="29" customWidth="1"/>
    <col min="5" max="5" width="17.453125" style="29" customWidth="1"/>
    <col min="6" max="6" width="25.81640625" style="29" customWidth="1"/>
    <col min="7" max="7" width="19.26953125" style="29" customWidth="1"/>
    <col min="8" max="16384" width="9.1796875" style="29"/>
  </cols>
  <sheetData>
    <row r="1" spans="2:7" ht="20">
      <c r="B1" s="335" t="s">
        <v>18</v>
      </c>
      <c r="C1" s="335"/>
      <c r="D1" s="335"/>
      <c r="E1" s="335"/>
      <c r="F1" s="335"/>
      <c r="G1" s="335"/>
    </row>
    <row r="3" spans="2:7">
      <c r="B3" s="32" t="s">
        <v>19</v>
      </c>
    </row>
    <row r="4" spans="2:7">
      <c r="B4" s="32"/>
    </row>
    <row r="5" spans="2:7" s="35" customFormat="1" ht="33.75" customHeight="1">
      <c r="B5" s="33" t="s">
        <v>20</v>
      </c>
      <c r="C5" s="34" t="s">
        <v>21</v>
      </c>
      <c r="D5" s="34" t="s">
        <v>22</v>
      </c>
      <c r="E5" s="34" t="s">
        <v>23</v>
      </c>
      <c r="F5" s="34" t="s">
        <v>24</v>
      </c>
      <c r="G5" s="34" t="s">
        <v>25</v>
      </c>
    </row>
    <row r="6" spans="2:7">
      <c r="B6" s="36" t="s">
        <v>26</v>
      </c>
      <c r="C6" s="37"/>
      <c r="D6" s="38" t="s">
        <v>27</v>
      </c>
      <c r="E6" s="39"/>
      <c r="F6" s="2" t="s">
        <v>28</v>
      </c>
      <c r="G6" s="39" t="s">
        <v>29</v>
      </c>
    </row>
    <row r="7" spans="2:7">
      <c r="B7" s="36"/>
      <c r="C7" s="37"/>
      <c r="D7" s="38"/>
      <c r="E7" s="40"/>
      <c r="F7" s="2"/>
      <c r="G7" s="40"/>
    </row>
    <row r="8" spans="2:7">
      <c r="B8" s="36"/>
      <c r="C8" s="37"/>
      <c r="D8" s="38"/>
      <c r="E8" s="41"/>
      <c r="F8" s="1"/>
      <c r="G8" s="41"/>
    </row>
    <row r="9" spans="2:7">
      <c r="B9" s="36"/>
      <c r="C9" s="42"/>
      <c r="D9" s="43"/>
      <c r="E9" s="41"/>
      <c r="F9" s="41"/>
      <c r="G9" s="41"/>
    </row>
    <row r="10" spans="2:7">
      <c r="B10" s="44"/>
      <c r="C10" s="45"/>
      <c r="D10" s="41"/>
      <c r="E10" s="41"/>
      <c r="F10" s="41"/>
      <c r="G10" s="41"/>
    </row>
    <row r="11" spans="2:7">
      <c r="B11" s="36"/>
      <c r="C11" s="42"/>
      <c r="D11" s="43"/>
      <c r="E11" s="41"/>
      <c r="F11" s="41"/>
      <c r="G11" s="41"/>
    </row>
    <row r="12" spans="2:7">
      <c r="B12" s="44"/>
      <c r="C12" s="45"/>
      <c r="D12" s="41"/>
      <c r="E12" s="41"/>
      <c r="F12" s="41"/>
      <c r="G12" s="41"/>
    </row>
    <row r="13" spans="2:7">
      <c r="B13" s="44"/>
      <c r="C13" s="45"/>
      <c r="D13" s="41"/>
      <c r="E13" s="41"/>
      <c r="F13" s="41"/>
      <c r="G13" s="41"/>
    </row>
    <row r="14" spans="2:7">
      <c r="B14" s="44"/>
      <c r="C14" s="45"/>
      <c r="D14" s="41"/>
      <c r="E14" s="41"/>
      <c r="F14" s="41"/>
      <c r="G14" s="41"/>
    </row>
    <row r="15" spans="2:7">
      <c r="B15" s="44"/>
      <c r="C15" s="45"/>
      <c r="D15" s="41"/>
      <c r="E15" s="41"/>
      <c r="F15" s="41"/>
      <c r="G15" s="41"/>
    </row>
    <row r="16" spans="2:7">
      <c r="B16" s="44"/>
      <c r="C16" s="45"/>
      <c r="D16" s="41"/>
      <c r="E16" s="41"/>
      <c r="F16" s="41"/>
      <c r="G16" s="41"/>
    </row>
    <row r="17" spans="2:7">
      <c r="B17" s="44"/>
      <c r="C17" s="45"/>
      <c r="D17" s="41"/>
      <c r="E17" s="41"/>
      <c r="F17" s="41"/>
      <c r="G17" s="41"/>
    </row>
    <row r="18" spans="2:7">
      <c r="B18" s="44"/>
      <c r="C18" s="45"/>
      <c r="D18" s="41"/>
      <c r="E18" s="41"/>
      <c r="F18" s="41"/>
      <c r="G18" s="41"/>
    </row>
  </sheetData>
  <mergeCells count="1">
    <mergeCell ref="B1:G1"/>
  </mergeCells>
  <pageMargins left="0.25" right="0.25" top="0.75" bottom="0.75" header="0.3" footer="0.3"/>
  <pageSetup orientation="landscape" r:id="rId1"/>
  <headerFooter alignWithMargins="0">
    <oddFooter>&amp;L&amp;"Arial,Italic"HD.VTS.QLCL.01&amp;C&amp;"Arial,Italic"Lần ban hành:   /Ngày:&amp;R&amp;"Arial,Italic"&amp;P/&amp;N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J30"/>
  <sheetViews>
    <sheetView view="pageBreakPreview" topLeftCell="C14" zoomScaleNormal="100" zoomScaleSheetLayoutView="100" zoomScalePageLayoutView="55" workbookViewId="0">
      <selection activeCell="D21" sqref="D21"/>
    </sheetView>
  </sheetViews>
  <sheetFormatPr defaultColWidth="9.1796875" defaultRowHeight="15.5"/>
  <cols>
    <col min="1" max="1" width="9.1796875" style="46"/>
    <col min="2" max="2" width="5.81640625" style="46" customWidth="1"/>
    <col min="3" max="3" width="28.453125" style="46" customWidth="1"/>
    <col min="4" max="4" width="51.453125" style="46" customWidth="1"/>
    <col min="5" max="6" width="18.26953125" style="46" customWidth="1"/>
    <col min="7" max="7" width="14.453125" style="46" customWidth="1"/>
    <col min="8" max="8" width="18.1796875" style="46" customWidth="1"/>
    <col min="9" max="9" width="13.7265625" style="46" customWidth="1"/>
    <col min="10" max="10" width="14" style="46" customWidth="1"/>
    <col min="11" max="16384" width="9.1796875" style="46"/>
  </cols>
  <sheetData>
    <row r="2" spans="1:6" ht="20">
      <c r="B2" s="336" t="s">
        <v>30</v>
      </c>
      <c r="C2" s="336"/>
      <c r="D2" s="336"/>
      <c r="E2" s="336"/>
    </row>
    <row r="3" spans="1:6" ht="18">
      <c r="A3" s="337" t="s">
        <v>31</v>
      </c>
      <c r="B3" s="337"/>
      <c r="C3" s="337"/>
      <c r="D3" s="337"/>
      <c r="E3" s="337"/>
    </row>
    <row r="4" spans="1:6">
      <c r="B4" s="48"/>
      <c r="C4" s="49"/>
      <c r="D4" s="10"/>
      <c r="E4" s="10"/>
    </row>
    <row r="5" spans="1:6" ht="20">
      <c r="A5" s="110" t="s">
        <v>32</v>
      </c>
      <c r="B5" s="48"/>
      <c r="C5" s="47"/>
      <c r="D5" s="47"/>
      <c r="E5" s="47"/>
    </row>
    <row r="6" spans="1:6">
      <c r="B6" s="48"/>
      <c r="C6" s="49"/>
      <c r="D6" s="10"/>
      <c r="E6" s="10"/>
    </row>
    <row r="7" spans="1:6" ht="21.75" customHeight="1">
      <c r="B7" s="338" t="s">
        <v>33</v>
      </c>
      <c r="C7" s="339"/>
      <c r="D7" s="339"/>
      <c r="E7" s="339"/>
      <c r="F7" s="340"/>
    </row>
    <row r="8" spans="1:6" ht="31">
      <c r="B8" s="54" t="s">
        <v>34</v>
      </c>
      <c r="C8" s="55" t="s">
        <v>35</v>
      </c>
      <c r="D8" s="56" t="s">
        <v>36</v>
      </c>
      <c r="E8" s="56" t="s">
        <v>37</v>
      </c>
      <c r="F8" s="56" t="s">
        <v>38</v>
      </c>
    </row>
    <row r="9" spans="1:6" ht="28">
      <c r="B9" s="50">
        <v>1</v>
      </c>
      <c r="C9" s="274" t="s">
        <v>39</v>
      </c>
      <c r="D9" s="272" t="s">
        <v>40</v>
      </c>
      <c r="E9" s="260">
        <f>'NL Chuc nang'!P58/8</f>
        <v>71.75</v>
      </c>
      <c r="F9" s="261">
        <f>'NL Chuc nang'!G58/8</f>
        <v>65.91249999999998</v>
      </c>
    </row>
    <row r="10" spans="1:6" ht="28">
      <c r="B10" s="50">
        <v>2</v>
      </c>
      <c r="C10" s="274" t="s">
        <v>41</v>
      </c>
      <c r="D10" s="272" t="s">
        <v>42</v>
      </c>
      <c r="E10" s="52">
        <f>'NL Chuc nang'!M58/8</f>
        <v>16.5</v>
      </c>
      <c r="F10" s="262">
        <f>'NL Chuc nang'!H58/8</f>
        <v>14.825000000000005</v>
      </c>
    </row>
    <row r="11" spans="1:6" ht="42">
      <c r="B11" s="50">
        <v>3</v>
      </c>
      <c r="C11" s="274" t="s">
        <v>43</v>
      </c>
      <c r="D11" s="272" t="s">
        <v>44</v>
      </c>
      <c r="E11" s="52">
        <f>'NL Chuc nang'!N58/8</f>
        <v>55.25</v>
      </c>
      <c r="F11" s="262">
        <f>'NL Chuc nang'!I58/8</f>
        <v>51.087499999999984</v>
      </c>
    </row>
    <row r="12" spans="1:6">
      <c r="B12" s="50">
        <v>4</v>
      </c>
      <c r="C12" s="274" t="s">
        <v>45</v>
      </c>
      <c r="D12" s="272" t="s">
        <v>46</v>
      </c>
      <c r="E12" s="52">
        <f>'NL Chuc nang'!O58/8</f>
        <v>0</v>
      </c>
      <c r="F12" s="262">
        <f>'NL Chuc nang'!J58/8</f>
        <v>0</v>
      </c>
    </row>
    <row r="13" spans="1:6" ht="28">
      <c r="B13" s="50">
        <v>6</v>
      </c>
      <c r="C13" s="274" t="s">
        <v>47</v>
      </c>
      <c r="D13" s="272" t="s">
        <v>48</v>
      </c>
      <c r="E13" s="260">
        <f>'NL Phi chuc nang'!F13/8</f>
        <v>0</v>
      </c>
      <c r="F13" s="261">
        <f>'NL Phi chuc nang'!F13/8</f>
        <v>0</v>
      </c>
    </row>
    <row r="14" spans="1:6" s="59" customFormat="1" ht="52.75" customHeight="1">
      <c r="B14" s="171">
        <v>7</v>
      </c>
      <c r="C14" s="273" t="s">
        <v>49</v>
      </c>
      <c r="D14" s="275" t="s">
        <v>50</v>
      </c>
      <c r="E14" s="172">
        <f>E13+E9</f>
        <v>71.75</v>
      </c>
      <c r="F14" s="172">
        <f>F13+F9</f>
        <v>65.91249999999998</v>
      </c>
    </row>
    <row r="15" spans="1:6">
      <c r="B15" s="60"/>
      <c r="C15" s="61"/>
      <c r="D15" s="62"/>
      <c r="E15" s="63"/>
    </row>
    <row r="16" spans="1:6" ht="20">
      <c r="A16" s="110" t="s">
        <v>51</v>
      </c>
      <c r="B16" s="60"/>
      <c r="C16" s="61"/>
      <c r="D16" s="62"/>
      <c r="E16" s="63"/>
    </row>
    <row r="17" spans="2:10">
      <c r="B17" s="60"/>
      <c r="C17" s="61"/>
      <c r="D17" s="62"/>
      <c r="E17" s="63"/>
    </row>
    <row r="18" spans="2:10" ht="48" customHeight="1">
      <c r="B18" s="179" t="s">
        <v>34</v>
      </c>
      <c r="C18" s="177" t="s">
        <v>35</v>
      </c>
      <c r="D18" s="177" t="s">
        <v>36</v>
      </c>
      <c r="E18" s="176" t="s">
        <v>52</v>
      </c>
      <c r="F18" s="177" t="s">
        <v>53</v>
      </c>
      <c r="G18" s="177" t="s">
        <v>54</v>
      </c>
      <c r="H18" s="56" t="s">
        <v>55</v>
      </c>
      <c r="I18" s="56" t="s">
        <v>56</v>
      </c>
      <c r="J18" s="56" t="s">
        <v>57</v>
      </c>
    </row>
    <row r="19" spans="2:10">
      <c r="B19" s="50">
        <v>1</v>
      </c>
      <c r="C19" s="271" t="s">
        <v>58</v>
      </c>
      <c r="D19" s="272" t="s">
        <v>59</v>
      </c>
      <c r="E19" s="178">
        <f>F19+G19</f>
        <v>14.825000000000005</v>
      </c>
      <c r="F19" s="178">
        <f>'NL Chuc nang'!X58/8</f>
        <v>14.825000000000005</v>
      </c>
      <c r="G19" s="178">
        <f>'NL Chuc nang'!AA58/8</f>
        <v>0</v>
      </c>
      <c r="H19" s="189">
        <f>E19/$E$23</f>
        <v>0.22491940072065247</v>
      </c>
      <c r="I19" s="189">
        <f>F19/E19</f>
        <v>1</v>
      </c>
      <c r="J19" s="189">
        <f>G19/E19</f>
        <v>0</v>
      </c>
    </row>
    <row r="20" spans="2:10">
      <c r="B20" s="50">
        <v>2</v>
      </c>
      <c r="C20" s="271" t="s">
        <v>43</v>
      </c>
      <c r="D20" s="272" t="s">
        <v>60</v>
      </c>
      <c r="E20" s="178">
        <f>F20+G20</f>
        <v>51.087499999999984</v>
      </c>
      <c r="F20" s="178">
        <f>'NL Chuc nang'!Y58/8</f>
        <v>51.087499999999984</v>
      </c>
      <c r="G20" s="178">
        <f>'NL Chuc nang'!AB58/8</f>
        <v>0</v>
      </c>
      <c r="H20" s="189">
        <f>E20/$E$23</f>
        <v>0.77508059927934747</v>
      </c>
      <c r="I20" s="189">
        <f>F20/E20</f>
        <v>1</v>
      </c>
      <c r="J20" s="189">
        <f>G20/E20</f>
        <v>0</v>
      </c>
    </row>
    <row r="21" spans="2:10">
      <c r="B21" s="50">
        <v>3</v>
      </c>
      <c r="C21" s="271" t="s">
        <v>45</v>
      </c>
      <c r="D21" s="272" t="s">
        <v>61</v>
      </c>
      <c r="E21" s="178">
        <f>F21+G21</f>
        <v>0</v>
      </c>
      <c r="F21" s="178">
        <f>'NL Chuc nang'!Z58/8</f>
        <v>0</v>
      </c>
      <c r="G21" s="178">
        <f>'NL Chuc nang'!AC58/8</f>
        <v>0</v>
      </c>
      <c r="H21" s="189">
        <f>E21/$E$23</f>
        <v>0</v>
      </c>
      <c r="I21" s="189" t="e">
        <f>F21/E21</f>
        <v>#DIV/0!</v>
      </c>
      <c r="J21" s="189" t="e">
        <f>G21/E21</f>
        <v>#DIV/0!</v>
      </c>
    </row>
    <row r="22" spans="2:10">
      <c r="B22" s="50">
        <v>4</v>
      </c>
      <c r="C22" s="271" t="s">
        <v>62</v>
      </c>
      <c r="D22" s="272" t="s">
        <v>63</v>
      </c>
      <c r="E22" s="178">
        <f>F22+G22</f>
        <v>0</v>
      </c>
      <c r="F22" s="178">
        <v>0</v>
      </c>
      <c r="G22" s="178">
        <f>'NL Phi chuc nang'!F13/8</f>
        <v>0</v>
      </c>
      <c r="H22" s="189">
        <f>E22/$E$23</f>
        <v>0</v>
      </c>
      <c r="I22" s="189" t="e">
        <f>F22/E22</f>
        <v>#DIV/0!</v>
      </c>
      <c r="J22" s="189" t="e">
        <f>G22/E22</f>
        <v>#DIV/0!</v>
      </c>
    </row>
    <row r="23" spans="2:10" ht="33">
      <c r="B23" s="50">
        <v>5</v>
      </c>
      <c r="C23" s="273" t="s">
        <v>64</v>
      </c>
      <c r="D23" s="174" t="s">
        <v>65</v>
      </c>
      <c r="E23" s="172">
        <f>F23+G23</f>
        <v>65.912499999999994</v>
      </c>
      <c r="F23" s="172">
        <f>SUM(F19:F22)</f>
        <v>65.912499999999994</v>
      </c>
      <c r="G23" s="172">
        <f>SUM(G19:G22)</f>
        <v>0</v>
      </c>
      <c r="H23" s="189">
        <f>E23/$E$23</f>
        <v>1</v>
      </c>
      <c r="I23" s="189">
        <f>F23/E23</f>
        <v>1</v>
      </c>
      <c r="J23" s="189">
        <f>G23/E23</f>
        <v>0</v>
      </c>
    </row>
    <row r="24" spans="2:10" ht="36" customHeight="1">
      <c r="B24" s="50">
        <v>6</v>
      </c>
      <c r="C24" s="273" t="s">
        <v>66</v>
      </c>
      <c r="D24" s="174" t="s">
        <v>67</v>
      </c>
      <c r="E24" s="269">
        <f>SUM(F24:G24)</f>
        <v>2.9960227272727269</v>
      </c>
      <c r="F24" s="172">
        <f>F23/22</f>
        <v>2.9960227272727269</v>
      </c>
      <c r="G24" s="172">
        <f>G23/22</f>
        <v>0</v>
      </c>
      <c r="H24" s="189">
        <v>1</v>
      </c>
      <c r="I24" s="189"/>
      <c r="J24" s="189"/>
    </row>
    <row r="25" spans="2:10" hidden="1"/>
    <row r="27" spans="2:10">
      <c r="G27" s="46">
        <f>G24*45.9</f>
        <v>0</v>
      </c>
    </row>
    <row r="29" spans="2:10">
      <c r="E29" s="267"/>
      <c r="F29" s="267"/>
      <c r="G29" s="267"/>
    </row>
    <row r="30" spans="2:10">
      <c r="E30" s="267"/>
      <c r="F30" s="267"/>
      <c r="G30" s="267"/>
    </row>
  </sheetData>
  <mergeCells count="3">
    <mergeCell ref="B2:E2"/>
    <mergeCell ref="A3:E3"/>
    <mergeCell ref="B7:F7"/>
  </mergeCells>
  <pageMargins left="0.71" right="0.7" top="0.75" bottom="0.75" header="0.3" footer="0.3"/>
  <pageSetup scale="65" fitToHeight="0" orientation="landscape" r:id="rId1"/>
  <headerFooter>
    <oddFooter>&amp;L&amp;"Arial,Italic"HD.VTS.QLCL.01&amp;C&amp;"Arial,Italic"Lần ban hành:       /Ngày&amp;R&amp;"Arial,Italic"&amp;P/&amp;N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workbookViewId="0">
      <selection sqref="A1:F1"/>
    </sheetView>
  </sheetViews>
  <sheetFormatPr defaultRowHeight="12.5"/>
  <cols>
    <col min="2" max="2" width="17.1796875" customWidth="1"/>
    <col min="3" max="3" width="41.7265625" customWidth="1"/>
    <col min="5" max="5" width="58" customWidth="1"/>
    <col min="6" max="6" width="32.26953125" customWidth="1"/>
  </cols>
  <sheetData>
    <row r="1" spans="1:6" ht="60.25" customHeight="1">
      <c r="A1" s="341" t="s">
        <v>68</v>
      </c>
      <c r="B1" s="341"/>
      <c r="C1" s="341"/>
      <c r="D1" s="341"/>
      <c r="E1" s="341"/>
      <c r="F1" s="341"/>
    </row>
    <row r="2" spans="1:6" ht="14">
      <c r="A2" s="145"/>
      <c r="B2" s="146"/>
      <c r="C2" s="147"/>
      <c r="D2" s="146"/>
      <c r="E2" s="146"/>
      <c r="F2" s="146"/>
    </row>
    <row r="3" spans="1:6">
      <c r="A3" s="342" t="s">
        <v>34</v>
      </c>
      <c r="B3" s="343" t="s">
        <v>69</v>
      </c>
      <c r="C3" s="343" t="s">
        <v>70</v>
      </c>
      <c r="D3" s="342" t="s">
        <v>71</v>
      </c>
      <c r="E3" s="344" t="s">
        <v>72</v>
      </c>
      <c r="F3" s="342" t="s">
        <v>73</v>
      </c>
    </row>
    <row r="4" spans="1:6" ht="34.75" customHeight="1">
      <c r="A4" s="342" t="s">
        <v>34</v>
      </c>
      <c r="B4" s="343"/>
      <c r="C4" s="343"/>
      <c r="D4" s="342"/>
      <c r="E4" s="345"/>
      <c r="F4" s="342"/>
    </row>
    <row r="5" spans="1:6" s="119" customFormat="1" ht="48">
      <c r="A5" s="153">
        <v>1</v>
      </c>
      <c r="B5" s="148" t="s">
        <v>74</v>
      </c>
      <c r="C5" s="148" t="s">
        <v>75</v>
      </c>
      <c r="D5" s="148" t="s">
        <v>76</v>
      </c>
      <c r="E5" s="148" t="s">
        <v>77</v>
      </c>
      <c r="F5" s="148" t="s">
        <v>78</v>
      </c>
    </row>
    <row r="6" spans="1:6" s="119" customFormat="1" ht="48">
      <c r="A6" s="153">
        <v>2</v>
      </c>
      <c r="B6" s="148" t="s">
        <v>79</v>
      </c>
      <c r="C6" s="148" t="s">
        <v>80</v>
      </c>
      <c r="D6" s="148" t="s">
        <v>76</v>
      </c>
      <c r="E6" s="148" t="s">
        <v>81</v>
      </c>
      <c r="F6" s="148" t="s">
        <v>82</v>
      </c>
    </row>
    <row r="7" spans="1:6" s="119" customFormat="1" ht="48">
      <c r="A7" s="153">
        <v>3</v>
      </c>
      <c r="B7" s="148" t="s">
        <v>83</v>
      </c>
      <c r="C7" s="148" t="s">
        <v>84</v>
      </c>
      <c r="D7" s="148" t="s">
        <v>76</v>
      </c>
      <c r="E7" s="148" t="s">
        <v>85</v>
      </c>
      <c r="F7" s="148" t="s">
        <v>86</v>
      </c>
    </row>
    <row r="8" spans="1:6" s="119" customFormat="1" ht="32">
      <c r="A8" s="153">
        <v>4</v>
      </c>
      <c r="B8" s="148" t="s">
        <v>87</v>
      </c>
      <c r="C8" s="148" t="s">
        <v>88</v>
      </c>
      <c r="D8" s="148" t="s">
        <v>89</v>
      </c>
      <c r="E8" s="148" t="s">
        <v>90</v>
      </c>
      <c r="F8" s="148"/>
    </row>
    <row r="9" spans="1:6" s="119" customFormat="1" ht="32">
      <c r="A9" s="153">
        <v>5</v>
      </c>
      <c r="B9" s="148" t="s">
        <v>91</v>
      </c>
      <c r="C9" s="148" t="s">
        <v>92</v>
      </c>
      <c r="D9" s="148" t="s">
        <v>89</v>
      </c>
      <c r="E9" s="148" t="s">
        <v>93</v>
      </c>
      <c r="F9" s="148" t="s">
        <v>78</v>
      </c>
    </row>
    <row r="10" spans="1:6" s="119" customFormat="1" ht="32">
      <c r="A10" s="153">
        <v>6</v>
      </c>
      <c r="B10" s="148" t="s">
        <v>94</v>
      </c>
      <c r="C10" s="148" t="s">
        <v>95</v>
      </c>
      <c r="D10" s="148" t="s">
        <v>89</v>
      </c>
      <c r="E10" s="148" t="s">
        <v>96</v>
      </c>
      <c r="F10" s="148" t="s">
        <v>97</v>
      </c>
    </row>
    <row r="11" spans="1:6" s="119" customFormat="1" ht="32">
      <c r="A11" s="153">
        <v>7</v>
      </c>
      <c r="B11" s="148" t="s">
        <v>98</v>
      </c>
      <c r="C11" s="148" t="s">
        <v>99</v>
      </c>
      <c r="D11" s="148" t="s">
        <v>89</v>
      </c>
      <c r="E11" s="148" t="s">
        <v>100</v>
      </c>
      <c r="F11" s="148" t="s">
        <v>101</v>
      </c>
    </row>
    <row r="12" spans="1:6" s="119" customFormat="1" ht="64">
      <c r="A12" s="153">
        <v>8</v>
      </c>
      <c r="B12" s="148" t="s">
        <v>102</v>
      </c>
      <c r="C12" s="148" t="s">
        <v>103</v>
      </c>
      <c r="D12" s="148" t="s">
        <v>104</v>
      </c>
      <c r="E12" s="148" t="s">
        <v>105</v>
      </c>
      <c r="F12" s="148" t="s">
        <v>106</v>
      </c>
    </row>
    <row r="13" spans="1:6" s="119" customFormat="1" ht="32">
      <c r="A13" s="153">
        <v>9</v>
      </c>
      <c r="B13" s="148" t="s">
        <v>107</v>
      </c>
      <c r="C13" s="148" t="s">
        <v>108</v>
      </c>
      <c r="D13" s="148" t="s">
        <v>104</v>
      </c>
      <c r="E13" s="148" t="s">
        <v>109</v>
      </c>
      <c r="F13" s="148"/>
    </row>
    <row r="14" spans="1:6" s="119" customFormat="1" ht="32">
      <c r="A14" s="153">
        <v>10</v>
      </c>
      <c r="B14" s="148" t="s">
        <v>110</v>
      </c>
      <c r="C14" s="148" t="s">
        <v>111</v>
      </c>
      <c r="D14" s="148" t="s">
        <v>104</v>
      </c>
      <c r="E14" s="148" t="s">
        <v>112</v>
      </c>
      <c r="F14" s="148"/>
    </row>
    <row r="15" spans="1:6" s="119" customFormat="1" ht="48">
      <c r="A15" s="153">
        <v>11</v>
      </c>
      <c r="B15" s="149" t="s">
        <v>113</v>
      </c>
      <c r="C15" s="148" t="s">
        <v>114</v>
      </c>
      <c r="D15" s="148" t="s">
        <v>76</v>
      </c>
      <c r="E15" s="148" t="s">
        <v>115</v>
      </c>
      <c r="F15" s="149"/>
    </row>
    <row r="16" spans="1:6" s="119" customFormat="1" ht="48">
      <c r="A16" s="153">
        <v>12</v>
      </c>
      <c r="B16" s="149" t="s">
        <v>116</v>
      </c>
      <c r="C16" s="148" t="s">
        <v>117</v>
      </c>
      <c r="D16" s="148" t="s">
        <v>76</v>
      </c>
      <c r="E16" s="148" t="s">
        <v>118</v>
      </c>
      <c r="F16" s="149"/>
    </row>
    <row r="17" spans="1:6" s="119" customFormat="1" ht="48">
      <c r="A17" s="153">
        <v>13</v>
      </c>
      <c r="B17" s="149" t="s">
        <v>119</v>
      </c>
      <c r="C17" s="148" t="s">
        <v>120</v>
      </c>
      <c r="D17" s="148" t="s">
        <v>76</v>
      </c>
      <c r="E17" s="148" t="s">
        <v>85</v>
      </c>
      <c r="F17" s="149"/>
    </row>
    <row r="18" spans="1:6" s="119" customFormat="1" ht="48">
      <c r="A18" s="153">
        <v>14</v>
      </c>
      <c r="B18" s="149" t="s">
        <v>121</v>
      </c>
      <c r="C18" s="149" t="s">
        <v>122</v>
      </c>
      <c r="D18" s="148" t="s">
        <v>76</v>
      </c>
      <c r="E18" s="149" t="s">
        <v>123</v>
      </c>
      <c r="F18" s="149"/>
    </row>
    <row r="19" spans="1:6" s="119" customFormat="1" ht="48">
      <c r="A19" s="153">
        <v>15</v>
      </c>
      <c r="B19" s="149" t="s">
        <v>124</v>
      </c>
      <c r="C19" s="149" t="s">
        <v>125</v>
      </c>
      <c r="D19" s="148" t="s">
        <v>76</v>
      </c>
      <c r="E19" s="149" t="s">
        <v>126</v>
      </c>
      <c r="F19" s="149"/>
    </row>
    <row r="20" spans="1:6" s="119" customFormat="1" ht="48">
      <c r="A20" s="153">
        <v>16</v>
      </c>
      <c r="B20" s="149" t="s">
        <v>127</v>
      </c>
      <c r="C20" s="149" t="s">
        <v>125</v>
      </c>
      <c r="D20" s="148" t="s">
        <v>76</v>
      </c>
      <c r="E20" s="149" t="s">
        <v>128</v>
      </c>
      <c r="F20" s="149"/>
    </row>
    <row r="21" spans="1:6" s="119" customFormat="1" ht="48">
      <c r="A21" s="153">
        <v>17</v>
      </c>
      <c r="B21" s="149" t="s">
        <v>129</v>
      </c>
      <c r="C21" s="149" t="s">
        <v>130</v>
      </c>
      <c r="D21" s="148" t="s">
        <v>131</v>
      </c>
      <c r="E21" s="149" t="s">
        <v>132</v>
      </c>
      <c r="F21" s="149"/>
    </row>
    <row r="22" spans="1:6" s="119" customFormat="1" ht="48">
      <c r="A22" s="153">
        <v>18</v>
      </c>
      <c r="B22" s="149" t="s">
        <v>133</v>
      </c>
      <c r="C22" s="149" t="s">
        <v>134</v>
      </c>
      <c r="D22" s="148" t="s">
        <v>131</v>
      </c>
      <c r="E22" s="149" t="s">
        <v>135</v>
      </c>
      <c r="F22" s="149"/>
    </row>
    <row r="23" spans="1:6" s="119" customFormat="1" ht="48">
      <c r="A23" s="153">
        <v>19</v>
      </c>
      <c r="B23" s="149" t="s">
        <v>136</v>
      </c>
      <c r="C23" s="149" t="s">
        <v>137</v>
      </c>
      <c r="D23" s="148" t="s">
        <v>131</v>
      </c>
      <c r="E23" s="149" t="s">
        <v>138</v>
      </c>
      <c r="F23" s="149"/>
    </row>
    <row r="24" spans="1:6" s="119" customFormat="1" ht="26">
      <c r="A24" s="153">
        <v>20</v>
      </c>
      <c r="B24" s="139" t="s">
        <v>139</v>
      </c>
      <c r="C24" s="141" t="s">
        <v>140</v>
      </c>
      <c r="D24" s="150" t="s">
        <v>141</v>
      </c>
      <c r="E24" s="141"/>
      <c r="F24" s="141"/>
    </row>
    <row r="25" spans="1:6" s="119" customFormat="1" ht="26">
      <c r="A25" s="153">
        <v>21</v>
      </c>
      <c r="B25" s="139" t="s">
        <v>142</v>
      </c>
      <c r="C25" s="141" t="s">
        <v>143</v>
      </c>
      <c r="D25" s="150" t="s">
        <v>141</v>
      </c>
      <c r="E25" s="141"/>
      <c r="F25" s="141"/>
    </row>
    <row r="26" spans="1:6" s="119" customFormat="1" ht="26">
      <c r="A26" s="153">
        <v>22</v>
      </c>
      <c r="B26" s="139" t="s">
        <v>144</v>
      </c>
      <c r="C26" s="141" t="s">
        <v>145</v>
      </c>
      <c r="D26" s="150" t="s">
        <v>141</v>
      </c>
      <c r="E26" s="141"/>
      <c r="F26" s="141"/>
    </row>
    <row r="27" spans="1:6" s="119" customFormat="1" ht="26">
      <c r="A27" s="153">
        <v>23</v>
      </c>
      <c r="B27" s="151" t="s">
        <v>146</v>
      </c>
      <c r="C27" s="141" t="s">
        <v>147</v>
      </c>
      <c r="D27" s="150" t="s">
        <v>141</v>
      </c>
      <c r="E27" s="141"/>
      <c r="F27" s="141"/>
    </row>
    <row r="28" spans="1:6" s="119" customFormat="1" ht="26">
      <c r="A28" s="153">
        <v>24</v>
      </c>
      <c r="B28" s="151" t="s">
        <v>148</v>
      </c>
      <c r="C28" s="141" t="s">
        <v>149</v>
      </c>
      <c r="D28" s="150" t="s">
        <v>141</v>
      </c>
      <c r="E28" s="141"/>
      <c r="F28" s="141"/>
    </row>
    <row r="29" spans="1:6" s="119" customFormat="1" ht="26">
      <c r="A29" s="153">
        <v>25</v>
      </c>
      <c r="B29" s="151" t="s">
        <v>150</v>
      </c>
      <c r="C29" s="141" t="s">
        <v>151</v>
      </c>
      <c r="D29" s="150" t="s">
        <v>141</v>
      </c>
      <c r="E29" s="141"/>
      <c r="F29" s="141"/>
    </row>
    <row r="30" spans="1:6" s="119" customFormat="1" ht="32">
      <c r="A30" s="153">
        <v>26</v>
      </c>
      <c r="B30" s="149" t="s">
        <v>152</v>
      </c>
      <c r="C30" s="149" t="s">
        <v>153</v>
      </c>
      <c r="D30" s="149" t="s">
        <v>154</v>
      </c>
      <c r="E30" s="149" t="s">
        <v>155</v>
      </c>
      <c r="F30" s="149" t="s">
        <v>156</v>
      </c>
    </row>
    <row r="31" spans="1:6" s="119" customFormat="1" ht="32">
      <c r="A31" s="153">
        <v>27</v>
      </c>
      <c r="B31" s="149" t="s">
        <v>157</v>
      </c>
      <c r="C31" s="149" t="s">
        <v>158</v>
      </c>
      <c r="D31" s="149" t="s">
        <v>154</v>
      </c>
      <c r="E31" s="149" t="s">
        <v>159</v>
      </c>
      <c r="F31" s="149" t="s">
        <v>160</v>
      </c>
    </row>
    <row r="32" spans="1:6" s="119" customFormat="1" ht="32">
      <c r="A32" s="153">
        <v>28</v>
      </c>
      <c r="B32" s="149" t="s">
        <v>161</v>
      </c>
      <c r="C32" s="149" t="s">
        <v>162</v>
      </c>
      <c r="D32" s="148" t="s">
        <v>89</v>
      </c>
      <c r="E32" s="148" t="s">
        <v>163</v>
      </c>
      <c r="F32" s="149"/>
    </row>
    <row r="33" spans="1:6" s="119" customFormat="1" ht="32">
      <c r="A33" s="153">
        <v>29</v>
      </c>
      <c r="B33" s="149" t="s">
        <v>164</v>
      </c>
      <c r="C33" s="149" t="s">
        <v>165</v>
      </c>
      <c r="D33" s="148" t="s">
        <v>89</v>
      </c>
      <c r="E33" s="148" t="s">
        <v>96</v>
      </c>
      <c r="F33" s="149"/>
    </row>
    <row r="34" spans="1:6" s="119" customFormat="1" ht="32">
      <c r="A34" s="153">
        <v>30</v>
      </c>
      <c r="B34" s="149" t="s">
        <v>166</v>
      </c>
      <c r="C34" s="149" t="s">
        <v>167</v>
      </c>
      <c r="D34" s="148" t="s">
        <v>89</v>
      </c>
      <c r="E34" s="148" t="s">
        <v>168</v>
      </c>
      <c r="F34" s="149"/>
    </row>
    <row r="35" spans="1:6" s="119" customFormat="1" ht="16">
      <c r="A35" s="153">
        <v>31</v>
      </c>
      <c r="B35" s="154" t="s">
        <v>169</v>
      </c>
      <c r="C35" s="155" t="s">
        <v>170</v>
      </c>
      <c r="D35" s="155" t="s">
        <v>171</v>
      </c>
      <c r="E35" s="155"/>
      <c r="F35" s="155"/>
    </row>
    <row r="36" spans="1:6" s="119" customFormat="1" ht="16">
      <c r="A36" s="153">
        <v>32</v>
      </c>
      <c r="B36" s="154" t="s">
        <v>172</v>
      </c>
      <c r="C36" s="155" t="s">
        <v>173</v>
      </c>
      <c r="D36" s="155" t="s">
        <v>171</v>
      </c>
      <c r="E36" s="155"/>
      <c r="F36" s="155"/>
    </row>
    <row r="37" spans="1:6" s="119" customFormat="1" ht="16">
      <c r="A37" s="153">
        <v>33</v>
      </c>
      <c r="B37" s="154" t="s">
        <v>174</v>
      </c>
      <c r="C37" s="155" t="s">
        <v>175</v>
      </c>
      <c r="D37" s="155" t="s">
        <v>171</v>
      </c>
      <c r="E37" s="155"/>
      <c r="F37" s="155"/>
    </row>
    <row r="38" spans="1:6" s="119" customFormat="1" ht="16">
      <c r="A38" s="153">
        <v>34</v>
      </c>
      <c r="B38" s="154" t="s">
        <v>176</v>
      </c>
      <c r="C38" s="155" t="s">
        <v>177</v>
      </c>
      <c r="D38" s="155" t="s">
        <v>171</v>
      </c>
      <c r="E38" s="155"/>
      <c r="F38" s="155"/>
    </row>
    <row r="39" spans="1:6" s="119" customFormat="1" ht="16">
      <c r="A39" s="153">
        <v>35</v>
      </c>
      <c r="B39" s="154" t="s">
        <v>178</v>
      </c>
      <c r="C39" s="155" t="s">
        <v>179</v>
      </c>
      <c r="D39" s="155" t="s">
        <v>171</v>
      </c>
      <c r="E39" s="155"/>
      <c r="F39" s="155"/>
    </row>
    <row r="40" spans="1:6" s="119" customFormat="1" ht="16">
      <c r="A40" s="153">
        <v>36</v>
      </c>
      <c r="B40" s="154" t="s">
        <v>180</v>
      </c>
      <c r="C40" s="155" t="s">
        <v>181</v>
      </c>
      <c r="D40" s="155" t="s">
        <v>171</v>
      </c>
      <c r="E40" s="155"/>
      <c r="F40" s="155"/>
    </row>
    <row r="41" spans="1:6" s="119" customFormat="1" ht="16">
      <c r="A41" s="153">
        <v>37</v>
      </c>
      <c r="B41" s="154" t="s">
        <v>182</v>
      </c>
      <c r="C41" s="155" t="s">
        <v>183</v>
      </c>
      <c r="D41" s="155" t="s">
        <v>171</v>
      </c>
      <c r="E41" s="155"/>
      <c r="F41" s="155"/>
    </row>
    <row r="42" spans="1:6" s="119" customFormat="1" ht="16">
      <c r="A42" s="153">
        <v>38</v>
      </c>
      <c r="B42" s="154" t="s">
        <v>184</v>
      </c>
      <c r="C42" s="155" t="s">
        <v>185</v>
      </c>
      <c r="D42" s="155" t="s">
        <v>171</v>
      </c>
      <c r="E42" s="155"/>
      <c r="F42" s="155"/>
    </row>
    <row r="43" spans="1:6" s="119" customFormat="1" ht="16">
      <c r="A43" s="153">
        <v>39</v>
      </c>
      <c r="B43" s="154" t="s">
        <v>186</v>
      </c>
      <c r="C43" s="155" t="s">
        <v>187</v>
      </c>
      <c r="D43" s="155" t="s">
        <v>171</v>
      </c>
      <c r="E43" s="155"/>
      <c r="F43" s="155"/>
    </row>
    <row r="44" spans="1:6" s="119" customFormat="1" ht="16">
      <c r="A44" s="153">
        <v>40</v>
      </c>
      <c r="B44" s="154" t="s">
        <v>188</v>
      </c>
      <c r="C44" s="155" t="s">
        <v>75</v>
      </c>
      <c r="D44" s="155" t="s">
        <v>171</v>
      </c>
      <c r="E44" s="155"/>
      <c r="F44" s="155"/>
    </row>
    <row r="45" spans="1:6" s="119" customFormat="1" ht="16">
      <c r="A45" s="153">
        <v>41</v>
      </c>
      <c r="B45" s="154" t="s">
        <v>189</v>
      </c>
      <c r="C45" s="155" t="s">
        <v>80</v>
      </c>
      <c r="D45" s="155" t="s">
        <v>171</v>
      </c>
      <c r="E45" s="155"/>
      <c r="F45" s="155"/>
    </row>
    <row r="46" spans="1:6" s="119" customFormat="1" ht="16">
      <c r="A46" s="153">
        <v>42</v>
      </c>
      <c r="B46" s="154" t="s">
        <v>190</v>
      </c>
      <c r="C46" s="155" t="s">
        <v>84</v>
      </c>
      <c r="D46" s="155" t="s">
        <v>171</v>
      </c>
      <c r="E46" s="155"/>
      <c r="F46" s="155"/>
    </row>
    <row r="47" spans="1:6" s="119" customFormat="1" ht="16">
      <c r="A47" s="153">
        <v>43</v>
      </c>
      <c r="B47" s="154" t="s">
        <v>191</v>
      </c>
      <c r="C47" s="155" t="s">
        <v>192</v>
      </c>
      <c r="D47" s="155" t="s">
        <v>171</v>
      </c>
      <c r="E47" s="155"/>
      <c r="F47" s="155"/>
    </row>
    <row r="48" spans="1:6" s="119" customFormat="1" ht="32">
      <c r="A48" s="153">
        <v>44</v>
      </c>
      <c r="B48" s="154" t="s">
        <v>193</v>
      </c>
      <c r="C48" s="155" t="s">
        <v>194</v>
      </c>
      <c r="D48" s="155" t="s">
        <v>171</v>
      </c>
      <c r="E48" s="155"/>
      <c r="F48" s="155"/>
    </row>
    <row r="49" spans="1:6" s="119" customFormat="1" ht="32">
      <c r="A49" s="153">
        <v>45</v>
      </c>
      <c r="B49" s="154" t="s">
        <v>195</v>
      </c>
      <c r="C49" s="155" t="s">
        <v>196</v>
      </c>
      <c r="D49" s="155" t="s">
        <v>171</v>
      </c>
      <c r="E49" s="155"/>
      <c r="F49" s="155"/>
    </row>
    <row r="50" spans="1:6" s="119" customFormat="1" ht="32">
      <c r="A50" s="156"/>
      <c r="B50" s="154" t="s">
        <v>197</v>
      </c>
      <c r="C50" s="155" t="s">
        <v>198</v>
      </c>
      <c r="D50" s="155"/>
      <c r="E50" s="155"/>
      <c r="F50" s="155"/>
    </row>
    <row r="51" spans="1:6" s="119" customFormat="1" ht="32">
      <c r="A51" s="156"/>
      <c r="B51" s="154" t="s">
        <v>199</v>
      </c>
      <c r="C51" s="155" t="s">
        <v>200</v>
      </c>
      <c r="D51" s="155"/>
      <c r="E51" s="155"/>
      <c r="F51" s="155"/>
    </row>
    <row r="52" spans="1:6" s="119" customFormat="1" ht="32">
      <c r="A52" s="156"/>
      <c r="B52" s="154" t="s">
        <v>201</v>
      </c>
      <c r="C52" s="155" t="s">
        <v>202</v>
      </c>
      <c r="D52" s="155"/>
      <c r="E52" s="155"/>
      <c r="F52" s="155"/>
    </row>
    <row r="53" spans="1:6" s="119" customFormat="1" ht="32">
      <c r="A53" s="156"/>
      <c r="B53" s="154" t="s">
        <v>203</v>
      </c>
      <c r="C53" s="155" t="s">
        <v>204</v>
      </c>
      <c r="D53" s="155"/>
      <c r="E53" s="155"/>
      <c r="F53" s="155"/>
    </row>
    <row r="54" spans="1:6" s="119" customFormat="1" ht="32">
      <c r="A54" s="157"/>
      <c r="B54" s="154" t="s">
        <v>205</v>
      </c>
      <c r="C54" s="155" t="s">
        <v>206</v>
      </c>
      <c r="D54" s="158"/>
      <c r="E54" s="158"/>
      <c r="F54" s="158"/>
    </row>
    <row r="55" spans="1:6" s="119" customFormat="1" ht="32">
      <c r="A55" s="157"/>
      <c r="B55" s="154" t="s">
        <v>207</v>
      </c>
      <c r="C55" s="155" t="s">
        <v>208</v>
      </c>
      <c r="D55" s="158"/>
      <c r="E55" s="158"/>
      <c r="F55" s="158"/>
    </row>
    <row r="56" spans="1:6" s="119" customFormat="1" ht="15.5">
      <c r="A56" s="157"/>
      <c r="B56" s="152" t="s">
        <v>209</v>
      </c>
      <c r="C56" s="152" t="s">
        <v>210</v>
      </c>
      <c r="D56" s="158"/>
      <c r="E56" s="158"/>
      <c r="F56" s="158"/>
    </row>
    <row r="57" spans="1:6" s="119" customFormat="1" ht="15.5">
      <c r="A57" s="157"/>
      <c r="B57" s="152" t="s">
        <v>211</v>
      </c>
      <c r="C57" s="152" t="s">
        <v>212</v>
      </c>
      <c r="D57" s="158"/>
      <c r="E57" s="158"/>
      <c r="F57" s="158"/>
    </row>
    <row r="58" spans="1:6" s="119" customFormat="1" ht="15.5">
      <c r="A58" s="157"/>
      <c r="B58" s="152" t="s">
        <v>213</v>
      </c>
      <c r="C58" s="152" t="s">
        <v>214</v>
      </c>
      <c r="D58" s="158"/>
      <c r="E58" s="158"/>
      <c r="F58" s="158"/>
    </row>
  </sheetData>
  <mergeCells count="7">
    <mergeCell ref="A1:F1"/>
    <mergeCell ref="A3:A4"/>
    <mergeCell ref="B3:B4"/>
    <mergeCell ref="C3:C4"/>
    <mergeCell ref="D3:D4"/>
    <mergeCell ref="E3:E4"/>
    <mergeCell ref="F3:F4"/>
  </mergeCells>
  <conditionalFormatting sqref="B5:B19 B21:B29">
    <cfRule type="expression" dxfId="14" priority="2" stopIfTrue="1">
      <formula>AND(COUNTIF($B$5:$B$19, B5)+COUNTIF($B$21:$B$29, B5)&gt;1,NOT(ISBLANK(B5)))</formula>
    </cfRule>
  </conditionalFormatting>
  <conditionalFormatting sqref="B20">
    <cfRule type="duplicateValues" dxfId="13" priority="1"/>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F63"/>
  <sheetViews>
    <sheetView tabSelected="1" view="pageBreakPreview" topLeftCell="A43" zoomScale="70" zoomScaleNormal="100" zoomScaleSheetLayoutView="70" zoomScalePageLayoutView="85" workbookViewId="0">
      <selection activeCell="D46" sqref="D46:D48"/>
    </sheetView>
  </sheetViews>
  <sheetFormatPr defaultColWidth="9.1796875" defaultRowHeight="16.5"/>
  <cols>
    <col min="1" max="1" width="5" style="235" customWidth="1"/>
    <col min="2" max="2" width="12" style="235" customWidth="1"/>
    <col min="3" max="3" width="43.54296875" style="236" customWidth="1"/>
    <col min="4" max="4" width="49.26953125" style="236" customWidth="1"/>
    <col min="5" max="5" width="16.453125" style="318" customWidth="1"/>
    <col min="6" max="6" width="26" style="235" customWidth="1"/>
    <col min="7" max="7" width="12.54296875" style="230" customWidth="1"/>
    <col min="8" max="10" width="11.26953125" style="230" customWidth="1"/>
    <col min="11" max="11" width="32.1796875" style="236" customWidth="1"/>
    <col min="12" max="12" width="26.81640625" style="237" customWidth="1"/>
    <col min="13" max="14" width="9.453125" style="248" customWidth="1"/>
    <col min="15" max="15" width="8.7265625" style="248" customWidth="1"/>
    <col min="16" max="16" width="10.54296875" style="230" customWidth="1"/>
    <col min="17" max="17" width="9.1796875" style="230"/>
    <col min="18" max="18" width="13.26953125" style="230" customWidth="1"/>
    <col min="19" max="19" width="13.7265625" style="230" hidden="1" customWidth="1"/>
    <col min="20" max="20" width="6.81640625" style="230" customWidth="1"/>
    <col min="21" max="23" width="8.7265625" style="229" bestFit="1" customWidth="1"/>
    <col min="24" max="24" width="9.453125" style="229" customWidth="1"/>
    <col min="25" max="26" width="7.7265625" style="229" bestFit="1" customWidth="1"/>
    <col min="27" max="27" width="8.54296875" style="229" customWidth="1"/>
    <col min="28" max="28" width="7.1796875" style="229" customWidth="1"/>
    <col min="29" max="29" width="7.26953125" style="229" customWidth="1"/>
    <col min="30" max="16384" width="9.1796875" style="230"/>
  </cols>
  <sheetData>
    <row r="1" spans="1:32" ht="20.25" customHeight="1">
      <c r="A1" s="346" t="s">
        <v>215</v>
      </c>
      <c r="B1" s="346"/>
      <c r="C1" s="346"/>
      <c r="D1" s="346"/>
      <c r="E1" s="346"/>
      <c r="F1" s="346"/>
      <c r="G1" s="346"/>
      <c r="H1" s="346"/>
      <c r="I1" s="346"/>
      <c r="J1" s="346"/>
      <c r="K1" s="346"/>
      <c r="L1" s="346"/>
      <c r="M1" s="346"/>
      <c r="N1" s="346"/>
      <c r="O1" s="346"/>
      <c r="P1" s="346"/>
      <c r="Q1" s="346"/>
      <c r="R1" s="346"/>
      <c r="S1" s="346"/>
      <c r="T1" s="346"/>
    </row>
    <row r="2" spans="1:32" ht="18">
      <c r="A2" s="347" t="s">
        <v>31</v>
      </c>
      <c r="B2" s="347"/>
      <c r="C2" s="347"/>
      <c r="D2" s="347"/>
      <c r="E2" s="347"/>
      <c r="F2" s="347"/>
      <c r="G2" s="347"/>
      <c r="H2" s="347"/>
      <c r="I2" s="347"/>
      <c r="J2" s="347"/>
      <c r="K2" s="347"/>
      <c r="L2" s="347"/>
      <c r="M2" s="347"/>
      <c r="N2" s="347"/>
      <c r="O2" s="347"/>
      <c r="P2" s="347"/>
      <c r="Q2" s="347"/>
      <c r="R2" s="347"/>
      <c r="S2" s="347"/>
      <c r="T2" s="347"/>
    </row>
    <row r="3" spans="1:32" ht="17.5">
      <c r="A3" s="276" t="s">
        <v>216</v>
      </c>
      <c r="B3" s="232"/>
      <c r="C3" s="294"/>
      <c r="D3" s="294"/>
      <c r="E3" s="317"/>
      <c r="F3" s="232"/>
      <c r="G3" s="231"/>
      <c r="H3" s="231"/>
      <c r="I3" s="231"/>
      <c r="J3" s="231"/>
      <c r="K3" s="233"/>
      <c r="L3" s="234"/>
      <c r="M3" s="231"/>
      <c r="N3" s="231"/>
      <c r="O3" s="231"/>
      <c r="P3" s="231"/>
      <c r="Q3" s="231"/>
      <c r="R3" s="231"/>
      <c r="S3" s="231"/>
    </row>
    <row r="4" spans="1:32" ht="51" customHeight="1">
      <c r="A4" s="348" t="s">
        <v>217</v>
      </c>
      <c r="B4" s="348"/>
      <c r="C4" s="348"/>
      <c r="D4" s="348"/>
      <c r="E4" s="348"/>
      <c r="F4" s="348"/>
      <c r="G4" s="348"/>
      <c r="H4" s="348"/>
      <c r="I4" s="348"/>
      <c r="J4" s="348"/>
      <c r="K4" s="348"/>
      <c r="L4" s="348"/>
      <c r="M4" s="348"/>
      <c r="N4" s="348"/>
      <c r="O4" s="348"/>
      <c r="P4" s="348"/>
      <c r="Q4" s="348"/>
      <c r="R4" s="348"/>
      <c r="S4" s="348"/>
    </row>
    <row r="5" spans="1:32" s="235" customFormat="1">
      <c r="C5" s="236"/>
      <c r="D5" s="236"/>
      <c r="E5" s="318"/>
      <c r="K5" s="236"/>
      <c r="L5" s="237"/>
      <c r="M5" s="236"/>
      <c r="N5" s="236"/>
      <c r="O5" s="236"/>
      <c r="U5" s="238"/>
      <c r="V5" s="238"/>
      <c r="W5" s="238"/>
      <c r="X5" s="238"/>
      <c r="Y5" s="238"/>
      <c r="Z5" s="238"/>
      <c r="AA5" s="238"/>
      <c r="AB5" s="238"/>
      <c r="AC5" s="238"/>
    </row>
    <row r="6" spans="1:32" s="236" customFormat="1" ht="31.5" customHeight="1">
      <c r="A6" s="349" t="s">
        <v>218</v>
      </c>
      <c r="B6" s="349" t="s">
        <v>219</v>
      </c>
      <c r="C6" s="351" t="s">
        <v>220</v>
      </c>
      <c r="D6" s="349" t="s">
        <v>221</v>
      </c>
      <c r="E6" s="362" t="s">
        <v>222</v>
      </c>
      <c r="F6" s="349" t="s">
        <v>223</v>
      </c>
      <c r="G6" s="353" t="s">
        <v>224</v>
      </c>
      <c r="H6" s="354"/>
      <c r="I6" s="354"/>
      <c r="J6" s="355"/>
      <c r="K6" s="353"/>
      <c r="L6" s="355"/>
      <c r="M6" s="353" t="s">
        <v>225</v>
      </c>
      <c r="N6" s="354"/>
      <c r="O6" s="354"/>
      <c r="P6" s="355"/>
      <c r="Q6" s="349" t="s">
        <v>226</v>
      </c>
      <c r="R6" s="349" t="s">
        <v>227</v>
      </c>
      <c r="S6" s="349" t="s">
        <v>228</v>
      </c>
      <c r="T6" s="349" t="s">
        <v>229</v>
      </c>
      <c r="U6" s="358" t="s">
        <v>230</v>
      </c>
      <c r="V6" s="359"/>
      <c r="W6" s="360"/>
      <c r="X6" s="358" t="s">
        <v>231</v>
      </c>
      <c r="Y6" s="359"/>
      <c r="Z6" s="360"/>
      <c r="AA6" s="358" t="s">
        <v>232</v>
      </c>
      <c r="AB6" s="359"/>
      <c r="AC6" s="360"/>
    </row>
    <row r="7" spans="1:32" s="236" customFormat="1" ht="85" customHeight="1">
      <c r="A7" s="350"/>
      <c r="B7" s="350"/>
      <c r="C7" s="352"/>
      <c r="D7" s="356"/>
      <c r="E7" s="363"/>
      <c r="F7" s="350"/>
      <c r="G7" s="292" t="s">
        <v>233</v>
      </c>
      <c r="H7" s="240" t="s">
        <v>41</v>
      </c>
      <c r="I7" s="240" t="s">
        <v>43</v>
      </c>
      <c r="J7" s="240" t="s">
        <v>45</v>
      </c>
      <c r="K7" s="239" t="s">
        <v>234</v>
      </c>
      <c r="L7" s="239" t="s">
        <v>70</v>
      </c>
      <c r="M7" s="239" t="s">
        <v>41</v>
      </c>
      <c r="N7" s="239" t="s">
        <v>43</v>
      </c>
      <c r="O7" s="239" t="s">
        <v>45</v>
      </c>
      <c r="P7" s="239" t="s">
        <v>235</v>
      </c>
      <c r="Q7" s="350"/>
      <c r="R7" s="350"/>
      <c r="S7" s="350"/>
      <c r="T7" s="350"/>
      <c r="U7" s="240" t="s">
        <v>41</v>
      </c>
      <c r="V7" s="240" t="s">
        <v>43</v>
      </c>
      <c r="W7" s="240" t="s">
        <v>45</v>
      </c>
      <c r="X7" s="240" t="s">
        <v>41</v>
      </c>
      <c r="Y7" s="240" t="s">
        <v>43</v>
      </c>
      <c r="Z7" s="240" t="s">
        <v>45</v>
      </c>
      <c r="AA7" s="240" t="s">
        <v>41</v>
      </c>
      <c r="AB7" s="240" t="s">
        <v>43</v>
      </c>
      <c r="AC7" s="240" t="s">
        <v>45</v>
      </c>
    </row>
    <row r="8" spans="1:32" ht="176.15" customHeight="1">
      <c r="A8" s="245">
        <v>1</v>
      </c>
      <c r="B8" s="299"/>
      <c r="C8" s="304" t="s">
        <v>866</v>
      </c>
      <c r="D8" s="321" t="s">
        <v>867</v>
      </c>
      <c r="E8" s="329" t="s">
        <v>903</v>
      </c>
      <c r="F8" s="327"/>
      <c r="G8" s="263">
        <f>P8*(1-Q8)</f>
        <v>22.799999999999997</v>
      </c>
      <c r="H8" s="263">
        <f>_xlfn.IFNA(M8*(1-$Q8),0)</f>
        <v>22.799999999999997</v>
      </c>
      <c r="I8" s="263">
        <f>_xlfn.IFNA(N8*(1-$Q8),0)</f>
        <v>0</v>
      </c>
      <c r="J8" s="263">
        <f>_xlfn.IFNA(O8*(1-$Q8),0)</f>
        <v>0</v>
      </c>
      <c r="K8" s="70" t="s">
        <v>236</v>
      </c>
      <c r="L8" s="243" t="str">
        <f>IF(K8="","",VLOOKUP(K8,'Định nghĩa Loại Chức năng'!$B$4:$C$63,2,FALSE))</f>
        <v>Đề xuất giải pháp xây dựng model phức tạp</v>
      </c>
      <c r="M8" s="244">
        <f>_xlfn.IFNA(IF(K8="","",VLOOKUP(K8&amp;$M$7,CSDL_CN!$E$4:$F$40,2,FALSE)),0)</f>
        <v>24</v>
      </c>
      <c r="N8" s="244">
        <f>_xlfn.IFNA(IF(K8="","",VLOOKUP(K8&amp;$N$7,CSDL_CN!$E$4:$F$40,2,FALSE)),0)</f>
        <v>0</v>
      </c>
      <c r="O8" s="244">
        <f>_xlfn.IFNA(IF(K8="","",VLOOKUP(K8&amp;$O$7,CSDL_CN!$E$4:$F$40,2,FALSE)),0)</f>
        <v>0</v>
      </c>
      <c r="P8" s="244">
        <f t="array" ref="P8">SUM(IFERROR(M8:O8,0))</f>
        <v>24</v>
      </c>
      <c r="Q8" s="293">
        <v>0.05</v>
      </c>
      <c r="R8" s="270"/>
      <c r="S8" s="245"/>
      <c r="T8" s="246"/>
      <c r="U8" s="247" t="s">
        <v>237</v>
      </c>
      <c r="V8" s="247" t="s">
        <v>237</v>
      </c>
      <c r="W8" s="247" t="s">
        <v>237</v>
      </c>
      <c r="X8" s="307">
        <f>IF(U8="Có",M8*(1-$Q8),"")</f>
        <v>22.799999999999997</v>
      </c>
      <c r="Y8" s="307">
        <f>IF(V8="Có",N8*(1-$Q8),"")</f>
        <v>0</v>
      </c>
      <c r="Z8" s="307">
        <f>IF(W8="Có",O8*(1-$Q8),"")</f>
        <v>0</v>
      </c>
      <c r="AA8" s="307">
        <f>IF(M8="","",IF(X8="",M8*(1-$Q8),M8*(1-$Q8)-X8))</f>
        <v>0</v>
      </c>
      <c r="AB8" s="307" t="str">
        <f>IF(OR(N8="",V8="Có"),"",IF(Y8="",N8*(1-$Q8),N8*(1-$Q8)-Y8))</f>
        <v/>
      </c>
      <c r="AC8" s="307" t="str">
        <f>IF(OR(O8="",W8="Có"),"",IF(Z8="",O8*(1-$Q8),O8*(1-$Q8)-Z8))</f>
        <v/>
      </c>
    </row>
    <row r="9" spans="1:32" ht="46.5">
      <c r="A9" s="245">
        <v>2</v>
      </c>
      <c r="B9" s="299"/>
      <c r="C9" s="306" t="s">
        <v>868</v>
      </c>
      <c r="D9" s="322" t="s">
        <v>868</v>
      </c>
      <c r="E9" s="357" t="s">
        <v>904</v>
      </c>
      <c r="F9" s="327"/>
      <c r="G9" s="263">
        <f t="shared" ref="G9" si="0">P9*(1-Q9)</f>
        <v>7.6</v>
      </c>
      <c r="H9" s="263">
        <f t="shared" ref="H9" si="1">_xlfn.IFNA(M9*(1-$Q9),0)</f>
        <v>7.6</v>
      </c>
      <c r="I9" s="263">
        <f t="shared" ref="I9" si="2">_xlfn.IFNA(N9*(1-$Q9),0)</f>
        <v>0</v>
      </c>
      <c r="J9" s="263">
        <f t="shared" ref="J9" si="3">_xlfn.IFNA(O9*(1-$Q9),0)</f>
        <v>0</v>
      </c>
      <c r="K9" s="70" t="s">
        <v>412</v>
      </c>
      <c r="L9" s="243" t="str">
        <f>IF(K9="","",VLOOKUP(K9,'Định nghĩa Loại Chức năng'!$B$4:$C$63,2,FALSE))</f>
        <v>Đề xuất giải pháp xây dựng model đơn giản</v>
      </c>
      <c r="M9" s="244">
        <f>_xlfn.IFNA(IF(K9="","",VLOOKUP(K9&amp;$M$7,CSDL_CN!$E$4:$F$40,2,FALSE)),0)</f>
        <v>8</v>
      </c>
      <c r="N9" s="244">
        <f>_xlfn.IFNA(IF(K9="","",VLOOKUP(K9&amp;$N$7,CSDL_CN!$E$4:$F$40,2,FALSE)),0)</f>
        <v>0</v>
      </c>
      <c r="O9" s="244">
        <f>_xlfn.IFNA(IF(K9="","",VLOOKUP(K9&amp;$O$7,CSDL_CN!$E$4:$F$40,2,FALSE)),0)</f>
        <v>0</v>
      </c>
      <c r="P9" s="244">
        <f t="array" ref="P9">SUM(IFERROR(M9:O9,0))</f>
        <v>8</v>
      </c>
      <c r="Q9" s="293">
        <v>0.05</v>
      </c>
      <c r="R9" s="270"/>
      <c r="S9" s="245"/>
      <c r="T9" s="246"/>
      <c r="U9" s="247" t="s">
        <v>237</v>
      </c>
      <c r="V9" s="247" t="s">
        <v>237</v>
      </c>
      <c r="W9" s="247" t="s">
        <v>237</v>
      </c>
      <c r="X9" s="307">
        <f t="shared" ref="X9" si="4">IF(U9="Có",M9*(1-$Q9),"")</f>
        <v>7.6</v>
      </c>
      <c r="Y9" s="307">
        <f t="shared" ref="Y9" si="5">IF(V9="Có",N9*(1-$Q9),"")</f>
        <v>0</v>
      </c>
      <c r="Z9" s="307">
        <f t="shared" ref="Z9" si="6">IF(W9="Có",O9*(1-$Q9),"")</f>
        <v>0</v>
      </c>
      <c r="AA9" s="307">
        <f t="shared" ref="AA9" si="7">IF(M9="","",IF(X9="",M9*(1-$Q9),M9*(1-$Q9)-X9))</f>
        <v>0</v>
      </c>
      <c r="AB9" s="307" t="str">
        <f t="shared" ref="AB9" si="8">IF(OR(N9="",V9="Có"),"",IF(Y9="",N9*(1-$Q9),N9*(1-$Q9)-Y9))</f>
        <v/>
      </c>
      <c r="AC9" s="307" t="str">
        <f t="shared" ref="AC9" si="9">IF(OR(O9="",W9="Có"),"",IF(Z9="",O9*(1-$Q9),O9*(1-$Q9)-Z9))</f>
        <v/>
      </c>
    </row>
    <row r="10" spans="1:32" s="296" customFormat="1" ht="31">
      <c r="A10" s="245">
        <v>3</v>
      </c>
      <c r="B10" s="299"/>
      <c r="C10" s="315" t="s">
        <v>869</v>
      </c>
      <c r="D10" s="323" t="s">
        <v>869</v>
      </c>
      <c r="E10" s="357"/>
      <c r="F10" s="327"/>
      <c r="G10" s="263">
        <f t="shared" ref="G10:G43" si="10">P10*(1-Q10)</f>
        <v>7.6</v>
      </c>
      <c r="H10" s="263">
        <f t="shared" ref="H10:H43" si="11">_xlfn.IFNA(M10*(1-$Q10),0)</f>
        <v>0</v>
      </c>
      <c r="I10" s="263">
        <f t="shared" ref="I10:I43" si="12">_xlfn.IFNA(N10*(1-$Q10),0)</f>
        <v>7.6</v>
      </c>
      <c r="J10" s="263">
        <f t="shared" ref="J10:J43" si="13">_xlfn.IFNA(O10*(1-$Q10),0)</f>
        <v>0</v>
      </c>
      <c r="K10" s="70" t="s">
        <v>239</v>
      </c>
      <c r="L10" s="243" t="str">
        <f>IF(K10="","",VLOOKUP(K10,'Định nghĩa Loại Chức năng'!$B$4:$C$63,2,FALSE))</f>
        <v>Training model base</v>
      </c>
      <c r="M10" s="244">
        <f>_xlfn.IFNA(IF(K10="","",VLOOKUP(K10&amp;$M$7,CSDL_CN!$E$4:$F$40,2,FALSE)),0)</f>
        <v>0</v>
      </c>
      <c r="N10" s="244">
        <f>_xlfn.IFNA(IF(K10="","",VLOOKUP(K10&amp;$N$7,CSDL_CN!$E$4:$F$40,2,FALSE)),0)</f>
        <v>8</v>
      </c>
      <c r="O10" s="244">
        <f>_xlfn.IFNA(IF(K10="","",VLOOKUP(K10&amp;$O$7,CSDL_CN!$E$4:$F$40,2,FALSE)),0)</f>
        <v>0</v>
      </c>
      <c r="P10" s="244">
        <f t="array" ref="P10">SUM(IFERROR(M10:O10,0))</f>
        <v>8</v>
      </c>
      <c r="Q10" s="293">
        <v>0.05</v>
      </c>
      <c r="R10" s="270"/>
      <c r="S10" s="245"/>
      <c r="T10" s="246"/>
      <c r="U10" s="247" t="s">
        <v>237</v>
      </c>
      <c r="V10" s="247" t="s">
        <v>237</v>
      </c>
      <c r="W10" s="247" t="s">
        <v>237</v>
      </c>
      <c r="X10" s="307">
        <f t="shared" ref="X10:X43" si="14">IF(U10="Có",M10*(1-$Q10),"")</f>
        <v>0</v>
      </c>
      <c r="Y10" s="307">
        <f t="shared" ref="Y10:Y43" si="15">IF(V10="Có",N10*(1-$Q10),"")</f>
        <v>7.6</v>
      </c>
      <c r="Z10" s="307">
        <f t="shared" ref="Z10:Z43" si="16">IF(W10="Có",O10*(1-$Q10),"")</f>
        <v>0</v>
      </c>
      <c r="AA10" s="307">
        <f t="shared" ref="AA10:AA43" si="17">IF(M10="","",IF(X10="",M10*(1-$Q10),M10*(1-$Q10)-X10))</f>
        <v>0</v>
      </c>
      <c r="AB10" s="307" t="str">
        <f t="shared" ref="AB10:AB43" si="18">IF(OR(N10="",V10="Có"),"",IF(Y10="",N10*(1-$Q10),N10*(1-$Q10)-Y10))</f>
        <v/>
      </c>
      <c r="AC10" s="307" t="str">
        <f t="shared" ref="AC10:AC43" si="19">IF(OR(O10="",W10="Có"),"",IF(Z10="",O10*(1-$Q10),O10*(1-$Q10)-Z10))</f>
        <v/>
      </c>
      <c r="AD10" s="230"/>
      <c r="AE10" s="230"/>
      <c r="AF10" s="230"/>
    </row>
    <row r="11" spans="1:32" ht="46.5" customHeight="1">
      <c r="A11" s="245">
        <v>4</v>
      </c>
      <c r="B11" s="299"/>
      <c r="C11" s="306" t="s">
        <v>870</v>
      </c>
      <c r="D11" s="322" t="s">
        <v>870</v>
      </c>
      <c r="E11" s="357"/>
      <c r="F11" s="327"/>
      <c r="G11" s="263">
        <f t="shared" si="10"/>
        <v>17.099999999999998</v>
      </c>
      <c r="H11" s="263">
        <f t="shared" si="11"/>
        <v>0</v>
      </c>
      <c r="I11" s="263">
        <f t="shared" si="12"/>
        <v>17.099999999999998</v>
      </c>
      <c r="J11" s="263">
        <f t="shared" si="13"/>
        <v>0</v>
      </c>
      <c r="K11" s="70" t="s">
        <v>486</v>
      </c>
      <c r="L11" s="243" t="str">
        <f>IF(K11="","",VLOOKUP(K11,'Định nghĩa Loại Chức năng'!$B$4:$C$63,2,FALSE))</f>
        <v>Tổng hợp dữ liệu đơn giản</v>
      </c>
      <c r="M11" s="244">
        <f>_xlfn.IFNA(IF(K11="","",VLOOKUP(K11&amp;$M$7,CSDL_CN!$E$4:$F$40,2,FALSE)),0)</f>
        <v>0</v>
      </c>
      <c r="N11" s="244">
        <f>_xlfn.IFNA(IF(K11="","",VLOOKUP(K11&amp;$N$7,CSDL_CN!$E$4:$F$40,2,FALSE)),0)</f>
        <v>18</v>
      </c>
      <c r="O11" s="244">
        <f>_xlfn.IFNA(IF(K11="","",VLOOKUP(K11&amp;$O$7,CSDL_CN!$E$4:$F$40,2,FALSE)),0)</f>
        <v>0</v>
      </c>
      <c r="P11" s="244">
        <f t="array" ref="P11">SUM(IFERROR(M11:O11,0))</f>
        <v>18</v>
      </c>
      <c r="Q11" s="293">
        <v>0.05</v>
      </c>
      <c r="R11" s="270"/>
      <c r="S11" s="245"/>
      <c r="T11" s="246"/>
      <c r="U11" s="247" t="s">
        <v>237</v>
      </c>
      <c r="V11" s="247" t="s">
        <v>237</v>
      </c>
      <c r="W11" s="247" t="s">
        <v>237</v>
      </c>
      <c r="X11" s="307">
        <f t="shared" si="14"/>
        <v>0</v>
      </c>
      <c r="Y11" s="307">
        <f t="shared" si="15"/>
        <v>17.099999999999998</v>
      </c>
      <c r="Z11" s="307">
        <f t="shared" si="16"/>
        <v>0</v>
      </c>
      <c r="AA11" s="307">
        <f t="shared" si="17"/>
        <v>0</v>
      </c>
      <c r="AB11" s="307" t="str">
        <f t="shared" si="18"/>
        <v/>
      </c>
      <c r="AC11" s="307" t="str">
        <f t="shared" si="19"/>
        <v/>
      </c>
    </row>
    <row r="12" spans="1:32" ht="18.75" customHeight="1">
      <c r="A12" s="245">
        <v>5</v>
      </c>
      <c r="B12" s="299"/>
      <c r="C12" s="314" t="s">
        <v>871</v>
      </c>
      <c r="D12" s="324" t="s">
        <v>871</v>
      </c>
      <c r="E12" s="357"/>
      <c r="F12" s="327"/>
      <c r="G12" s="263">
        <f t="shared" si="10"/>
        <v>7.6</v>
      </c>
      <c r="H12" s="263">
        <f t="shared" si="11"/>
        <v>0</v>
      </c>
      <c r="I12" s="263">
        <f t="shared" si="12"/>
        <v>7.6</v>
      </c>
      <c r="J12" s="263">
        <f t="shared" si="13"/>
        <v>0</v>
      </c>
      <c r="K12" s="70" t="s">
        <v>239</v>
      </c>
      <c r="L12" s="243" t="str">
        <f>IF(K12="","",VLOOKUP(K12,'Định nghĩa Loại Chức năng'!$B$4:$C$63,2,FALSE))</f>
        <v>Training model base</v>
      </c>
      <c r="M12" s="244">
        <f>_xlfn.IFNA(IF(K12="","",VLOOKUP(K12&amp;$M$7,CSDL_CN!$E$4:$F$40,2,FALSE)),0)</f>
        <v>0</v>
      </c>
      <c r="N12" s="244">
        <f>_xlfn.IFNA(IF(K12="","",VLOOKUP(K12&amp;$N$7,CSDL_CN!$E$4:$F$40,2,FALSE)),0)</f>
        <v>8</v>
      </c>
      <c r="O12" s="244">
        <f>_xlfn.IFNA(IF(K12="","",VLOOKUP(K12&amp;$O$7,CSDL_CN!$E$4:$F$40,2,FALSE)),0)</f>
        <v>0</v>
      </c>
      <c r="P12" s="244">
        <f t="array" ref="P12">SUM(IFERROR(M12:O12,0))</f>
        <v>8</v>
      </c>
      <c r="Q12" s="293">
        <v>0.05</v>
      </c>
      <c r="R12" s="270"/>
      <c r="S12" s="245"/>
      <c r="T12" s="246"/>
      <c r="U12" s="247" t="s">
        <v>237</v>
      </c>
      <c r="V12" s="247" t="s">
        <v>237</v>
      </c>
      <c r="W12" s="247" t="s">
        <v>237</v>
      </c>
      <c r="X12" s="307">
        <f t="shared" si="14"/>
        <v>0</v>
      </c>
      <c r="Y12" s="307">
        <f t="shared" si="15"/>
        <v>7.6</v>
      </c>
      <c r="Z12" s="307">
        <f t="shared" si="16"/>
        <v>0</v>
      </c>
      <c r="AA12" s="307">
        <f t="shared" si="17"/>
        <v>0</v>
      </c>
      <c r="AB12" s="307" t="str">
        <f t="shared" si="18"/>
        <v/>
      </c>
      <c r="AC12" s="307" t="str">
        <f t="shared" si="19"/>
        <v/>
      </c>
    </row>
    <row r="13" spans="1:32" ht="17.5">
      <c r="A13" s="245">
        <v>6</v>
      </c>
      <c r="B13" s="299"/>
      <c r="C13" s="305" t="s">
        <v>872</v>
      </c>
      <c r="D13" s="323" t="s">
        <v>872</v>
      </c>
      <c r="E13" s="357"/>
      <c r="F13" s="327"/>
      <c r="G13" s="263">
        <f t="shared" ref="G13:G14" si="20">P13*(1-Q13)</f>
        <v>15.2</v>
      </c>
      <c r="H13" s="263">
        <f t="shared" ref="H13:H14" si="21">_xlfn.IFNA(M13*(1-$Q13),0)</f>
        <v>0</v>
      </c>
      <c r="I13" s="263">
        <f t="shared" ref="I13:I14" si="22">_xlfn.IFNA(N13*(1-$Q13),0)</f>
        <v>15.2</v>
      </c>
      <c r="J13" s="263">
        <f t="shared" ref="J13:J14" si="23">_xlfn.IFNA(O13*(1-$Q13),0)</f>
        <v>0</v>
      </c>
      <c r="K13" s="70" t="s">
        <v>240</v>
      </c>
      <c r="L13" s="243" t="str">
        <f>IF(K13="","",VLOOKUP(K13,'Định nghĩa Loại Chức năng'!$B$4:$C$63,2,FALSE))</f>
        <v>Fine-tune hyperparameters</v>
      </c>
      <c r="M13" s="244">
        <f>_xlfn.IFNA(IF(K13="","",VLOOKUP(K13&amp;$M$7,CSDL_CN!$E$4:$F$40,2,FALSE)),0)</f>
        <v>0</v>
      </c>
      <c r="N13" s="244">
        <f>_xlfn.IFNA(IF(K13="","",VLOOKUP(K13&amp;$N$7,CSDL_CN!$E$4:$F$40,2,FALSE)),0)</f>
        <v>16</v>
      </c>
      <c r="O13" s="244">
        <f>_xlfn.IFNA(IF(K13="","",VLOOKUP(K13&amp;$O$7,CSDL_CN!$E$4:$F$40,2,FALSE)),0)</f>
        <v>0</v>
      </c>
      <c r="P13" s="244">
        <f t="array" ref="P13">SUM(IFERROR(M13:O13,0))</f>
        <v>16</v>
      </c>
      <c r="Q13" s="293">
        <v>0.05</v>
      </c>
      <c r="R13" s="270"/>
      <c r="S13" s="245"/>
      <c r="T13" s="246"/>
      <c r="U13" s="247" t="s">
        <v>237</v>
      </c>
      <c r="V13" s="247" t="s">
        <v>237</v>
      </c>
      <c r="W13" s="247" t="s">
        <v>237</v>
      </c>
      <c r="X13" s="307">
        <f t="shared" ref="X13:X14" si="24">IF(U13="Có",M13*(1-$Q13),"")</f>
        <v>0</v>
      </c>
      <c r="Y13" s="307">
        <f t="shared" ref="Y13:Y14" si="25">IF(V13="Có",N13*(1-$Q13),"")</f>
        <v>15.2</v>
      </c>
      <c r="Z13" s="307">
        <f t="shared" ref="Z13:Z14" si="26">IF(W13="Có",O13*(1-$Q13),"")</f>
        <v>0</v>
      </c>
      <c r="AA13" s="307">
        <f t="shared" ref="AA13:AA14" si="27">IF(M13="","",IF(X13="",M13*(1-$Q13),M13*(1-$Q13)-X13))</f>
        <v>0</v>
      </c>
      <c r="AB13" s="307" t="str">
        <f t="shared" ref="AB13:AB14" si="28">IF(OR(N13="",V13="Có"),"",IF(Y13="",N13*(1-$Q13),N13*(1-$Q13)-Y13))</f>
        <v/>
      </c>
      <c r="AC13" s="307" t="str">
        <f t="shared" ref="AC13:AC14" si="29">IF(OR(O13="",W13="Có"),"",IF(Z13="",O13*(1-$Q13),O13*(1-$Q13)-Z13))</f>
        <v/>
      </c>
    </row>
    <row r="14" spans="1:32" ht="17.5">
      <c r="A14" s="245">
        <v>7</v>
      </c>
      <c r="B14" s="299"/>
      <c r="C14" s="306" t="s">
        <v>873</v>
      </c>
      <c r="D14" s="322" t="s">
        <v>873</v>
      </c>
      <c r="E14" s="357"/>
      <c r="F14" s="327"/>
      <c r="G14" s="263">
        <f t="shared" si="20"/>
        <v>15.2</v>
      </c>
      <c r="H14" s="263">
        <f t="shared" si="21"/>
        <v>0</v>
      </c>
      <c r="I14" s="263">
        <f t="shared" si="22"/>
        <v>15.2</v>
      </c>
      <c r="J14" s="263">
        <f t="shared" si="23"/>
        <v>0</v>
      </c>
      <c r="K14" s="70" t="s">
        <v>240</v>
      </c>
      <c r="L14" s="243" t="str">
        <f>IF(K14="","",VLOOKUP(K14,'Định nghĩa Loại Chức năng'!$B$4:$C$63,2,FALSE))</f>
        <v>Fine-tune hyperparameters</v>
      </c>
      <c r="M14" s="244">
        <f>_xlfn.IFNA(IF(K14="","",VLOOKUP(K14&amp;$M$7,CSDL_CN!$E$4:$F$40,2,FALSE)),0)</f>
        <v>0</v>
      </c>
      <c r="N14" s="244">
        <f>_xlfn.IFNA(IF(K14="","",VLOOKUP(K14&amp;$N$7,CSDL_CN!$E$4:$F$40,2,FALSE)),0)</f>
        <v>16</v>
      </c>
      <c r="O14" s="244">
        <f>_xlfn.IFNA(IF(K14="","",VLOOKUP(K14&amp;$O$7,CSDL_CN!$E$4:$F$40,2,FALSE)),0)</f>
        <v>0</v>
      </c>
      <c r="P14" s="244">
        <f t="array" ref="P14">SUM(IFERROR(M14:O14,0))</f>
        <v>16</v>
      </c>
      <c r="Q14" s="293">
        <v>0.05</v>
      </c>
      <c r="R14" s="270"/>
      <c r="S14" s="245"/>
      <c r="T14" s="246"/>
      <c r="U14" s="247" t="s">
        <v>237</v>
      </c>
      <c r="V14" s="247" t="s">
        <v>237</v>
      </c>
      <c r="W14" s="247" t="s">
        <v>237</v>
      </c>
      <c r="X14" s="307">
        <f t="shared" si="24"/>
        <v>0</v>
      </c>
      <c r="Y14" s="307">
        <f t="shared" si="25"/>
        <v>15.2</v>
      </c>
      <c r="Z14" s="307">
        <f t="shared" si="26"/>
        <v>0</v>
      </c>
      <c r="AA14" s="307">
        <f t="shared" si="27"/>
        <v>0</v>
      </c>
      <c r="AB14" s="307" t="str">
        <f t="shared" si="28"/>
        <v/>
      </c>
      <c r="AC14" s="307" t="str">
        <f t="shared" si="29"/>
        <v/>
      </c>
    </row>
    <row r="15" spans="1:32" ht="17.5">
      <c r="A15" s="245">
        <v>8</v>
      </c>
      <c r="B15" s="299"/>
      <c r="C15" s="306" t="s">
        <v>874</v>
      </c>
      <c r="D15" s="322" t="s">
        <v>874</v>
      </c>
      <c r="E15" s="357"/>
      <c r="F15" s="327"/>
      <c r="G15" s="263">
        <f t="shared" ref="G15" si="30">P15*(1-Q15)</f>
        <v>15.2</v>
      </c>
      <c r="H15" s="263">
        <f t="shared" ref="H15" si="31">_xlfn.IFNA(M15*(1-$Q15),0)</f>
        <v>0</v>
      </c>
      <c r="I15" s="263">
        <f t="shared" ref="I15" si="32">_xlfn.IFNA(N15*(1-$Q15),0)</f>
        <v>15.2</v>
      </c>
      <c r="J15" s="263">
        <f t="shared" ref="J15" si="33">_xlfn.IFNA(O15*(1-$Q15),0)</f>
        <v>0</v>
      </c>
      <c r="K15" s="70" t="s">
        <v>240</v>
      </c>
      <c r="L15" s="243" t="str">
        <f>IF(K15="","",VLOOKUP(K15,'Định nghĩa Loại Chức năng'!$B$4:$C$63,2,FALSE))</f>
        <v>Fine-tune hyperparameters</v>
      </c>
      <c r="M15" s="244">
        <f>_xlfn.IFNA(IF(K15="","",VLOOKUP(K15&amp;$M$7,CSDL_CN!$E$4:$F$40,2,FALSE)),0)</f>
        <v>0</v>
      </c>
      <c r="N15" s="244">
        <f>_xlfn.IFNA(IF(K15="","",VLOOKUP(K15&amp;$N$7,CSDL_CN!$E$4:$F$40,2,FALSE)),0)</f>
        <v>16</v>
      </c>
      <c r="O15" s="244">
        <f>_xlfn.IFNA(IF(K15="","",VLOOKUP(K15&amp;$O$7,CSDL_CN!$E$4:$F$40,2,FALSE)),0)</f>
        <v>0</v>
      </c>
      <c r="P15" s="244">
        <f t="array" ref="P15">SUM(IFERROR(M15:O15,0))</f>
        <v>16</v>
      </c>
      <c r="Q15" s="293">
        <v>0.05</v>
      </c>
      <c r="R15" s="270"/>
      <c r="S15" s="245"/>
      <c r="T15" s="246"/>
      <c r="U15" s="247" t="s">
        <v>237</v>
      </c>
      <c r="V15" s="247" t="s">
        <v>237</v>
      </c>
      <c r="W15" s="247" t="s">
        <v>237</v>
      </c>
      <c r="X15" s="307">
        <f t="shared" ref="X15" si="34">IF(U15="Có",M15*(1-$Q15),"")</f>
        <v>0</v>
      </c>
      <c r="Y15" s="307">
        <f t="shared" ref="Y15" si="35">IF(V15="Có",N15*(1-$Q15),"")</f>
        <v>15.2</v>
      </c>
      <c r="Z15" s="307">
        <f t="shared" ref="Z15" si="36">IF(W15="Có",O15*(1-$Q15),"")</f>
        <v>0</v>
      </c>
      <c r="AA15" s="307">
        <f t="shared" ref="AA15" si="37">IF(M15="","",IF(X15="",M15*(1-$Q15),M15*(1-$Q15)-X15))</f>
        <v>0</v>
      </c>
      <c r="AB15" s="307" t="str">
        <f t="shared" ref="AB15" si="38">IF(OR(N15="",V15="Có"),"",IF(Y15="",N15*(1-$Q15),N15*(1-$Q15)-Y15))</f>
        <v/>
      </c>
      <c r="AC15" s="307" t="str">
        <f t="shared" ref="AC15" si="39">IF(OR(O15="",W15="Có"),"",IF(Z15="",O15*(1-$Q15),O15*(1-$Q15)-Z15))</f>
        <v/>
      </c>
    </row>
    <row r="16" spans="1:32" ht="17.5">
      <c r="A16" s="245">
        <v>9</v>
      </c>
      <c r="B16" s="299"/>
      <c r="C16" s="305" t="s">
        <v>875</v>
      </c>
      <c r="D16" s="323" t="s">
        <v>875</v>
      </c>
      <c r="E16" s="357"/>
      <c r="F16" s="327"/>
      <c r="G16" s="263">
        <f t="shared" si="10"/>
        <v>3.4</v>
      </c>
      <c r="H16" s="263">
        <f t="shared" si="11"/>
        <v>3.4</v>
      </c>
      <c r="I16" s="263">
        <f t="shared" si="12"/>
        <v>0</v>
      </c>
      <c r="J16" s="263">
        <f t="shared" si="13"/>
        <v>0</v>
      </c>
      <c r="K16" s="70" t="s">
        <v>242</v>
      </c>
      <c r="L16" s="243" t="str">
        <f>IF(K16="","",VLOOKUP(K16,'Định nghĩa Loại Chức năng'!$B$4:$C$63,2,FALSE))</f>
        <v>Trình bày kết quả model</v>
      </c>
      <c r="M16" s="244">
        <f>_xlfn.IFNA(IF(K16="","",VLOOKUP(K16&amp;$M$7,CSDL_CN!$E$4:$F$40,2,FALSE)),0)</f>
        <v>4</v>
      </c>
      <c r="N16" s="244">
        <f>_xlfn.IFNA(IF(K16="","",VLOOKUP(K16&amp;$N$7,CSDL_CN!$E$4:$F$40,2,FALSE)),0)</f>
        <v>0</v>
      </c>
      <c r="O16" s="244">
        <f>_xlfn.IFNA(IF(K16="","",VLOOKUP(K16&amp;$O$7,CSDL_CN!$E$4:$F$40,2,FALSE)),0)</f>
        <v>0</v>
      </c>
      <c r="P16" s="244">
        <f t="array" ref="P16">SUM(IFERROR(M16:O16,0))</f>
        <v>4</v>
      </c>
      <c r="Q16" s="293">
        <v>0.15</v>
      </c>
      <c r="R16" s="270"/>
      <c r="S16" s="245"/>
      <c r="T16" s="246"/>
      <c r="U16" s="247" t="s">
        <v>237</v>
      </c>
      <c r="V16" s="247" t="s">
        <v>237</v>
      </c>
      <c r="W16" s="247" t="s">
        <v>237</v>
      </c>
      <c r="X16" s="307">
        <f t="shared" si="14"/>
        <v>3.4</v>
      </c>
      <c r="Y16" s="307">
        <f t="shared" si="15"/>
        <v>0</v>
      </c>
      <c r="Z16" s="307">
        <f t="shared" si="16"/>
        <v>0</v>
      </c>
      <c r="AA16" s="307">
        <f t="shared" si="17"/>
        <v>0</v>
      </c>
      <c r="AB16" s="307" t="str">
        <f t="shared" si="18"/>
        <v/>
      </c>
      <c r="AC16" s="307" t="str">
        <f t="shared" si="19"/>
        <v/>
      </c>
    </row>
    <row r="17" spans="1:29" ht="77.5">
      <c r="A17" s="245">
        <v>10</v>
      </c>
      <c r="B17" s="299"/>
      <c r="C17" s="316" t="s">
        <v>876</v>
      </c>
      <c r="D17" s="325" t="s">
        <v>877</v>
      </c>
      <c r="E17" s="357" t="s">
        <v>905</v>
      </c>
      <c r="F17" s="327"/>
      <c r="G17" s="263">
        <f t="shared" ref="G17" si="40">P17*(1-Q17)</f>
        <v>21.6</v>
      </c>
      <c r="H17" s="263">
        <f t="shared" ref="H17" si="41">_xlfn.IFNA(M17*(1-$Q17),0)</f>
        <v>21.6</v>
      </c>
      <c r="I17" s="263">
        <f t="shared" ref="I17" si="42">_xlfn.IFNA(N17*(1-$Q17),0)</f>
        <v>0</v>
      </c>
      <c r="J17" s="263">
        <f t="shared" ref="J17" si="43">_xlfn.IFNA(O17*(1-$Q17),0)</f>
        <v>0</v>
      </c>
      <c r="K17" s="70" t="s">
        <v>236</v>
      </c>
      <c r="L17" s="243" t="str">
        <f>IF(K17="","",VLOOKUP(K17,'Định nghĩa Loại Chức năng'!$B$4:$C$63,2,FALSE))</f>
        <v>Đề xuất giải pháp xây dựng model phức tạp</v>
      </c>
      <c r="M17" s="244">
        <f>_xlfn.IFNA(IF(K17="","",VLOOKUP(K17&amp;$M$7,CSDL_CN!$E$4:$F$40,2,FALSE)),0)</f>
        <v>24</v>
      </c>
      <c r="N17" s="244">
        <f>_xlfn.IFNA(IF(K17="","",VLOOKUP(K17&amp;$N$7,CSDL_CN!$E$4:$F$40,2,FALSE)),0)</f>
        <v>0</v>
      </c>
      <c r="O17" s="244">
        <f>_xlfn.IFNA(IF(K17="","",VLOOKUP(K17&amp;$O$7,CSDL_CN!$E$4:$F$40,2,FALSE)),0)</f>
        <v>0</v>
      </c>
      <c r="P17" s="244">
        <f t="array" ref="P17">SUM(IFERROR(M17:O17,0))</f>
        <v>24</v>
      </c>
      <c r="Q17" s="293">
        <v>0.1</v>
      </c>
      <c r="R17" s="270"/>
      <c r="S17" s="245"/>
      <c r="T17" s="246"/>
      <c r="U17" s="247" t="s">
        <v>237</v>
      </c>
      <c r="V17" s="247" t="s">
        <v>237</v>
      </c>
      <c r="W17" s="247" t="s">
        <v>237</v>
      </c>
      <c r="X17" s="307">
        <f t="shared" ref="X17" si="44">IF(U17="Có",M17*(1-$Q17),"")</f>
        <v>21.6</v>
      </c>
      <c r="Y17" s="307">
        <f t="shared" ref="Y17" si="45">IF(V17="Có",N17*(1-$Q17),"")</f>
        <v>0</v>
      </c>
      <c r="Z17" s="307">
        <f t="shared" ref="Z17" si="46">IF(W17="Có",O17*(1-$Q17),"")</f>
        <v>0</v>
      </c>
      <c r="AA17" s="307">
        <f t="shared" ref="AA17" si="47">IF(M17="","",IF(X17="",M17*(1-$Q17),M17*(1-$Q17)-X17))</f>
        <v>0</v>
      </c>
      <c r="AB17" s="307" t="str">
        <f t="shared" ref="AB17" si="48">IF(OR(N17="",V17="Có"),"",IF(Y17="",N17*(1-$Q17),N17*(1-$Q17)-Y17))</f>
        <v/>
      </c>
      <c r="AC17" s="307" t="str">
        <f t="shared" ref="AC17" si="49">IF(OR(O17="",W17="Có"),"",IF(Z17="",O17*(1-$Q17),O17*(1-$Q17)-Z17))</f>
        <v/>
      </c>
    </row>
    <row r="18" spans="1:29" ht="17.5">
      <c r="A18" s="245">
        <v>11</v>
      </c>
      <c r="B18" s="299"/>
      <c r="C18" s="306" t="s">
        <v>878</v>
      </c>
      <c r="D18" s="322" t="s">
        <v>878</v>
      </c>
      <c r="E18" s="357"/>
      <c r="F18" s="327"/>
      <c r="G18" s="263">
        <f t="shared" si="10"/>
        <v>7.2</v>
      </c>
      <c r="H18" s="263">
        <f t="shared" si="11"/>
        <v>0</v>
      </c>
      <c r="I18" s="263">
        <f t="shared" si="12"/>
        <v>7.2</v>
      </c>
      <c r="J18" s="263">
        <f t="shared" si="13"/>
        <v>0</v>
      </c>
      <c r="K18" s="70" t="s">
        <v>239</v>
      </c>
      <c r="L18" s="243" t="str">
        <f>IF(K18="","",VLOOKUP(K18,'Định nghĩa Loại Chức năng'!$B$4:$C$63,2,FALSE))</f>
        <v>Training model base</v>
      </c>
      <c r="M18" s="244">
        <f>_xlfn.IFNA(IF(K18="","",VLOOKUP(K18&amp;$M$7,CSDL_CN!$E$4:$F$40,2,FALSE)),0)</f>
        <v>0</v>
      </c>
      <c r="N18" s="244">
        <f>_xlfn.IFNA(IF(K18="","",VLOOKUP(K18&amp;$N$7,CSDL_CN!$E$4:$F$40,2,FALSE)),0)</f>
        <v>8</v>
      </c>
      <c r="O18" s="244">
        <f>_xlfn.IFNA(IF(K18="","",VLOOKUP(K18&amp;$O$7,CSDL_CN!$E$4:$F$40,2,FALSE)),0)</f>
        <v>0</v>
      </c>
      <c r="P18" s="244">
        <f t="array" ref="P18">SUM(IFERROR(M18:O18,0))</f>
        <v>8</v>
      </c>
      <c r="Q18" s="293">
        <v>0.1</v>
      </c>
      <c r="R18" s="270"/>
      <c r="S18" s="245"/>
      <c r="T18" s="246"/>
      <c r="U18" s="247" t="s">
        <v>237</v>
      </c>
      <c r="V18" s="247" t="s">
        <v>237</v>
      </c>
      <c r="W18" s="247" t="s">
        <v>237</v>
      </c>
      <c r="X18" s="307">
        <f t="shared" si="14"/>
        <v>0</v>
      </c>
      <c r="Y18" s="307">
        <f t="shared" si="15"/>
        <v>7.2</v>
      </c>
      <c r="Z18" s="307">
        <f t="shared" si="16"/>
        <v>0</v>
      </c>
      <c r="AA18" s="307">
        <f t="shared" si="17"/>
        <v>0</v>
      </c>
      <c r="AB18" s="307" t="str">
        <f t="shared" si="18"/>
        <v/>
      </c>
      <c r="AC18" s="307" t="str">
        <f t="shared" si="19"/>
        <v/>
      </c>
    </row>
    <row r="19" spans="1:29" ht="42" customHeight="1">
      <c r="A19" s="245">
        <v>12</v>
      </c>
      <c r="B19" s="299"/>
      <c r="C19" s="314" t="s">
        <v>898</v>
      </c>
      <c r="D19" s="322" t="s">
        <v>899</v>
      </c>
      <c r="E19" s="357"/>
      <c r="F19" s="327"/>
      <c r="G19" s="263">
        <f t="shared" ref="G19" si="50">P19*(1-Q19)</f>
        <v>14.4</v>
      </c>
      <c r="H19" s="263">
        <f t="shared" ref="H19" si="51">_xlfn.IFNA(M19*(1-$Q19),0)</f>
        <v>0</v>
      </c>
      <c r="I19" s="263">
        <f t="shared" ref="I19" si="52">_xlfn.IFNA(N19*(1-$Q19),0)</f>
        <v>14.4</v>
      </c>
      <c r="J19" s="263">
        <f t="shared" ref="J19" si="53">_xlfn.IFNA(O19*(1-$Q19),0)</f>
        <v>0</v>
      </c>
      <c r="K19" s="70" t="s">
        <v>240</v>
      </c>
      <c r="L19" s="243" t="str">
        <f>IF(K19="","",VLOOKUP(K19,'Định nghĩa Loại Chức năng'!$B$4:$C$63,2,FALSE))</f>
        <v>Fine-tune hyperparameters</v>
      </c>
      <c r="M19" s="244">
        <f>_xlfn.IFNA(IF(K19="","",VLOOKUP(K19&amp;$M$7,CSDL_CN!$E$4:$F$40,2,FALSE)),0)</f>
        <v>0</v>
      </c>
      <c r="N19" s="244">
        <f>_xlfn.IFNA(IF(K19="","",VLOOKUP(K19&amp;$N$7,CSDL_CN!$E$4:$F$40,2,FALSE)),0)</f>
        <v>16</v>
      </c>
      <c r="O19" s="244">
        <f>_xlfn.IFNA(IF(K19="","",VLOOKUP(K19&amp;$O$7,CSDL_CN!$E$4:$F$40,2,FALSE)),0)</f>
        <v>0</v>
      </c>
      <c r="P19" s="244">
        <f t="array" ref="P19">SUM(IFERROR(M19:O19,0))</f>
        <v>16</v>
      </c>
      <c r="Q19" s="293">
        <v>0.1</v>
      </c>
      <c r="R19" s="270"/>
      <c r="S19" s="245"/>
      <c r="T19" s="246"/>
      <c r="U19" s="247" t="s">
        <v>237</v>
      </c>
      <c r="V19" s="247" t="s">
        <v>237</v>
      </c>
      <c r="W19" s="247" t="s">
        <v>237</v>
      </c>
      <c r="X19" s="307">
        <f t="shared" ref="X19" si="54">IF(U19="Có",M19*(1-$Q19),"")</f>
        <v>0</v>
      </c>
      <c r="Y19" s="307">
        <f t="shared" ref="Y19" si="55">IF(V19="Có",N19*(1-$Q19),"")</f>
        <v>14.4</v>
      </c>
      <c r="Z19" s="307">
        <f t="shared" ref="Z19" si="56">IF(W19="Có",O19*(1-$Q19),"")</f>
        <v>0</v>
      </c>
      <c r="AA19" s="307">
        <f t="shared" ref="AA19" si="57">IF(M19="","",IF(X19="",M19*(1-$Q19),M19*(1-$Q19)-X19))</f>
        <v>0</v>
      </c>
      <c r="AB19" s="307" t="str">
        <f t="shared" ref="AB19" si="58">IF(OR(N19="",V19="Có"),"",IF(Y19="",N19*(1-$Q19),N19*(1-$Q19)-Y19))</f>
        <v/>
      </c>
      <c r="AC19" s="307" t="str">
        <f t="shared" ref="AC19" si="59">IF(OR(O19="",W19="Có"),"",IF(Z19="",O19*(1-$Q19),O19*(1-$Q19)-Z19))</f>
        <v/>
      </c>
    </row>
    <row r="20" spans="1:29" ht="42" customHeight="1">
      <c r="A20" s="245">
        <v>13</v>
      </c>
      <c r="B20" s="299"/>
      <c r="C20" s="314" t="s">
        <v>900</v>
      </c>
      <c r="D20" s="322" t="s">
        <v>900</v>
      </c>
      <c r="E20" s="357"/>
      <c r="F20" s="327"/>
      <c r="G20" s="263">
        <f t="shared" si="10"/>
        <v>14.4</v>
      </c>
      <c r="H20" s="263">
        <f t="shared" si="11"/>
        <v>0</v>
      </c>
      <c r="I20" s="263">
        <f t="shared" si="12"/>
        <v>14.4</v>
      </c>
      <c r="J20" s="263">
        <f t="shared" si="13"/>
        <v>0</v>
      </c>
      <c r="K20" s="70" t="s">
        <v>240</v>
      </c>
      <c r="L20" s="243" t="str">
        <f>IF(K20="","",VLOOKUP(K20,'Định nghĩa Loại Chức năng'!$B$4:$C$63,2,FALSE))</f>
        <v>Fine-tune hyperparameters</v>
      </c>
      <c r="M20" s="244">
        <f>_xlfn.IFNA(IF(K20="","",VLOOKUP(K20&amp;$M$7,CSDL_CN!$E$4:$F$40,2,FALSE)),0)</f>
        <v>0</v>
      </c>
      <c r="N20" s="244">
        <f>_xlfn.IFNA(IF(K20="","",VLOOKUP(K20&amp;$N$7,CSDL_CN!$E$4:$F$40,2,FALSE)),0)</f>
        <v>16</v>
      </c>
      <c r="O20" s="244">
        <f>_xlfn.IFNA(IF(K20="","",VLOOKUP(K20&amp;$O$7,CSDL_CN!$E$4:$F$40,2,FALSE)),0)</f>
        <v>0</v>
      </c>
      <c r="P20" s="244">
        <f t="array" ref="P20">SUM(IFERROR(M20:O20,0))</f>
        <v>16</v>
      </c>
      <c r="Q20" s="293">
        <v>0.1</v>
      </c>
      <c r="R20" s="270"/>
      <c r="S20" s="245"/>
      <c r="T20" s="246"/>
      <c r="U20" s="247" t="s">
        <v>237</v>
      </c>
      <c r="V20" s="247" t="s">
        <v>237</v>
      </c>
      <c r="W20" s="247" t="s">
        <v>237</v>
      </c>
      <c r="X20" s="307">
        <f t="shared" si="14"/>
        <v>0</v>
      </c>
      <c r="Y20" s="307">
        <f t="shared" si="15"/>
        <v>14.4</v>
      </c>
      <c r="Z20" s="307">
        <f t="shared" si="16"/>
        <v>0</v>
      </c>
      <c r="AA20" s="307">
        <f t="shared" si="17"/>
        <v>0</v>
      </c>
      <c r="AB20" s="307" t="str">
        <f t="shared" si="18"/>
        <v/>
      </c>
      <c r="AC20" s="307" t="str">
        <f t="shared" si="19"/>
        <v/>
      </c>
    </row>
    <row r="21" spans="1:29" ht="17.5">
      <c r="A21" s="245">
        <v>14</v>
      </c>
      <c r="B21" s="299"/>
      <c r="C21" s="306" t="s">
        <v>879</v>
      </c>
      <c r="D21" s="322" t="s">
        <v>879</v>
      </c>
      <c r="E21" s="357"/>
      <c r="F21" s="327"/>
      <c r="G21" s="263">
        <f t="shared" ref="G21:G22" si="60">P21*(1-Q21)</f>
        <v>3.4</v>
      </c>
      <c r="H21" s="263">
        <f t="shared" ref="H21:H22" si="61">_xlfn.IFNA(M21*(1-$Q21),0)</f>
        <v>3.4</v>
      </c>
      <c r="I21" s="263">
        <f t="shared" ref="I21:I22" si="62">_xlfn.IFNA(N21*(1-$Q21),0)</f>
        <v>0</v>
      </c>
      <c r="J21" s="263">
        <f t="shared" ref="J21:J22" si="63">_xlfn.IFNA(O21*(1-$Q21),0)</f>
        <v>0</v>
      </c>
      <c r="K21" s="70" t="s">
        <v>242</v>
      </c>
      <c r="L21" s="243" t="str">
        <f>IF(K21="","",VLOOKUP(K21,'Định nghĩa Loại Chức năng'!$B$4:$C$63,2,FALSE))</f>
        <v>Trình bày kết quả model</v>
      </c>
      <c r="M21" s="244">
        <f>_xlfn.IFNA(IF(K21="","",VLOOKUP(K21&amp;$M$7,CSDL_CN!$E$4:$F$40,2,FALSE)),0)</f>
        <v>4</v>
      </c>
      <c r="N21" s="244">
        <f>_xlfn.IFNA(IF(K21="","",VLOOKUP(K21&amp;$N$7,CSDL_CN!$E$4:$F$40,2,FALSE)),0)</f>
        <v>0</v>
      </c>
      <c r="O21" s="244">
        <f>_xlfn.IFNA(IF(K21="","",VLOOKUP(K21&amp;$O$7,CSDL_CN!$E$4:$F$40,2,FALSE)),0)</f>
        <v>0</v>
      </c>
      <c r="P21" s="244">
        <f t="array" ref="P21">SUM(IFERROR(M21:O21,0))</f>
        <v>4</v>
      </c>
      <c r="Q21" s="293">
        <v>0.15</v>
      </c>
      <c r="R21" s="270"/>
      <c r="S21" s="245"/>
      <c r="T21" s="246"/>
      <c r="U21" s="247" t="s">
        <v>237</v>
      </c>
      <c r="V21" s="247" t="s">
        <v>237</v>
      </c>
      <c r="W21" s="247" t="s">
        <v>237</v>
      </c>
      <c r="X21" s="307">
        <f t="shared" ref="X21:X22" si="64">IF(U21="Có",M21*(1-$Q21),"")</f>
        <v>3.4</v>
      </c>
      <c r="Y21" s="307">
        <f t="shared" ref="Y21:Y22" si="65">IF(V21="Có",N21*(1-$Q21),"")</f>
        <v>0</v>
      </c>
      <c r="Z21" s="307">
        <f t="shared" ref="Z21:Z22" si="66">IF(W21="Có",O21*(1-$Q21),"")</f>
        <v>0</v>
      </c>
      <c r="AA21" s="307">
        <f t="shared" ref="AA21:AA22" si="67">IF(M21="","",IF(X21="",M21*(1-$Q21),M21*(1-$Q21)-X21))</f>
        <v>0</v>
      </c>
      <c r="AB21" s="307" t="str">
        <f t="shared" ref="AB21:AB22" si="68">IF(OR(N21="",V21="Có"),"",IF(Y21="",N21*(1-$Q21),N21*(1-$Q21)-Y21))</f>
        <v/>
      </c>
      <c r="AC21" s="307" t="str">
        <f t="shared" ref="AC21:AC22" si="69">IF(OR(O21="",W21="Có"),"",IF(Z21="",O21*(1-$Q21),O21*(1-$Q21)-Z21))</f>
        <v/>
      </c>
    </row>
    <row r="22" spans="1:29" ht="34.5" customHeight="1">
      <c r="A22" s="245">
        <v>15</v>
      </c>
      <c r="B22" s="299"/>
      <c r="C22" s="314" t="s">
        <v>888</v>
      </c>
      <c r="D22" s="326" t="s">
        <v>888</v>
      </c>
      <c r="E22" s="357"/>
      <c r="F22" s="327"/>
      <c r="G22" s="263">
        <f t="shared" si="60"/>
        <v>3.4</v>
      </c>
      <c r="H22" s="263">
        <f t="shared" si="61"/>
        <v>3.4</v>
      </c>
      <c r="I22" s="263">
        <f t="shared" si="62"/>
        <v>0</v>
      </c>
      <c r="J22" s="263">
        <f t="shared" si="63"/>
        <v>0</v>
      </c>
      <c r="K22" s="70" t="s">
        <v>242</v>
      </c>
      <c r="L22" s="243" t="str">
        <f>IF(K22="","",VLOOKUP(K22,'Định nghĩa Loại Chức năng'!$B$4:$C$63,2,FALSE))</f>
        <v>Trình bày kết quả model</v>
      </c>
      <c r="M22" s="244">
        <f>_xlfn.IFNA(IF(K22="","",VLOOKUP(K22&amp;$M$7,CSDL_CN!$E$4:$F$40,2,FALSE)),0)</f>
        <v>4</v>
      </c>
      <c r="N22" s="244">
        <f>_xlfn.IFNA(IF(K22="","",VLOOKUP(K22&amp;$N$7,CSDL_CN!$E$4:$F$40,2,FALSE)),0)</f>
        <v>0</v>
      </c>
      <c r="O22" s="244">
        <f>_xlfn.IFNA(IF(K22="","",VLOOKUP(K22&amp;$O$7,CSDL_CN!$E$4:$F$40,2,FALSE)),0)</f>
        <v>0</v>
      </c>
      <c r="P22" s="244">
        <f t="array" ref="P22">SUM(IFERROR(M22:O22,0))</f>
        <v>4</v>
      </c>
      <c r="Q22" s="293">
        <v>0.15</v>
      </c>
      <c r="R22" s="270"/>
      <c r="S22" s="245"/>
      <c r="T22" s="246"/>
      <c r="U22" s="247" t="s">
        <v>237</v>
      </c>
      <c r="V22" s="247" t="s">
        <v>237</v>
      </c>
      <c r="W22" s="247" t="s">
        <v>237</v>
      </c>
      <c r="X22" s="307">
        <f t="shared" si="64"/>
        <v>3.4</v>
      </c>
      <c r="Y22" s="307">
        <f t="shared" si="65"/>
        <v>0</v>
      </c>
      <c r="Z22" s="307">
        <f t="shared" si="66"/>
        <v>0</v>
      </c>
      <c r="AA22" s="307">
        <f t="shared" si="67"/>
        <v>0</v>
      </c>
      <c r="AB22" s="307" t="str">
        <f t="shared" si="68"/>
        <v/>
      </c>
      <c r="AC22" s="307" t="str">
        <f t="shared" si="69"/>
        <v/>
      </c>
    </row>
    <row r="23" spans="1:29" ht="31">
      <c r="A23" s="245">
        <v>16</v>
      </c>
      <c r="B23" s="299"/>
      <c r="C23" s="314" t="s">
        <v>897</v>
      </c>
      <c r="D23" s="322" t="s">
        <v>897</v>
      </c>
      <c r="E23" s="357"/>
      <c r="F23" s="327"/>
      <c r="G23" s="263">
        <f t="shared" ref="G23:G25" si="70">P23*(1-Q23)</f>
        <v>7.2</v>
      </c>
      <c r="H23" s="263">
        <f t="shared" ref="H23:H25" si="71">_xlfn.IFNA(M23*(1-$Q23),0)</f>
        <v>0</v>
      </c>
      <c r="I23" s="263">
        <f t="shared" ref="I23:I25" si="72">_xlfn.IFNA(N23*(1-$Q23),0)</f>
        <v>7.2</v>
      </c>
      <c r="J23" s="263">
        <f t="shared" ref="J23:J25" si="73">_xlfn.IFNA(O23*(1-$Q23),0)</f>
        <v>0</v>
      </c>
      <c r="K23" s="70" t="s">
        <v>239</v>
      </c>
      <c r="L23" s="243" t="str">
        <f>IF(K23="","",VLOOKUP(K23,'Định nghĩa Loại Chức năng'!$B$4:$C$63,2,FALSE))</f>
        <v>Training model base</v>
      </c>
      <c r="M23" s="244">
        <f>_xlfn.IFNA(IF(K23="","",VLOOKUP(K23&amp;$M$7,CSDL_CN!$E$4:$F$40,2,FALSE)),0)</f>
        <v>0</v>
      </c>
      <c r="N23" s="244">
        <f>_xlfn.IFNA(IF(K23="","",VLOOKUP(K23&amp;$N$7,CSDL_CN!$E$4:$F$40,2,FALSE)),0)</f>
        <v>8</v>
      </c>
      <c r="O23" s="244">
        <f>_xlfn.IFNA(IF(K23="","",VLOOKUP(K23&amp;$O$7,CSDL_CN!$E$4:$F$40,2,FALSE)),0)</f>
        <v>0</v>
      </c>
      <c r="P23" s="244">
        <f t="array" ref="P23">SUM(IFERROR(M23:O23,0))</f>
        <v>8</v>
      </c>
      <c r="Q23" s="293">
        <v>0.1</v>
      </c>
      <c r="R23" s="270"/>
      <c r="S23" s="245"/>
      <c r="T23" s="246"/>
      <c r="U23" s="247" t="s">
        <v>237</v>
      </c>
      <c r="V23" s="247" t="s">
        <v>237</v>
      </c>
      <c r="W23" s="247" t="s">
        <v>237</v>
      </c>
      <c r="X23" s="307">
        <f t="shared" ref="X23:X25" si="74">IF(U23="Có",M23*(1-$Q23),"")</f>
        <v>0</v>
      </c>
      <c r="Y23" s="307">
        <f t="shared" ref="Y23:Y25" si="75">IF(V23="Có",N23*(1-$Q23),"")</f>
        <v>7.2</v>
      </c>
      <c r="Z23" s="307">
        <f t="shared" ref="Z23:Z25" si="76">IF(W23="Có",O23*(1-$Q23),"")</f>
        <v>0</v>
      </c>
      <c r="AA23" s="307">
        <f t="shared" ref="AA23:AA25" si="77">IF(M23="","",IF(X23="",M23*(1-$Q23),M23*(1-$Q23)-X23))</f>
        <v>0</v>
      </c>
      <c r="AB23" s="307" t="str">
        <f t="shared" ref="AB23:AB25" si="78">IF(OR(N23="",V23="Có"),"",IF(Y23="",N23*(1-$Q23),N23*(1-$Q23)-Y23))</f>
        <v/>
      </c>
      <c r="AC23" s="307" t="str">
        <f t="shared" ref="AC23:AC25" si="79">IF(OR(O23="",W23="Có"),"",IF(Z23="",O23*(1-$Q23),O23*(1-$Q23)-Z23))</f>
        <v/>
      </c>
    </row>
    <row r="24" spans="1:29" ht="42" customHeight="1">
      <c r="A24" s="245">
        <v>17</v>
      </c>
      <c r="B24" s="299"/>
      <c r="C24" s="314" t="s">
        <v>901</v>
      </c>
      <c r="D24" s="322" t="s">
        <v>901</v>
      </c>
      <c r="E24" s="357"/>
      <c r="F24" s="327"/>
      <c r="G24" s="263">
        <f t="shared" ref="G24" si="80">P24*(1-Q24)</f>
        <v>14.4</v>
      </c>
      <c r="H24" s="263">
        <f t="shared" ref="H24" si="81">_xlfn.IFNA(M24*(1-$Q24),0)</f>
        <v>0</v>
      </c>
      <c r="I24" s="263">
        <f t="shared" ref="I24" si="82">_xlfn.IFNA(N24*(1-$Q24),0)</f>
        <v>14.4</v>
      </c>
      <c r="J24" s="263">
        <f t="shared" ref="J24" si="83">_xlfn.IFNA(O24*(1-$Q24),0)</f>
        <v>0</v>
      </c>
      <c r="K24" s="70" t="s">
        <v>240</v>
      </c>
      <c r="L24" s="243" t="str">
        <f>IF(K24="","",VLOOKUP(K24,'Định nghĩa Loại Chức năng'!$B$4:$C$63,2,FALSE))</f>
        <v>Fine-tune hyperparameters</v>
      </c>
      <c r="M24" s="244">
        <f>_xlfn.IFNA(IF(K24="","",VLOOKUP(K24&amp;$M$7,CSDL_CN!$E$4:$F$40,2,FALSE)),0)</f>
        <v>0</v>
      </c>
      <c r="N24" s="244">
        <f>_xlfn.IFNA(IF(K24="","",VLOOKUP(K24&amp;$N$7,CSDL_CN!$E$4:$F$40,2,FALSE)),0)</f>
        <v>16</v>
      </c>
      <c r="O24" s="244">
        <f>_xlfn.IFNA(IF(K24="","",VLOOKUP(K24&amp;$O$7,CSDL_CN!$E$4:$F$40,2,FALSE)),0)</f>
        <v>0</v>
      </c>
      <c r="P24" s="244">
        <f t="array" ref="P24">SUM(IFERROR(M24:O24,0))</f>
        <v>16</v>
      </c>
      <c r="Q24" s="293">
        <v>0.1</v>
      </c>
      <c r="R24" s="270"/>
      <c r="S24" s="245"/>
      <c r="T24" s="246"/>
      <c r="U24" s="247" t="s">
        <v>237</v>
      </c>
      <c r="V24" s="247" t="s">
        <v>237</v>
      </c>
      <c r="W24" s="247" t="s">
        <v>237</v>
      </c>
      <c r="X24" s="307">
        <f t="shared" ref="X24" si="84">IF(U24="Có",M24*(1-$Q24),"")</f>
        <v>0</v>
      </c>
      <c r="Y24" s="307">
        <f t="shared" ref="Y24" si="85">IF(V24="Có",N24*(1-$Q24),"")</f>
        <v>14.4</v>
      </c>
      <c r="Z24" s="307">
        <f t="shared" ref="Z24" si="86">IF(W24="Có",O24*(1-$Q24),"")</f>
        <v>0</v>
      </c>
      <c r="AA24" s="307">
        <f t="shared" ref="AA24" si="87">IF(M24="","",IF(X24="",M24*(1-$Q24),M24*(1-$Q24)-X24))</f>
        <v>0</v>
      </c>
      <c r="AB24" s="307" t="str">
        <f t="shared" ref="AB24" si="88">IF(OR(N24="",V24="Có"),"",IF(Y24="",N24*(1-$Q24),N24*(1-$Q24)-Y24))</f>
        <v/>
      </c>
      <c r="AC24" s="307" t="str">
        <f t="shared" ref="AC24" si="89">IF(OR(O24="",W24="Có"),"",IF(Z24="",O24*(1-$Q24),O24*(1-$Q24)-Z24))</f>
        <v/>
      </c>
    </row>
    <row r="25" spans="1:29" ht="42" customHeight="1">
      <c r="A25" s="245">
        <v>18</v>
      </c>
      <c r="B25" s="299"/>
      <c r="C25" s="314" t="s">
        <v>900</v>
      </c>
      <c r="D25" s="322" t="s">
        <v>900</v>
      </c>
      <c r="E25" s="357"/>
      <c r="F25" s="327"/>
      <c r="G25" s="263">
        <f t="shared" si="70"/>
        <v>14.4</v>
      </c>
      <c r="H25" s="263">
        <f t="shared" si="71"/>
        <v>0</v>
      </c>
      <c r="I25" s="263">
        <f t="shared" si="72"/>
        <v>14.4</v>
      </c>
      <c r="J25" s="263">
        <f t="shared" si="73"/>
        <v>0</v>
      </c>
      <c r="K25" s="70" t="s">
        <v>240</v>
      </c>
      <c r="L25" s="243" t="str">
        <f>IF(K25="","",VLOOKUP(K25,'Định nghĩa Loại Chức năng'!$B$4:$C$63,2,FALSE))</f>
        <v>Fine-tune hyperparameters</v>
      </c>
      <c r="M25" s="244">
        <f>_xlfn.IFNA(IF(K25="","",VLOOKUP(K25&amp;$M$7,CSDL_CN!$E$4:$F$40,2,FALSE)),0)</f>
        <v>0</v>
      </c>
      <c r="N25" s="244">
        <f>_xlfn.IFNA(IF(K25="","",VLOOKUP(K25&amp;$N$7,CSDL_CN!$E$4:$F$40,2,FALSE)),0)</f>
        <v>16</v>
      </c>
      <c r="O25" s="244">
        <f>_xlfn.IFNA(IF(K25="","",VLOOKUP(K25&amp;$O$7,CSDL_CN!$E$4:$F$40,2,FALSE)),0)</f>
        <v>0</v>
      </c>
      <c r="P25" s="244">
        <f t="array" ref="P25">SUM(IFERROR(M25:O25,0))</f>
        <v>16</v>
      </c>
      <c r="Q25" s="293">
        <v>0.1</v>
      </c>
      <c r="R25" s="270"/>
      <c r="S25" s="245"/>
      <c r="T25" s="246"/>
      <c r="U25" s="247" t="s">
        <v>237</v>
      </c>
      <c r="V25" s="247" t="s">
        <v>237</v>
      </c>
      <c r="W25" s="247" t="s">
        <v>237</v>
      </c>
      <c r="X25" s="307">
        <f t="shared" si="74"/>
        <v>0</v>
      </c>
      <c r="Y25" s="307">
        <f t="shared" si="75"/>
        <v>14.4</v>
      </c>
      <c r="Z25" s="307">
        <f t="shared" si="76"/>
        <v>0</v>
      </c>
      <c r="AA25" s="307">
        <f t="shared" si="77"/>
        <v>0</v>
      </c>
      <c r="AB25" s="307" t="str">
        <f t="shared" si="78"/>
        <v/>
      </c>
      <c r="AC25" s="307" t="str">
        <f t="shared" si="79"/>
        <v/>
      </c>
    </row>
    <row r="26" spans="1:29" ht="17.5">
      <c r="A26" s="245">
        <v>19</v>
      </c>
      <c r="B26" s="299"/>
      <c r="C26" s="306" t="s">
        <v>879</v>
      </c>
      <c r="D26" s="322" t="s">
        <v>879</v>
      </c>
      <c r="E26" s="357"/>
      <c r="F26" s="327"/>
      <c r="G26" s="263">
        <f t="shared" si="10"/>
        <v>3.4</v>
      </c>
      <c r="H26" s="263">
        <f t="shared" si="11"/>
        <v>3.4</v>
      </c>
      <c r="I26" s="263">
        <f t="shared" si="12"/>
        <v>0</v>
      </c>
      <c r="J26" s="263">
        <f t="shared" si="13"/>
        <v>0</v>
      </c>
      <c r="K26" s="70" t="s">
        <v>242</v>
      </c>
      <c r="L26" s="243" t="str">
        <f>IF(K26="","",VLOOKUP(K26,'Định nghĩa Loại Chức năng'!$B$4:$C$63,2,FALSE))</f>
        <v>Trình bày kết quả model</v>
      </c>
      <c r="M26" s="244">
        <f>_xlfn.IFNA(IF(K26="","",VLOOKUP(K26&amp;$M$7,CSDL_CN!$E$4:$F$40,2,FALSE)),0)</f>
        <v>4</v>
      </c>
      <c r="N26" s="244">
        <f>_xlfn.IFNA(IF(K26="","",VLOOKUP(K26&amp;$N$7,CSDL_CN!$E$4:$F$40,2,FALSE)),0)</f>
        <v>0</v>
      </c>
      <c r="O26" s="244">
        <f>_xlfn.IFNA(IF(K26="","",VLOOKUP(K26&amp;$O$7,CSDL_CN!$E$4:$F$40,2,FALSE)),0)</f>
        <v>0</v>
      </c>
      <c r="P26" s="244">
        <f t="array" ref="P26">SUM(IFERROR(M26:O26,0))</f>
        <v>4</v>
      </c>
      <c r="Q26" s="293">
        <v>0.15</v>
      </c>
      <c r="R26" s="270"/>
      <c r="S26" s="245"/>
      <c r="T26" s="246"/>
      <c r="U26" s="247" t="s">
        <v>237</v>
      </c>
      <c r="V26" s="247" t="s">
        <v>237</v>
      </c>
      <c r="W26" s="247" t="s">
        <v>237</v>
      </c>
      <c r="X26" s="307">
        <f t="shared" si="14"/>
        <v>3.4</v>
      </c>
      <c r="Y26" s="307">
        <f t="shared" si="15"/>
        <v>0</v>
      </c>
      <c r="Z26" s="307">
        <f t="shared" si="16"/>
        <v>0</v>
      </c>
      <c r="AA26" s="307">
        <f t="shared" si="17"/>
        <v>0</v>
      </c>
      <c r="AB26" s="307" t="str">
        <f t="shared" si="18"/>
        <v/>
      </c>
      <c r="AC26" s="307" t="str">
        <f t="shared" si="19"/>
        <v/>
      </c>
    </row>
    <row r="27" spans="1:29" ht="34.5" customHeight="1">
      <c r="A27" s="245">
        <v>20</v>
      </c>
      <c r="B27" s="299"/>
      <c r="C27" s="314" t="s">
        <v>888</v>
      </c>
      <c r="D27" s="326" t="s">
        <v>888</v>
      </c>
      <c r="E27" s="357" t="s">
        <v>906</v>
      </c>
      <c r="F27" s="327"/>
      <c r="G27" s="263">
        <f t="shared" si="10"/>
        <v>3.4</v>
      </c>
      <c r="H27" s="263">
        <f t="shared" si="11"/>
        <v>3.4</v>
      </c>
      <c r="I27" s="263">
        <f t="shared" si="12"/>
        <v>0</v>
      </c>
      <c r="J27" s="263">
        <f t="shared" si="13"/>
        <v>0</v>
      </c>
      <c r="K27" s="70" t="s">
        <v>242</v>
      </c>
      <c r="L27" s="243" t="str">
        <f>IF(K27="","",VLOOKUP(K27,'Định nghĩa Loại Chức năng'!$B$4:$C$63,2,FALSE))</f>
        <v>Trình bày kết quả model</v>
      </c>
      <c r="M27" s="244">
        <f>_xlfn.IFNA(IF(K27="","",VLOOKUP(K27&amp;$M$7,CSDL_CN!$E$4:$F$40,2,FALSE)),0)</f>
        <v>4</v>
      </c>
      <c r="N27" s="244">
        <f>_xlfn.IFNA(IF(K27="","",VLOOKUP(K27&amp;$N$7,CSDL_CN!$E$4:$F$40,2,FALSE)),0)</f>
        <v>0</v>
      </c>
      <c r="O27" s="244">
        <f>_xlfn.IFNA(IF(K27="","",VLOOKUP(K27&amp;$O$7,CSDL_CN!$E$4:$F$40,2,FALSE)),0)</f>
        <v>0</v>
      </c>
      <c r="P27" s="244">
        <f t="array" ref="P27">SUM(IFERROR(M27:O27,0))</f>
        <v>4</v>
      </c>
      <c r="Q27" s="293">
        <v>0.15</v>
      </c>
      <c r="R27" s="270"/>
      <c r="S27" s="245"/>
      <c r="T27" s="246"/>
      <c r="U27" s="247" t="s">
        <v>237</v>
      </c>
      <c r="V27" s="247" t="s">
        <v>237</v>
      </c>
      <c r="W27" s="247" t="s">
        <v>237</v>
      </c>
      <c r="X27" s="307">
        <f t="shared" si="14"/>
        <v>3.4</v>
      </c>
      <c r="Y27" s="307">
        <f t="shared" si="15"/>
        <v>0</v>
      </c>
      <c r="Z27" s="307">
        <f t="shared" si="16"/>
        <v>0</v>
      </c>
      <c r="AA27" s="307">
        <f t="shared" si="17"/>
        <v>0</v>
      </c>
      <c r="AB27" s="307" t="str">
        <f t="shared" si="18"/>
        <v/>
      </c>
      <c r="AC27" s="307" t="str">
        <f t="shared" si="19"/>
        <v/>
      </c>
    </row>
    <row r="28" spans="1:29" ht="31">
      <c r="A28" s="245">
        <v>21</v>
      </c>
      <c r="B28" s="299"/>
      <c r="C28" s="314" t="s">
        <v>880</v>
      </c>
      <c r="D28" s="324" t="s">
        <v>880</v>
      </c>
      <c r="E28" s="357"/>
      <c r="F28" s="327"/>
      <c r="G28" s="263">
        <f t="shared" ref="G28:G30" si="90">P28*(1-Q28)</f>
        <v>6.8</v>
      </c>
      <c r="H28" s="263">
        <f t="shared" ref="H28:H30" si="91">_xlfn.IFNA(M28*(1-$Q28),0)</f>
        <v>0</v>
      </c>
      <c r="I28" s="263">
        <f t="shared" ref="I28:I30" si="92">_xlfn.IFNA(N28*(1-$Q28),0)</f>
        <v>6.8</v>
      </c>
      <c r="J28" s="263">
        <f t="shared" ref="J28:J30" si="93">_xlfn.IFNA(O28*(1-$Q28),0)</f>
        <v>0</v>
      </c>
      <c r="K28" s="70" t="s">
        <v>239</v>
      </c>
      <c r="L28" s="243" t="str">
        <f>IF(K28="","",VLOOKUP(K28,'Định nghĩa Loại Chức năng'!$B$4:$C$63,2,FALSE))</f>
        <v>Training model base</v>
      </c>
      <c r="M28" s="244">
        <f>_xlfn.IFNA(IF(K28="","",VLOOKUP(K28&amp;$M$7,CSDL_CN!$E$4:$F$40,2,FALSE)),0)</f>
        <v>0</v>
      </c>
      <c r="N28" s="244">
        <f>_xlfn.IFNA(IF(K28="","",VLOOKUP(K28&amp;$N$7,CSDL_CN!$E$4:$F$40,2,FALSE)),0)</f>
        <v>8</v>
      </c>
      <c r="O28" s="244">
        <f>_xlfn.IFNA(IF(K28="","",VLOOKUP(K28&amp;$O$7,CSDL_CN!$E$4:$F$40,2,FALSE)),0)</f>
        <v>0</v>
      </c>
      <c r="P28" s="244">
        <f t="array" ref="P28">SUM(IFERROR(M28:O28,0))</f>
        <v>8</v>
      </c>
      <c r="Q28" s="293">
        <v>0.15</v>
      </c>
      <c r="R28" s="270"/>
      <c r="S28" s="245"/>
      <c r="T28" s="246"/>
      <c r="U28" s="247" t="s">
        <v>237</v>
      </c>
      <c r="V28" s="247" t="s">
        <v>237</v>
      </c>
      <c r="W28" s="247" t="s">
        <v>237</v>
      </c>
      <c r="X28" s="307">
        <f t="shared" ref="X28:X30" si="94">IF(U28="Có",M28*(1-$Q28),"")</f>
        <v>0</v>
      </c>
      <c r="Y28" s="307">
        <f t="shared" ref="Y28:Y30" si="95">IF(V28="Có",N28*(1-$Q28),"")</f>
        <v>6.8</v>
      </c>
      <c r="Z28" s="307">
        <f t="shared" ref="Z28:Z30" si="96">IF(W28="Có",O28*(1-$Q28),"")</f>
        <v>0</v>
      </c>
      <c r="AA28" s="307">
        <f t="shared" ref="AA28:AA30" si="97">IF(M28="","",IF(X28="",M28*(1-$Q28),M28*(1-$Q28)-X28))</f>
        <v>0</v>
      </c>
      <c r="AB28" s="307" t="str">
        <f t="shared" ref="AB28:AB30" si="98">IF(OR(N28="",V28="Có"),"",IF(Y28="",N28*(1-$Q28),N28*(1-$Q28)-Y28))</f>
        <v/>
      </c>
      <c r="AC28" s="307" t="str">
        <f t="shared" ref="AC28:AC30" si="99">IF(OR(O28="",W28="Có"),"",IF(Z28="",O28*(1-$Q28),O28*(1-$Q28)-Z28))</f>
        <v/>
      </c>
    </row>
    <row r="29" spans="1:29" ht="42" customHeight="1">
      <c r="A29" s="245">
        <v>22</v>
      </c>
      <c r="B29" s="299"/>
      <c r="C29" s="314" t="s">
        <v>902</v>
      </c>
      <c r="D29" s="322" t="s">
        <v>902</v>
      </c>
      <c r="E29" s="357"/>
      <c r="F29" s="327"/>
      <c r="G29" s="263">
        <f t="shared" ref="G29" si="100">P29*(1-Q29)</f>
        <v>14.4</v>
      </c>
      <c r="H29" s="263">
        <f t="shared" ref="H29" si="101">_xlfn.IFNA(M29*(1-$Q29),0)</f>
        <v>0</v>
      </c>
      <c r="I29" s="263">
        <f t="shared" ref="I29" si="102">_xlfn.IFNA(N29*(1-$Q29),0)</f>
        <v>14.4</v>
      </c>
      <c r="J29" s="263">
        <f t="shared" ref="J29" si="103">_xlfn.IFNA(O29*(1-$Q29),0)</f>
        <v>0</v>
      </c>
      <c r="K29" s="70" t="s">
        <v>240</v>
      </c>
      <c r="L29" s="243" t="str">
        <f>IF(K29="","",VLOOKUP(K29,'Định nghĩa Loại Chức năng'!$B$4:$C$63,2,FALSE))</f>
        <v>Fine-tune hyperparameters</v>
      </c>
      <c r="M29" s="244">
        <f>_xlfn.IFNA(IF(K29="","",VLOOKUP(K29&amp;$M$7,CSDL_CN!$E$4:$F$40,2,FALSE)),0)</f>
        <v>0</v>
      </c>
      <c r="N29" s="244">
        <f>_xlfn.IFNA(IF(K29="","",VLOOKUP(K29&amp;$N$7,CSDL_CN!$E$4:$F$40,2,FALSE)),0)</f>
        <v>16</v>
      </c>
      <c r="O29" s="244">
        <f>_xlfn.IFNA(IF(K29="","",VLOOKUP(K29&amp;$O$7,CSDL_CN!$E$4:$F$40,2,FALSE)),0)</f>
        <v>0</v>
      </c>
      <c r="P29" s="244">
        <f t="array" ref="P29">SUM(IFERROR(M29:O29,0))</f>
        <v>16</v>
      </c>
      <c r="Q29" s="293">
        <v>0.1</v>
      </c>
      <c r="R29" s="270"/>
      <c r="S29" s="245"/>
      <c r="T29" s="246"/>
      <c r="U29" s="247" t="s">
        <v>237</v>
      </c>
      <c r="V29" s="247" t="s">
        <v>237</v>
      </c>
      <c r="W29" s="247" t="s">
        <v>237</v>
      </c>
      <c r="X29" s="307">
        <f t="shared" ref="X29" si="104">IF(U29="Có",M29*(1-$Q29),"")</f>
        <v>0</v>
      </c>
      <c r="Y29" s="307">
        <f t="shared" ref="Y29" si="105">IF(V29="Có",N29*(1-$Q29),"")</f>
        <v>14.4</v>
      </c>
      <c r="Z29" s="307">
        <f t="shared" ref="Z29" si="106">IF(W29="Có",O29*(1-$Q29),"")</f>
        <v>0</v>
      </c>
      <c r="AA29" s="307">
        <f t="shared" ref="AA29" si="107">IF(M29="","",IF(X29="",M29*(1-$Q29),M29*(1-$Q29)-X29))</f>
        <v>0</v>
      </c>
      <c r="AB29" s="307" t="str">
        <f t="shared" ref="AB29" si="108">IF(OR(N29="",V29="Có"),"",IF(Y29="",N29*(1-$Q29),N29*(1-$Q29)-Y29))</f>
        <v/>
      </c>
      <c r="AC29" s="307" t="str">
        <f t="shared" ref="AC29" si="109">IF(OR(O29="",W29="Có"),"",IF(Z29="",O29*(1-$Q29),O29*(1-$Q29)-Z29))</f>
        <v/>
      </c>
    </row>
    <row r="30" spans="1:29" ht="42" customHeight="1">
      <c r="A30" s="245">
        <v>23</v>
      </c>
      <c r="B30" s="299"/>
      <c r="C30" s="314" t="s">
        <v>900</v>
      </c>
      <c r="D30" s="322" t="s">
        <v>900</v>
      </c>
      <c r="E30" s="357"/>
      <c r="F30" s="327"/>
      <c r="G30" s="263">
        <f t="shared" si="90"/>
        <v>14.4</v>
      </c>
      <c r="H30" s="263">
        <f t="shared" si="91"/>
        <v>0</v>
      </c>
      <c r="I30" s="263">
        <f t="shared" si="92"/>
        <v>14.4</v>
      </c>
      <c r="J30" s="263">
        <f t="shared" si="93"/>
        <v>0</v>
      </c>
      <c r="K30" s="70" t="s">
        <v>240</v>
      </c>
      <c r="L30" s="243" t="str">
        <f>IF(K30="","",VLOOKUP(K30,'Định nghĩa Loại Chức năng'!$B$4:$C$63,2,FALSE))</f>
        <v>Fine-tune hyperparameters</v>
      </c>
      <c r="M30" s="244">
        <f>_xlfn.IFNA(IF(K30="","",VLOOKUP(K30&amp;$M$7,CSDL_CN!$E$4:$F$40,2,FALSE)),0)</f>
        <v>0</v>
      </c>
      <c r="N30" s="244">
        <f>_xlfn.IFNA(IF(K30="","",VLOOKUP(K30&amp;$N$7,CSDL_CN!$E$4:$F$40,2,FALSE)),0)</f>
        <v>16</v>
      </c>
      <c r="O30" s="244">
        <f>_xlfn.IFNA(IF(K30="","",VLOOKUP(K30&amp;$O$7,CSDL_CN!$E$4:$F$40,2,FALSE)),0)</f>
        <v>0</v>
      </c>
      <c r="P30" s="244">
        <f t="array" ref="P30">SUM(IFERROR(M30:O30,0))</f>
        <v>16</v>
      </c>
      <c r="Q30" s="293">
        <v>0.1</v>
      </c>
      <c r="R30" s="270"/>
      <c r="S30" s="245"/>
      <c r="T30" s="246"/>
      <c r="U30" s="247" t="s">
        <v>237</v>
      </c>
      <c r="V30" s="247" t="s">
        <v>237</v>
      </c>
      <c r="W30" s="247" t="s">
        <v>237</v>
      </c>
      <c r="X30" s="307">
        <f t="shared" si="94"/>
        <v>0</v>
      </c>
      <c r="Y30" s="307">
        <f t="shared" si="95"/>
        <v>14.4</v>
      </c>
      <c r="Z30" s="307">
        <f t="shared" si="96"/>
        <v>0</v>
      </c>
      <c r="AA30" s="307">
        <f t="shared" si="97"/>
        <v>0</v>
      </c>
      <c r="AB30" s="307" t="str">
        <f t="shared" si="98"/>
        <v/>
      </c>
      <c r="AC30" s="307" t="str">
        <f t="shared" si="99"/>
        <v/>
      </c>
    </row>
    <row r="31" spans="1:29" ht="17.5">
      <c r="A31" s="245">
        <v>24</v>
      </c>
      <c r="B31" s="299"/>
      <c r="C31" s="314" t="s">
        <v>879</v>
      </c>
      <c r="D31" s="322" t="s">
        <v>879</v>
      </c>
      <c r="E31" s="357"/>
      <c r="F31" s="327"/>
      <c r="G31" s="263">
        <f t="shared" si="10"/>
        <v>3.4</v>
      </c>
      <c r="H31" s="263">
        <f t="shared" si="11"/>
        <v>3.4</v>
      </c>
      <c r="I31" s="263">
        <f t="shared" si="12"/>
        <v>0</v>
      </c>
      <c r="J31" s="263">
        <f t="shared" si="13"/>
        <v>0</v>
      </c>
      <c r="K31" s="70" t="s">
        <v>242</v>
      </c>
      <c r="L31" s="243" t="str">
        <f>IF(K31="","",VLOOKUP(K31,'Định nghĩa Loại Chức năng'!$B$4:$C$63,2,FALSE))</f>
        <v>Trình bày kết quả model</v>
      </c>
      <c r="M31" s="244">
        <f>_xlfn.IFNA(IF(K31="","",VLOOKUP(K31&amp;$M$7,CSDL_CN!$E$4:$F$40,2,FALSE)),0)</f>
        <v>4</v>
      </c>
      <c r="N31" s="244">
        <f>_xlfn.IFNA(IF(K31="","",VLOOKUP(K31&amp;$N$7,CSDL_CN!$E$4:$F$40,2,FALSE)),0)</f>
        <v>0</v>
      </c>
      <c r="O31" s="244">
        <f>_xlfn.IFNA(IF(K31="","",VLOOKUP(K31&amp;$O$7,CSDL_CN!$E$4:$F$40,2,FALSE)),0)</f>
        <v>0</v>
      </c>
      <c r="P31" s="244">
        <f t="array" ref="P31">SUM(IFERROR(M31:O31,0))</f>
        <v>4</v>
      </c>
      <c r="Q31" s="293">
        <v>0.15</v>
      </c>
      <c r="R31" s="270"/>
      <c r="S31" s="245"/>
      <c r="T31" s="246"/>
      <c r="U31" s="247" t="s">
        <v>237</v>
      </c>
      <c r="V31" s="247" t="s">
        <v>237</v>
      </c>
      <c r="W31" s="247" t="s">
        <v>237</v>
      </c>
      <c r="X31" s="307">
        <f t="shared" si="14"/>
        <v>3.4</v>
      </c>
      <c r="Y31" s="307">
        <f t="shared" si="15"/>
        <v>0</v>
      </c>
      <c r="Z31" s="307">
        <f t="shared" si="16"/>
        <v>0</v>
      </c>
      <c r="AA31" s="307">
        <f t="shared" si="17"/>
        <v>0</v>
      </c>
      <c r="AB31" s="307" t="str">
        <f t="shared" si="18"/>
        <v/>
      </c>
      <c r="AC31" s="307" t="str">
        <f t="shared" si="19"/>
        <v/>
      </c>
    </row>
    <row r="32" spans="1:29" ht="34.5" customHeight="1">
      <c r="A32" s="245">
        <v>25</v>
      </c>
      <c r="B32" s="299"/>
      <c r="C32" s="314" t="s">
        <v>888</v>
      </c>
      <c r="D32" s="326" t="s">
        <v>888</v>
      </c>
      <c r="E32" s="357"/>
      <c r="F32" s="327"/>
      <c r="G32" s="263">
        <f t="shared" ref="G32" si="110">P32*(1-Q32)</f>
        <v>3.4</v>
      </c>
      <c r="H32" s="263">
        <f t="shared" ref="H32" si="111">_xlfn.IFNA(M32*(1-$Q32),0)</f>
        <v>3.4</v>
      </c>
      <c r="I32" s="263">
        <f t="shared" ref="I32" si="112">_xlfn.IFNA(N32*(1-$Q32),0)</f>
        <v>0</v>
      </c>
      <c r="J32" s="263">
        <f t="shared" ref="J32" si="113">_xlfn.IFNA(O32*(1-$Q32),0)</f>
        <v>0</v>
      </c>
      <c r="K32" s="70" t="s">
        <v>242</v>
      </c>
      <c r="L32" s="243" t="str">
        <f>IF(K32="","",VLOOKUP(K32,'Định nghĩa Loại Chức năng'!$B$4:$C$63,2,FALSE))</f>
        <v>Trình bày kết quả model</v>
      </c>
      <c r="M32" s="244">
        <f>_xlfn.IFNA(IF(K32="","",VLOOKUP(K32&amp;$M$7,CSDL_CN!$E$4:$F$40,2,FALSE)),0)</f>
        <v>4</v>
      </c>
      <c r="N32" s="244">
        <f>_xlfn.IFNA(IF(K32="","",VLOOKUP(K32&amp;$N$7,CSDL_CN!$E$4:$F$40,2,FALSE)),0)</f>
        <v>0</v>
      </c>
      <c r="O32" s="244">
        <f>_xlfn.IFNA(IF(K32="","",VLOOKUP(K32&amp;$O$7,CSDL_CN!$E$4:$F$40,2,FALSE)),0)</f>
        <v>0</v>
      </c>
      <c r="P32" s="244">
        <f t="array" ref="P32">SUM(IFERROR(M32:O32,0))</f>
        <v>4</v>
      </c>
      <c r="Q32" s="293">
        <v>0.15</v>
      </c>
      <c r="R32" s="270"/>
      <c r="S32" s="245"/>
      <c r="T32" s="246"/>
      <c r="U32" s="247" t="s">
        <v>237</v>
      </c>
      <c r="V32" s="247" t="s">
        <v>237</v>
      </c>
      <c r="W32" s="247" t="s">
        <v>237</v>
      </c>
      <c r="X32" s="307">
        <f t="shared" ref="X32" si="114">IF(U32="Có",M32*(1-$Q32),"")</f>
        <v>3.4</v>
      </c>
      <c r="Y32" s="307">
        <f t="shared" ref="Y32" si="115">IF(V32="Có",N32*(1-$Q32),"")</f>
        <v>0</v>
      </c>
      <c r="Z32" s="307">
        <f t="shared" ref="Z32" si="116">IF(W32="Có",O32*(1-$Q32),"")</f>
        <v>0</v>
      </c>
      <c r="AA32" s="307">
        <f t="shared" ref="AA32" si="117">IF(M32="","",IF(X32="",M32*(1-$Q32),M32*(1-$Q32)-X32))</f>
        <v>0</v>
      </c>
      <c r="AB32" s="307" t="str">
        <f t="shared" ref="AB32" si="118">IF(OR(N32="",V32="Có"),"",IF(Y32="",N32*(1-$Q32),N32*(1-$Q32)-Y32))</f>
        <v/>
      </c>
      <c r="AC32" s="307" t="str">
        <f t="shared" ref="AC32" si="119">IF(OR(O32="",W32="Có"),"",IF(Z32="",O32*(1-$Q32),O32*(1-$Q32)-Z32))</f>
        <v/>
      </c>
    </row>
    <row r="33" spans="1:32" s="296" customFormat="1" ht="33.75" customHeight="1">
      <c r="A33" s="245">
        <v>26</v>
      </c>
      <c r="B33" s="299"/>
      <c r="C33" s="314" t="s">
        <v>881</v>
      </c>
      <c r="D33" s="324" t="s">
        <v>881</v>
      </c>
      <c r="E33" s="357"/>
      <c r="F33" s="327"/>
      <c r="G33" s="263">
        <f t="shared" si="10"/>
        <v>7.6</v>
      </c>
      <c r="H33" s="263">
        <f t="shared" si="11"/>
        <v>0</v>
      </c>
      <c r="I33" s="263">
        <f t="shared" si="12"/>
        <v>7.6</v>
      </c>
      <c r="J33" s="263">
        <f t="shared" si="13"/>
        <v>0</v>
      </c>
      <c r="K33" s="70" t="s">
        <v>239</v>
      </c>
      <c r="L33" s="243" t="str">
        <f>IF(K33="","",VLOOKUP(K33,'Định nghĩa Loại Chức năng'!$B$4:$C$63,2,FALSE))</f>
        <v>Training model base</v>
      </c>
      <c r="M33" s="244">
        <f>_xlfn.IFNA(IF(K33="","",VLOOKUP(K33&amp;$M$7,CSDL_CN!$E$4:$F$40,2,FALSE)),0)</f>
        <v>0</v>
      </c>
      <c r="N33" s="244">
        <f>_xlfn.IFNA(IF(K33="","",VLOOKUP(K33&amp;$N$7,CSDL_CN!$E$4:$F$40,2,FALSE)),0)</f>
        <v>8</v>
      </c>
      <c r="O33" s="244">
        <f>_xlfn.IFNA(IF(K33="","",VLOOKUP(K33&amp;$O$7,CSDL_CN!$E$4:$F$40,2,FALSE)),0)</f>
        <v>0</v>
      </c>
      <c r="P33" s="244">
        <f t="array" ref="P33">SUM(IFERROR(M33:O33,0))</f>
        <v>8</v>
      </c>
      <c r="Q33" s="293">
        <v>0.05</v>
      </c>
      <c r="R33" s="270"/>
      <c r="S33" s="245"/>
      <c r="T33" s="246"/>
      <c r="U33" s="247" t="s">
        <v>237</v>
      </c>
      <c r="V33" s="247" t="s">
        <v>237</v>
      </c>
      <c r="W33" s="247" t="s">
        <v>237</v>
      </c>
      <c r="X33" s="307">
        <f t="shared" si="14"/>
        <v>0</v>
      </c>
      <c r="Y33" s="307">
        <f t="shared" si="15"/>
        <v>7.6</v>
      </c>
      <c r="Z33" s="307">
        <f t="shared" si="16"/>
        <v>0</v>
      </c>
      <c r="AA33" s="307">
        <f t="shared" si="17"/>
        <v>0</v>
      </c>
      <c r="AB33" s="307" t="str">
        <f t="shared" si="18"/>
        <v/>
      </c>
      <c r="AC33" s="307" t="str">
        <f t="shared" si="19"/>
        <v/>
      </c>
      <c r="AD33" s="230"/>
      <c r="AE33" s="230"/>
      <c r="AF33" s="230"/>
    </row>
    <row r="34" spans="1:32" ht="31">
      <c r="A34" s="245">
        <v>27</v>
      </c>
      <c r="B34" s="299"/>
      <c r="C34" s="305" t="s">
        <v>908</v>
      </c>
      <c r="D34" s="323" t="s">
        <v>908</v>
      </c>
      <c r="E34" s="357"/>
      <c r="F34" s="327"/>
      <c r="G34" s="263">
        <f t="shared" ref="G34" si="120">P34*(1-Q34)</f>
        <v>15.2</v>
      </c>
      <c r="H34" s="263">
        <f t="shared" ref="H34" si="121">_xlfn.IFNA(M34*(1-$Q34),0)</f>
        <v>0</v>
      </c>
      <c r="I34" s="263">
        <f t="shared" ref="I34" si="122">_xlfn.IFNA(N34*(1-$Q34),0)</f>
        <v>15.2</v>
      </c>
      <c r="J34" s="263">
        <f t="shared" ref="J34" si="123">_xlfn.IFNA(O34*(1-$Q34),0)</f>
        <v>0</v>
      </c>
      <c r="K34" s="70" t="s">
        <v>240</v>
      </c>
      <c r="L34" s="243" t="str">
        <f>IF(K34="","",VLOOKUP(K34,'Định nghĩa Loại Chức năng'!$B$4:$C$63,2,FALSE))</f>
        <v>Fine-tune hyperparameters</v>
      </c>
      <c r="M34" s="244">
        <f>_xlfn.IFNA(IF(K34="","",VLOOKUP(K34&amp;$M$7,CSDL_CN!$E$4:$F$40,2,FALSE)),0)</f>
        <v>0</v>
      </c>
      <c r="N34" s="244">
        <f>_xlfn.IFNA(IF(K34="","",VLOOKUP(K34&amp;$N$7,CSDL_CN!$E$4:$F$40,2,FALSE)),0)</f>
        <v>16</v>
      </c>
      <c r="O34" s="244">
        <f>_xlfn.IFNA(IF(K34="","",VLOOKUP(K34&amp;$O$7,CSDL_CN!$E$4:$F$40,2,FALSE)),0)</f>
        <v>0</v>
      </c>
      <c r="P34" s="244">
        <f t="array" ref="P34">SUM(IFERROR(M34:O34,0))</f>
        <v>16</v>
      </c>
      <c r="Q34" s="293">
        <v>0.05</v>
      </c>
      <c r="R34" s="270"/>
      <c r="S34" s="245"/>
      <c r="T34" s="246"/>
      <c r="U34" s="247" t="s">
        <v>237</v>
      </c>
      <c r="V34" s="247" t="s">
        <v>237</v>
      </c>
      <c r="W34" s="247" t="s">
        <v>237</v>
      </c>
      <c r="X34" s="307">
        <f t="shared" ref="X34" si="124">IF(U34="Có",M34*(1-$Q34),"")</f>
        <v>0</v>
      </c>
      <c r="Y34" s="307">
        <f t="shared" ref="Y34" si="125">IF(V34="Có",N34*(1-$Q34),"")</f>
        <v>15.2</v>
      </c>
      <c r="Z34" s="307">
        <f t="shared" ref="Z34" si="126">IF(W34="Có",O34*(1-$Q34),"")</f>
        <v>0</v>
      </c>
      <c r="AA34" s="307">
        <f t="shared" ref="AA34" si="127">IF(M34="","",IF(X34="",M34*(1-$Q34),M34*(1-$Q34)-X34))</f>
        <v>0</v>
      </c>
      <c r="AB34" s="307" t="str">
        <f t="shared" ref="AB34" si="128">IF(OR(N34="",V34="Có"),"",IF(Y34="",N34*(1-$Q34),N34*(1-$Q34)-Y34))</f>
        <v/>
      </c>
      <c r="AC34" s="307" t="str">
        <f t="shared" ref="AC34" si="129">IF(OR(O34="",W34="Có"),"",IF(Z34="",O34*(1-$Q34),O34*(1-$Q34)-Z34))</f>
        <v/>
      </c>
    </row>
    <row r="35" spans="1:32" ht="46.5" customHeight="1">
      <c r="A35" s="245">
        <v>28</v>
      </c>
      <c r="B35" s="299"/>
      <c r="C35" s="314" t="s">
        <v>909</v>
      </c>
      <c r="D35" s="324" t="s">
        <v>909</v>
      </c>
      <c r="E35" s="357"/>
      <c r="F35" s="327"/>
      <c r="G35" s="263">
        <f t="shared" si="10"/>
        <v>15.2</v>
      </c>
      <c r="H35" s="263">
        <f t="shared" si="11"/>
        <v>0</v>
      </c>
      <c r="I35" s="263">
        <f t="shared" si="12"/>
        <v>15.2</v>
      </c>
      <c r="J35" s="263">
        <f t="shared" si="13"/>
        <v>0</v>
      </c>
      <c r="K35" s="70" t="s">
        <v>240</v>
      </c>
      <c r="L35" s="243" t="str">
        <f>IF(K35="","",VLOOKUP(K35,'Định nghĩa Loại Chức năng'!$B$4:$C$63,2,FALSE))</f>
        <v>Fine-tune hyperparameters</v>
      </c>
      <c r="M35" s="244">
        <f>_xlfn.IFNA(IF(K35="","",VLOOKUP(K35&amp;$M$7,CSDL_CN!$E$4:$F$40,2,FALSE)),0)</f>
        <v>0</v>
      </c>
      <c r="N35" s="244">
        <f>_xlfn.IFNA(IF(K35="","",VLOOKUP(K35&amp;$N$7,CSDL_CN!$E$4:$F$40,2,FALSE)),0)</f>
        <v>16</v>
      </c>
      <c r="O35" s="244">
        <f>_xlfn.IFNA(IF(K35="","",VLOOKUP(K35&amp;$O$7,CSDL_CN!$E$4:$F$40,2,FALSE)),0)</f>
        <v>0</v>
      </c>
      <c r="P35" s="244">
        <f t="array" ref="P35">SUM(IFERROR(M35:O35,0))</f>
        <v>16</v>
      </c>
      <c r="Q35" s="293">
        <v>0.05</v>
      </c>
      <c r="R35" s="270"/>
      <c r="S35" s="245"/>
      <c r="T35" s="246"/>
      <c r="U35" s="247" t="s">
        <v>237</v>
      </c>
      <c r="V35" s="247" t="s">
        <v>237</v>
      </c>
      <c r="W35" s="247" t="s">
        <v>237</v>
      </c>
      <c r="X35" s="307">
        <f t="shared" si="14"/>
        <v>0</v>
      </c>
      <c r="Y35" s="307">
        <f t="shared" si="15"/>
        <v>15.2</v>
      </c>
      <c r="Z35" s="307">
        <f t="shared" si="16"/>
        <v>0</v>
      </c>
      <c r="AA35" s="307">
        <f t="shared" si="17"/>
        <v>0</v>
      </c>
      <c r="AB35" s="307" t="str">
        <f t="shared" si="18"/>
        <v/>
      </c>
      <c r="AC35" s="307" t="str">
        <f t="shared" si="19"/>
        <v/>
      </c>
    </row>
    <row r="36" spans="1:32" ht="31">
      <c r="A36" s="245">
        <v>29</v>
      </c>
      <c r="B36" s="299"/>
      <c r="C36" s="314" t="s">
        <v>910</v>
      </c>
      <c r="D36" s="324" t="s">
        <v>910</v>
      </c>
      <c r="E36" s="357"/>
      <c r="F36" s="327"/>
      <c r="G36" s="263">
        <f t="shared" ref="G36:G39" si="130">P36*(1-Q36)</f>
        <v>15.2</v>
      </c>
      <c r="H36" s="263">
        <f t="shared" ref="H36:H39" si="131">_xlfn.IFNA(M36*(1-$Q36),0)</f>
        <v>0</v>
      </c>
      <c r="I36" s="263">
        <f t="shared" ref="I36:I39" si="132">_xlfn.IFNA(N36*(1-$Q36),0)</f>
        <v>15.2</v>
      </c>
      <c r="J36" s="263">
        <f t="shared" ref="J36:J39" si="133">_xlfn.IFNA(O36*(1-$Q36),0)</f>
        <v>0</v>
      </c>
      <c r="K36" s="70" t="s">
        <v>240</v>
      </c>
      <c r="L36" s="243" t="str">
        <f>IF(K36="","",VLOOKUP(K36,'Định nghĩa Loại Chức năng'!$B$4:$C$63,2,FALSE))</f>
        <v>Fine-tune hyperparameters</v>
      </c>
      <c r="M36" s="244">
        <f>_xlfn.IFNA(IF(K36="","",VLOOKUP(K36&amp;$M$7,CSDL_CN!$E$4:$F$40,2,FALSE)),0)</f>
        <v>0</v>
      </c>
      <c r="N36" s="244">
        <f>_xlfn.IFNA(IF(K36="","",VLOOKUP(K36&amp;$N$7,CSDL_CN!$E$4:$F$40,2,FALSE)),0)</f>
        <v>16</v>
      </c>
      <c r="O36" s="244">
        <f>_xlfn.IFNA(IF(K36="","",VLOOKUP(K36&amp;$O$7,CSDL_CN!$E$4:$F$40,2,FALSE)),0)</f>
        <v>0</v>
      </c>
      <c r="P36" s="244">
        <f t="array" ref="P36">SUM(IFERROR(M36:O36,0))</f>
        <v>16</v>
      </c>
      <c r="Q36" s="293">
        <v>0.05</v>
      </c>
      <c r="R36" s="270"/>
      <c r="S36" s="245"/>
      <c r="T36" s="246"/>
      <c r="U36" s="247" t="s">
        <v>237</v>
      </c>
      <c r="V36" s="247" t="s">
        <v>237</v>
      </c>
      <c r="W36" s="247" t="s">
        <v>237</v>
      </c>
      <c r="X36" s="307">
        <f t="shared" ref="X36:X39" si="134">IF(U36="Có",M36*(1-$Q36),"")</f>
        <v>0</v>
      </c>
      <c r="Y36" s="307">
        <f t="shared" ref="Y36:Y39" si="135">IF(V36="Có",N36*(1-$Q36),"")</f>
        <v>15.2</v>
      </c>
      <c r="Z36" s="307">
        <f t="shared" ref="Z36:Z39" si="136">IF(W36="Có",O36*(1-$Q36),"")</f>
        <v>0</v>
      </c>
      <c r="AA36" s="307">
        <f t="shared" ref="AA36:AA39" si="137">IF(M36="","",IF(X36="",M36*(1-$Q36),M36*(1-$Q36)-X36))</f>
        <v>0</v>
      </c>
      <c r="AB36" s="307" t="str">
        <f t="shared" ref="AB36:AB39" si="138">IF(OR(N36="",V36="Có"),"",IF(Y36="",N36*(1-$Q36),N36*(1-$Q36)-Y36))</f>
        <v/>
      </c>
      <c r="AC36" s="307" t="str">
        <f t="shared" ref="AC36:AC39" si="139">IF(OR(O36="",W36="Có"),"",IF(Z36="",O36*(1-$Q36),O36*(1-$Q36)-Z36))</f>
        <v/>
      </c>
    </row>
    <row r="37" spans="1:32" ht="31">
      <c r="A37" s="245">
        <v>30</v>
      </c>
      <c r="B37" s="299"/>
      <c r="C37" s="305" t="s">
        <v>882</v>
      </c>
      <c r="D37" s="323" t="s">
        <v>882</v>
      </c>
      <c r="E37" s="357"/>
      <c r="F37" s="327"/>
      <c r="G37" s="263">
        <f t="shared" ref="G37:G38" si="140">P37*(1-Q37)</f>
        <v>15.2</v>
      </c>
      <c r="H37" s="263">
        <f t="shared" ref="H37:H38" si="141">_xlfn.IFNA(M37*(1-$Q37),0)</f>
        <v>0</v>
      </c>
      <c r="I37" s="263">
        <f t="shared" ref="I37:I38" si="142">_xlfn.IFNA(N37*(1-$Q37),0)</f>
        <v>15.2</v>
      </c>
      <c r="J37" s="263">
        <f t="shared" ref="J37:J38" si="143">_xlfn.IFNA(O37*(1-$Q37),0)</f>
        <v>0</v>
      </c>
      <c r="K37" s="70" t="s">
        <v>240</v>
      </c>
      <c r="L37" s="243" t="str">
        <f>IF(K37="","",VLOOKUP(K37,'Định nghĩa Loại Chức năng'!$B$4:$C$63,2,FALSE))</f>
        <v>Fine-tune hyperparameters</v>
      </c>
      <c r="M37" s="244">
        <f>_xlfn.IFNA(IF(K37="","",VLOOKUP(K37&amp;$M$7,CSDL_CN!$E$4:$F$40,2,FALSE)),0)</f>
        <v>0</v>
      </c>
      <c r="N37" s="244">
        <f>_xlfn.IFNA(IF(K37="","",VLOOKUP(K37&amp;$N$7,CSDL_CN!$E$4:$F$40,2,FALSE)),0)</f>
        <v>16</v>
      </c>
      <c r="O37" s="244">
        <f>_xlfn.IFNA(IF(K37="","",VLOOKUP(K37&amp;$O$7,CSDL_CN!$E$4:$F$40,2,FALSE)),0)</f>
        <v>0</v>
      </c>
      <c r="P37" s="244">
        <f t="array" ref="P37">SUM(IFERROR(M37:O37,0))</f>
        <v>16</v>
      </c>
      <c r="Q37" s="293">
        <v>0.05</v>
      </c>
      <c r="R37" s="270"/>
      <c r="S37" s="245"/>
      <c r="T37" s="246"/>
      <c r="U37" s="247" t="s">
        <v>237</v>
      </c>
      <c r="V37" s="247" t="s">
        <v>237</v>
      </c>
      <c r="W37" s="247" t="s">
        <v>237</v>
      </c>
      <c r="X37" s="307">
        <f t="shared" ref="X37:X38" si="144">IF(U37="Có",M37*(1-$Q37),"")</f>
        <v>0</v>
      </c>
      <c r="Y37" s="307">
        <f t="shared" ref="Y37:Y38" si="145">IF(V37="Có",N37*(1-$Q37),"")</f>
        <v>15.2</v>
      </c>
      <c r="Z37" s="307">
        <f t="shared" ref="Z37:Z38" si="146">IF(W37="Có",O37*(1-$Q37),"")</f>
        <v>0</v>
      </c>
      <c r="AA37" s="307">
        <f t="shared" ref="AA37:AA38" si="147">IF(M37="","",IF(X37="",M37*(1-$Q37),M37*(1-$Q37)-X37))</f>
        <v>0</v>
      </c>
      <c r="AB37" s="307" t="str">
        <f t="shared" ref="AB37:AB38" si="148">IF(OR(N37="",V37="Có"),"",IF(Y37="",N37*(1-$Q37),N37*(1-$Q37)-Y37))</f>
        <v/>
      </c>
      <c r="AC37" s="307" t="str">
        <f t="shared" ref="AC37:AC38" si="149">IF(OR(O37="",W37="Có"),"",IF(Z37="",O37*(1-$Q37),O37*(1-$Q37)-Z37))</f>
        <v/>
      </c>
    </row>
    <row r="38" spans="1:32" ht="31">
      <c r="A38" s="245">
        <v>31</v>
      </c>
      <c r="B38" s="299"/>
      <c r="C38" s="314" t="s">
        <v>883</v>
      </c>
      <c r="D38" s="324" t="s">
        <v>883</v>
      </c>
      <c r="E38" s="357"/>
      <c r="F38" s="327"/>
      <c r="G38" s="263">
        <f t="shared" si="140"/>
        <v>14.4</v>
      </c>
      <c r="H38" s="263">
        <f t="shared" si="141"/>
        <v>0</v>
      </c>
      <c r="I38" s="263">
        <f t="shared" si="142"/>
        <v>14.4</v>
      </c>
      <c r="J38" s="263">
        <f t="shared" si="143"/>
        <v>0</v>
      </c>
      <c r="K38" s="70" t="s">
        <v>240</v>
      </c>
      <c r="L38" s="243" t="str">
        <f>IF(K38="","",VLOOKUP(K38,'Định nghĩa Loại Chức năng'!$B$4:$C$63,2,FALSE))</f>
        <v>Fine-tune hyperparameters</v>
      </c>
      <c r="M38" s="244">
        <f>_xlfn.IFNA(IF(K38="","",VLOOKUP(K38&amp;$M$7,CSDL_CN!$E$4:$F$40,2,FALSE)),0)</f>
        <v>0</v>
      </c>
      <c r="N38" s="244">
        <f>_xlfn.IFNA(IF(K38="","",VLOOKUP(K38&amp;$N$7,CSDL_CN!$E$4:$F$40,2,FALSE)),0)</f>
        <v>16</v>
      </c>
      <c r="O38" s="244">
        <f>_xlfn.IFNA(IF(K38="","",VLOOKUP(K38&amp;$O$7,CSDL_CN!$E$4:$F$40,2,FALSE)),0)</f>
        <v>0</v>
      </c>
      <c r="P38" s="244">
        <f t="array" ref="P38">SUM(IFERROR(M38:O38,0))</f>
        <v>16</v>
      </c>
      <c r="Q38" s="293">
        <v>0.1</v>
      </c>
      <c r="R38" s="270"/>
      <c r="S38" s="245"/>
      <c r="T38" s="246"/>
      <c r="U38" s="247" t="s">
        <v>237</v>
      </c>
      <c r="V38" s="247" t="s">
        <v>237</v>
      </c>
      <c r="W38" s="247" t="s">
        <v>237</v>
      </c>
      <c r="X38" s="307">
        <f t="shared" si="144"/>
        <v>0</v>
      </c>
      <c r="Y38" s="307">
        <f t="shared" si="145"/>
        <v>14.4</v>
      </c>
      <c r="Z38" s="307">
        <f t="shared" si="146"/>
        <v>0</v>
      </c>
      <c r="AA38" s="307">
        <f t="shared" si="147"/>
        <v>0</v>
      </c>
      <c r="AB38" s="307" t="str">
        <f t="shared" si="148"/>
        <v/>
      </c>
      <c r="AC38" s="307" t="str">
        <f t="shared" si="149"/>
        <v/>
      </c>
    </row>
    <row r="39" spans="1:32" ht="31">
      <c r="A39" s="245">
        <v>32</v>
      </c>
      <c r="B39" s="299"/>
      <c r="C39" s="314" t="s">
        <v>884</v>
      </c>
      <c r="D39" s="324" t="s">
        <v>884</v>
      </c>
      <c r="E39" s="357"/>
      <c r="F39" s="327"/>
      <c r="G39" s="263">
        <f t="shared" si="130"/>
        <v>14.4</v>
      </c>
      <c r="H39" s="263">
        <f t="shared" si="131"/>
        <v>0</v>
      </c>
      <c r="I39" s="263">
        <f t="shared" si="132"/>
        <v>14.4</v>
      </c>
      <c r="J39" s="263">
        <f t="shared" si="133"/>
        <v>0</v>
      </c>
      <c r="K39" s="70" t="s">
        <v>240</v>
      </c>
      <c r="L39" s="243" t="str">
        <f>IF(K39="","",VLOOKUP(K39,'Định nghĩa Loại Chức năng'!$B$4:$C$63,2,FALSE))</f>
        <v>Fine-tune hyperparameters</v>
      </c>
      <c r="M39" s="244">
        <f>_xlfn.IFNA(IF(K39="","",VLOOKUP(K39&amp;$M$7,CSDL_CN!$E$4:$F$40,2,FALSE)),0)</f>
        <v>0</v>
      </c>
      <c r="N39" s="244">
        <f>_xlfn.IFNA(IF(K39="","",VLOOKUP(K39&amp;$N$7,CSDL_CN!$E$4:$F$40,2,FALSE)),0)</f>
        <v>16</v>
      </c>
      <c r="O39" s="244">
        <f>_xlfn.IFNA(IF(K39="","",VLOOKUP(K39&amp;$O$7,CSDL_CN!$E$4:$F$40,2,FALSE)),0)</f>
        <v>0</v>
      </c>
      <c r="P39" s="244">
        <f t="array" ref="P39">SUM(IFERROR(M39:O39,0))</f>
        <v>16</v>
      </c>
      <c r="Q39" s="293">
        <v>0.1</v>
      </c>
      <c r="R39" s="270"/>
      <c r="S39" s="245"/>
      <c r="T39" s="246"/>
      <c r="U39" s="247" t="s">
        <v>237</v>
      </c>
      <c r="V39" s="247" t="s">
        <v>237</v>
      </c>
      <c r="W39" s="247" t="s">
        <v>237</v>
      </c>
      <c r="X39" s="307">
        <f t="shared" si="134"/>
        <v>0</v>
      </c>
      <c r="Y39" s="307">
        <f t="shared" si="135"/>
        <v>14.4</v>
      </c>
      <c r="Z39" s="307">
        <f t="shared" si="136"/>
        <v>0</v>
      </c>
      <c r="AA39" s="307">
        <f t="shared" si="137"/>
        <v>0</v>
      </c>
      <c r="AB39" s="307" t="str">
        <f t="shared" si="138"/>
        <v/>
      </c>
      <c r="AC39" s="307" t="str">
        <f t="shared" si="139"/>
        <v/>
      </c>
    </row>
    <row r="40" spans="1:32" ht="31">
      <c r="A40" s="245">
        <v>33</v>
      </c>
      <c r="B40" s="299"/>
      <c r="C40" s="314" t="s">
        <v>885</v>
      </c>
      <c r="D40" s="326" t="s">
        <v>885</v>
      </c>
      <c r="E40" s="357"/>
      <c r="F40" s="327"/>
      <c r="G40" s="263">
        <f t="shared" si="10"/>
        <v>14.4</v>
      </c>
      <c r="H40" s="263">
        <f t="shared" si="11"/>
        <v>0</v>
      </c>
      <c r="I40" s="263">
        <f t="shared" si="12"/>
        <v>14.4</v>
      </c>
      <c r="J40" s="263">
        <f t="shared" si="13"/>
        <v>0</v>
      </c>
      <c r="K40" s="70" t="s">
        <v>240</v>
      </c>
      <c r="L40" s="243" t="str">
        <f>IF(K40="","",VLOOKUP(K40,'Định nghĩa Loại Chức năng'!$B$4:$C$63,2,FALSE))</f>
        <v>Fine-tune hyperparameters</v>
      </c>
      <c r="M40" s="244">
        <f>_xlfn.IFNA(IF(K40="","",VLOOKUP(K40&amp;$M$7,CSDL_CN!$E$4:$F$40,2,FALSE)),0)</f>
        <v>0</v>
      </c>
      <c r="N40" s="244">
        <f>_xlfn.IFNA(IF(K40="","",VLOOKUP(K40&amp;$N$7,CSDL_CN!$E$4:$F$40,2,FALSE)),0)</f>
        <v>16</v>
      </c>
      <c r="O40" s="244">
        <f>_xlfn.IFNA(IF(K40="","",VLOOKUP(K40&amp;$O$7,CSDL_CN!$E$4:$F$40,2,FALSE)),0)</f>
        <v>0</v>
      </c>
      <c r="P40" s="244">
        <f t="array" ref="P40">SUM(IFERROR(M40:O40,0))</f>
        <v>16</v>
      </c>
      <c r="Q40" s="293">
        <v>0.1</v>
      </c>
      <c r="R40" s="270"/>
      <c r="S40" s="245"/>
      <c r="T40" s="246"/>
      <c r="U40" s="247" t="s">
        <v>237</v>
      </c>
      <c r="V40" s="247" t="s">
        <v>237</v>
      </c>
      <c r="W40" s="247" t="s">
        <v>237</v>
      </c>
      <c r="X40" s="307">
        <f t="shared" si="14"/>
        <v>0</v>
      </c>
      <c r="Y40" s="307">
        <f t="shared" si="15"/>
        <v>14.4</v>
      </c>
      <c r="Z40" s="307">
        <f t="shared" si="16"/>
        <v>0</v>
      </c>
      <c r="AA40" s="307">
        <f t="shared" si="17"/>
        <v>0</v>
      </c>
      <c r="AB40" s="307" t="str">
        <f t="shared" si="18"/>
        <v/>
      </c>
      <c r="AC40" s="307" t="str">
        <f t="shared" si="19"/>
        <v/>
      </c>
    </row>
    <row r="41" spans="1:32" ht="31">
      <c r="A41" s="245">
        <v>34</v>
      </c>
      <c r="B41" s="299"/>
      <c r="C41" s="314" t="s">
        <v>886</v>
      </c>
      <c r="D41" s="326" t="s">
        <v>886</v>
      </c>
      <c r="E41" s="357"/>
      <c r="F41" s="327"/>
      <c r="G41" s="263">
        <f t="shared" si="10"/>
        <v>3.4</v>
      </c>
      <c r="H41" s="263">
        <f t="shared" si="11"/>
        <v>3.4</v>
      </c>
      <c r="I41" s="263">
        <f t="shared" si="12"/>
        <v>0</v>
      </c>
      <c r="J41" s="263">
        <f t="shared" si="13"/>
        <v>0</v>
      </c>
      <c r="K41" s="70" t="s">
        <v>242</v>
      </c>
      <c r="L41" s="243" t="str">
        <f>IF(K41="","",VLOOKUP(K41,'Định nghĩa Loại Chức năng'!$B$4:$C$63,2,FALSE))</f>
        <v>Trình bày kết quả model</v>
      </c>
      <c r="M41" s="244">
        <f>_xlfn.IFNA(IF(K41="","",VLOOKUP(K41&amp;$M$7,CSDL_CN!$E$4:$F$40,2,FALSE)),0)</f>
        <v>4</v>
      </c>
      <c r="N41" s="244">
        <f>_xlfn.IFNA(IF(K41="","",VLOOKUP(K41&amp;$N$7,CSDL_CN!$E$4:$F$40,2,FALSE)),0)</f>
        <v>0</v>
      </c>
      <c r="O41" s="244">
        <f>_xlfn.IFNA(IF(K41="","",VLOOKUP(K41&amp;$O$7,CSDL_CN!$E$4:$F$40,2,FALSE)),0)</f>
        <v>0</v>
      </c>
      <c r="P41" s="244">
        <f t="array" ref="P41">SUM(IFERROR(M41:O41,0))</f>
        <v>4</v>
      </c>
      <c r="Q41" s="293">
        <v>0.15</v>
      </c>
      <c r="R41" s="270"/>
      <c r="S41" s="245"/>
      <c r="T41" s="246"/>
      <c r="U41" s="247" t="s">
        <v>237</v>
      </c>
      <c r="V41" s="247" t="s">
        <v>237</v>
      </c>
      <c r="W41" s="247" t="s">
        <v>237</v>
      </c>
      <c r="X41" s="307">
        <f t="shared" si="14"/>
        <v>3.4</v>
      </c>
      <c r="Y41" s="307">
        <f t="shared" si="15"/>
        <v>0</v>
      </c>
      <c r="Z41" s="307">
        <f t="shared" si="16"/>
        <v>0</v>
      </c>
      <c r="AA41" s="307">
        <f t="shared" si="17"/>
        <v>0</v>
      </c>
      <c r="AB41" s="307" t="str">
        <f t="shared" si="18"/>
        <v/>
      </c>
      <c r="AC41" s="307" t="str">
        <f t="shared" si="19"/>
        <v/>
      </c>
    </row>
    <row r="42" spans="1:32" s="296" customFormat="1" ht="31">
      <c r="A42" s="245">
        <v>35</v>
      </c>
      <c r="B42" s="299"/>
      <c r="C42" s="314" t="s">
        <v>887</v>
      </c>
      <c r="D42" s="326" t="s">
        <v>887</v>
      </c>
      <c r="E42" s="357"/>
      <c r="F42" s="327"/>
      <c r="G42" s="263">
        <f t="shared" si="10"/>
        <v>3.4</v>
      </c>
      <c r="H42" s="263">
        <f t="shared" si="11"/>
        <v>3.4</v>
      </c>
      <c r="I42" s="263">
        <f t="shared" si="12"/>
        <v>0</v>
      </c>
      <c r="J42" s="263">
        <f t="shared" si="13"/>
        <v>0</v>
      </c>
      <c r="K42" s="70" t="s">
        <v>242</v>
      </c>
      <c r="L42" s="243" t="str">
        <f>IF(K42="","",VLOOKUP(K42,'Định nghĩa Loại Chức năng'!$B$4:$C$63,2,FALSE))</f>
        <v>Trình bày kết quả model</v>
      </c>
      <c r="M42" s="244">
        <f>_xlfn.IFNA(IF(K42="","",VLOOKUP(K42&amp;$M$7,CSDL_CN!$E$4:$F$40,2,FALSE)),0)</f>
        <v>4</v>
      </c>
      <c r="N42" s="244">
        <f>_xlfn.IFNA(IF(K42="","",VLOOKUP(K42&amp;$N$7,CSDL_CN!$E$4:$F$40,2,FALSE)),0)</f>
        <v>0</v>
      </c>
      <c r="O42" s="244">
        <f>_xlfn.IFNA(IF(K42="","",VLOOKUP(K42&amp;$O$7,CSDL_CN!$E$4:$F$40,2,FALSE)),0)</f>
        <v>0</v>
      </c>
      <c r="P42" s="244">
        <f t="array" ref="P42">SUM(IFERROR(M42:O42,0))</f>
        <v>4</v>
      </c>
      <c r="Q42" s="293">
        <v>0.15</v>
      </c>
      <c r="R42" s="270"/>
      <c r="S42" s="245"/>
      <c r="T42" s="246"/>
      <c r="U42" s="247" t="s">
        <v>237</v>
      </c>
      <c r="V42" s="247" t="s">
        <v>237</v>
      </c>
      <c r="W42" s="247" t="s">
        <v>237</v>
      </c>
      <c r="X42" s="307">
        <f t="shared" si="14"/>
        <v>3.4</v>
      </c>
      <c r="Y42" s="307">
        <f t="shared" si="15"/>
        <v>0</v>
      </c>
      <c r="Z42" s="307">
        <f t="shared" si="16"/>
        <v>0</v>
      </c>
      <c r="AA42" s="307">
        <f t="shared" si="17"/>
        <v>0</v>
      </c>
      <c r="AB42" s="307" t="str">
        <f t="shared" si="18"/>
        <v/>
      </c>
      <c r="AC42" s="307" t="str">
        <f t="shared" si="19"/>
        <v/>
      </c>
      <c r="AD42" s="230"/>
      <c r="AE42" s="230"/>
      <c r="AF42" s="230"/>
    </row>
    <row r="43" spans="1:32" ht="43.5" customHeight="1">
      <c r="A43" s="245">
        <v>36</v>
      </c>
      <c r="B43" s="299"/>
      <c r="C43" s="314" t="s">
        <v>864</v>
      </c>
      <c r="D43" s="326" t="s">
        <v>864</v>
      </c>
      <c r="E43" s="357" t="s">
        <v>907</v>
      </c>
      <c r="F43" s="327"/>
      <c r="G43" s="263">
        <f t="shared" si="10"/>
        <v>3.4</v>
      </c>
      <c r="H43" s="263">
        <f t="shared" si="11"/>
        <v>3.4</v>
      </c>
      <c r="I43" s="263">
        <f t="shared" si="12"/>
        <v>0</v>
      </c>
      <c r="J43" s="263">
        <f t="shared" si="13"/>
        <v>0</v>
      </c>
      <c r="K43" s="70" t="s">
        <v>242</v>
      </c>
      <c r="L43" s="243" t="str">
        <f>IF(K43="","",VLOOKUP(K43,'Định nghĩa Loại Chức năng'!$B$4:$C$63,2,FALSE))</f>
        <v>Trình bày kết quả model</v>
      </c>
      <c r="M43" s="244">
        <f>_xlfn.IFNA(IF(K43="","",VLOOKUP(K43&amp;$M$7,CSDL_CN!$E$4:$F$40,2,FALSE)),0)</f>
        <v>4</v>
      </c>
      <c r="N43" s="244">
        <f>_xlfn.IFNA(IF(K43="","",VLOOKUP(K43&amp;$N$7,CSDL_CN!$E$4:$F$40,2,FALSE)),0)</f>
        <v>0</v>
      </c>
      <c r="O43" s="244">
        <f>_xlfn.IFNA(IF(K43="","",VLOOKUP(K43&amp;$O$7,CSDL_CN!$E$4:$F$40,2,FALSE)),0)</f>
        <v>0</v>
      </c>
      <c r="P43" s="244">
        <f t="array" ref="P43">SUM(IFERROR(M43:O43,0))</f>
        <v>4</v>
      </c>
      <c r="Q43" s="293">
        <v>0.15</v>
      </c>
      <c r="R43" s="270"/>
      <c r="S43" s="245"/>
      <c r="T43" s="246"/>
      <c r="U43" s="247" t="s">
        <v>237</v>
      </c>
      <c r="V43" s="247" t="s">
        <v>237</v>
      </c>
      <c r="W43" s="247" t="s">
        <v>237</v>
      </c>
      <c r="X43" s="307">
        <f t="shared" si="14"/>
        <v>3.4</v>
      </c>
      <c r="Y43" s="307">
        <f t="shared" si="15"/>
        <v>0</v>
      </c>
      <c r="Z43" s="307">
        <f t="shared" si="16"/>
        <v>0</v>
      </c>
      <c r="AA43" s="307">
        <f t="shared" si="17"/>
        <v>0</v>
      </c>
      <c r="AB43" s="307" t="str">
        <f t="shared" si="18"/>
        <v/>
      </c>
      <c r="AC43" s="307" t="str">
        <f t="shared" si="19"/>
        <v/>
      </c>
    </row>
    <row r="44" spans="1:32" ht="34.5" customHeight="1">
      <c r="A44" s="245">
        <v>37</v>
      </c>
      <c r="B44" s="299"/>
      <c r="C44" s="314" t="s">
        <v>888</v>
      </c>
      <c r="D44" s="326" t="s">
        <v>888</v>
      </c>
      <c r="E44" s="357"/>
      <c r="F44" s="327"/>
      <c r="G44" s="263">
        <f t="shared" ref="G44:G47" si="150">P44*(1-Q44)</f>
        <v>3.4</v>
      </c>
      <c r="H44" s="263">
        <f t="shared" ref="H44:H47" si="151">_xlfn.IFNA(M44*(1-$Q44),0)</f>
        <v>3.4</v>
      </c>
      <c r="I44" s="263">
        <f t="shared" ref="I44:I47" si="152">_xlfn.IFNA(N44*(1-$Q44),0)</f>
        <v>0</v>
      </c>
      <c r="J44" s="263">
        <f t="shared" ref="J44:J47" si="153">_xlfn.IFNA(O44*(1-$Q44),0)</f>
        <v>0</v>
      </c>
      <c r="K44" s="70" t="s">
        <v>242</v>
      </c>
      <c r="L44" s="243" t="str">
        <f>IF(K44="","",VLOOKUP(K44,'Định nghĩa Loại Chức năng'!$B$4:$C$63,2,FALSE))</f>
        <v>Trình bày kết quả model</v>
      </c>
      <c r="M44" s="244">
        <f>_xlfn.IFNA(IF(K44="","",VLOOKUP(K44&amp;$M$7,CSDL_CN!$E$4:$F$40,2,FALSE)),0)</f>
        <v>4</v>
      </c>
      <c r="N44" s="244">
        <f>_xlfn.IFNA(IF(K44="","",VLOOKUP(K44&amp;$N$7,CSDL_CN!$E$4:$F$40,2,FALSE)),0)</f>
        <v>0</v>
      </c>
      <c r="O44" s="244">
        <f>_xlfn.IFNA(IF(K44="","",VLOOKUP(K44&amp;$O$7,CSDL_CN!$E$4:$F$40,2,FALSE)),0)</f>
        <v>0</v>
      </c>
      <c r="P44" s="244">
        <f t="array" ref="P44">SUM(IFERROR(M44:O44,0))</f>
        <v>4</v>
      </c>
      <c r="Q44" s="293">
        <v>0.15</v>
      </c>
      <c r="R44" s="270"/>
      <c r="S44" s="245"/>
      <c r="T44" s="246"/>
      <c r="U44" s="247" t="s">
        <v>237</v>
      </c>
      <c r="V44" s="247" t="s">
        <v>237</v>
      </c>
      <c r="W44" s="247" t="s">
        <v>237</v>
      </c>
      <c r="X44" s="307">
        <f t="shared" ref="X44:X47" si="154">IF(U44="Có",M44*(1-$Q44),"")</f>
        <v>3.4</v>
      </c>
      <c r="Y44" s="307">
        <f t="shared" ref="Y44:Y47" si="155">IF(V44="Có",N44*(1-$Q44),"")</f>
        <v>0</v>
      </c>
      <c r="Z44" s="307">
        <f t="shared" ref="Z44:Z47" si="156">IF(W44="Có",O44*(1-$Q44),"")</f>
        <v>0</v>
      </c>
      <c r="AA44" s="307">
        <f t="shared" ref="AA44:AA47" si="157">IF(M44="","",IF(X44="",M44*(1-$Q44),M44*(1-$Q44)-X44))</f>
        <v>0</v>
      </c>
      <c r="AB44" s="307" t="str">
        <f t="shared" ref="AB44:AB47" si="158">IF(OR(N44="",V44="Có"),"",IF(Y44="",N44*(1-$Q44),N44*(1-$Q44)-Y44))</f>
        <v/>
      </c>
      <c r="AC44" s="307" t="str">
        <f t="shared" ref="AC44:AC47" si="159">IF(OR(O44="",W44="Có"),"",IF(Z44="",O44*(1-$Q44),O44*(1-$Q44)-Z44))</f>
        <v/>
      </c>
    </row>
    <row r="45" spans="1:32" ht="45" customHeight="1">
      <c r="A45" s="245">
        <v>38</v>
      </c>
      <c r="B45" s="299"/>
      <c r="C45" s="314" t="s">
        <v>889</v>
      </c>
      <c r="D45" s="324" t="s">
        <v>889</v>
      </c>
      <c r="E45" s="357"/>
      <c r="F45" s="327"/>
      <c r="G45" s="263">
        <f t="shared" si="150"/>
        <v>7.6</v>
      </c>
      <c r="H45" s="263">
        <f t="shared" si="151"/>
        <v>0</v>
      </c>
      <c r="I45" s="263">
        <f t="shared" si="152"/>
        <v>7.6</v>
      </c>
      <c r="J45" s="263">
        <f t="shared" si="153"/>
        <v>0</v>
      </c>
      <c r="K45" s="70" t="s">
        <v>239</v>
      </c>
      <c r="L45" s="243" t="str">
        <f>IF(K45="","",VLOOKUP(K45,'Định nghĩa Loại Chức năng'!$B$4:$C$63,2,FALSE))</f>
        <v>Training model base</v>
      </c>
      <c r="M45" s="244">
        <f>_xlfn.IFNA(IF(K45="","",VLOOKUP(K45&amp;$M$7,CSDL_CN!$E$4:$F$40,2,FALSE)),0)</f>
        <v>0</v>
      </c>
      <c r="N45" s="244">
        <f>_xlfn.IFNA(IF(K45="","",VLOOKUP(K45&amp;$N$7,CSDL_CN!$E$4:$F$40,2,FALSE)),0)</f>
        <v>8</v>
      </c>
      <c r="O45" s="244">
        <f>_xlfn.IFNA(IF(K45="","",VLOOKUP(K45&amp;$O$7,CSDL_CN!$E$4:$F$40,2,FALSE)),0)</f>
        <v>0</v>
      </c>
      <c r="P45" s="244">
        <f t="array" ref="P45">SUM(IFERROR(M45:O45,0))</f>
        <v>8</v>
      </c>
      <c r="Q45" s="293">
        <v>0.05</v>
      </c>
      <c r="R45" s="270"/>
      <c r="S45" s="245"/>
      <c r="T45" s="246"/>
      <c r="U45" s="247" t="s">
        <v>237</v>
      </c>
      <c r="V45" s="247" t="s">
        <v>237</v>
      </c>
      <c r="W45" s="247" t="s">
        <v>237</v>
      </c>
      <c r="X45" s="307">
        <f t="shared" si="154"/>
        <v>0</v>
      </c>
      <c r="Y45" s="307">
        <f t="shared" si="155"/>
        <v>7.6</v>
      </c>
      <c r="Z45" s="307">
        <f t="shared" si="156"/>
        <v>0</v>
      </c>
      <c r="AA45" s="307">
        <f t="shared" si="157"/>
        <v>0</v>
      </c>
      <c r="AB45" s="307" t="str">
        <f t="shared" si="158"/>
        <v/>
      </c>
      <c r="AC45" s="307" t="str">
        <f t="shared" si="159"/>
        <v/>
      </c>
    </row>
    <row r="46" spans="1:32" ht="31">
      <c r="A46" s="245">
        <v>39</v>
      </c>
      <c r="B46" s="299"/>
      <c r="C46" s="314" t="s">
        <v>913</v>
      </c>
      <c r="D46" s="314" t="s">
        <v>913</v>
      </c>
      <c r="E46" s="357"/>
      <c r="F46" s="327"/>
      <c r="G46" s="263">
        <f t="shared" si="150"/>
        <v>15.2</v>
      </c>
      <c r="H46" s="263">
        <f t="shared" si="151"/>
        <v>0</v>
      </c>
      <c r="I46" s="263">
        <f t="shared" si="152"/>
        <v>15.2</v>
      </c>
      <c r="J46" s="263">
        <f t="shared" si="153"/>
        <v>0</v>
      </c>
      <c r="K46" s="70" t="s">
        <v>240</v>
      </c>
      <c r="L46" s="243" t="str">
        <f>IF(K46="","",VLOOKUP(K46,'Định nghĩa Loại Chức năng'!$B$4:$C$63,2,FALSE))</f>
        <v>Fine-tune hyperparameters</v>
      </c>
      <c r="M46" s="244">
        <f>_xlfn.IFNA(IF(K46="","",VLOOKUP(K46&amp;$M$7,CSDL_CN!$E$4:$F$40,2,FALSE)),0)</f>
        <v>0</v>
      </c>
      <c r="N46" s="244">
        <f>_xlfn.IFNA(IF(K46="","",VLOOKUP(K46&amp;$N$7,CSDL_CN!$E$4:$F$40,2,FALSE)),0)</f>
        <v>16</v>
      </c>
      <c r="O46" s="244">
        <f>_xlfn.IFNA(IF(K46="","",VLOOKUP(K46&amp;$O$7,CSDL_CN!$E$4:$F$40,2,FALSE)),0)</f>
        <v>0</v>
      </c>
      <c r="P46" s="244">
        <f t="array" ref="P46">SUM(IFERROR(M46:O46,0))</f>
        <v>16</v>
      </c>
      <c r="Q46" s="293">
        <v>0.05</v>
      </c>
      <c r="R46" s="270"/>
      <c r="S46" s="245"/>
      <c r="T46" s="246"/>
      <c r="U46" s="247" t="s">
        <v>237</v>
      </c>
      <c r="V46" s="247" t="s">
        <v>237</v>
      </c>
      <c r="W46" s="247" t="s">
        <v>237</v>
      </c>
      <c r="X46" s="307">
        <f t="shared" si="154"/>
        <v>0</v>
      </c>
      <c r="Y46" s="307">
        <f t="shared" si="155"/>
        <v>15.2</v>
      </c>
      <c r="Z46" s="307">
        <f t="shared" si="156"/>
        <v>0</v>
      </c>
      <c r="AA46" s="307">
        <f t="shared" si="157"/>
        <v>0</v>
      </c>
      <c r="AB46" s="307" t="str">
        <f t="shared" si="158"/>
        <v/>
      </c>
      <c r="AC46" s="307" t="str">
        <f t="shared" si="159"/>
        <v/>
      </c>
    </row>
    <row r="47" spans="1:32" ht="31">
      <c r="A47" s="245">
        <v>40</v>
      </c>
      <c r="B47" s="299"/>
      <c r="C47" s="306" t="s">
        <v>912</v>
      </c>
      <c r="D47" s="306" t="s">
        <v>912</v>
      </c>
      <c r="E47" s="357"/>
      <c r="F47" s="327"/>
      <c r="G47" s="263">
        <f t="shared" si="150"/>
        <v>15.2</v>
      </c>
      <c r="H47" s="263">
        <f t="shared" si="151"/>
        <v>0</v>
      </c>
      <c r="I47" s="263">
        <f t="shared" si="152"/>
        <v>15.2</v>
      </c>
      <c r="J47" s="263">
        <f t="shared" si="153"/>
        <v>0</v>
      </c>
      <c r="K47" s="70" t="s">
        <v>240</v>
      </c>
      <c r="L47" s="243" t="str">
        <f>IF(K47="","",VLOOKUP(K47,'Định nghĩa Loại Chức năng'!$B$4:$C$63,2,FALSE))</f>
        <v>Fine-tune hyperparameters</v>
      </c>
      <c r="M47" s="244">
        <f>_xlfn.IFNA(IF(K47="","",VLOOKUP(K47&amp;$M$7,CSDL_CN!$E$4:$F$40,2,FALSE)),0)</f>
        <v>0</v>
      </c>
      <c r="N47" s="244">
        <f>_xlfn.IFNA(IF(K47="","",VLOOKUP(K47&amp;$N$7,CSDL_CN!$E$4:$F$40,2,FALSE)),0)</f>
        <v>16</v>
      </c>
      <c r="O47" s="244">
        <f>_xlfn.IFNA(IF(K47="","",VLOOKUP(K47&amp;$O$7,CSDL_CN!$E$4:$F$40,2,FALSE)),0)</f>
        <v>0</v>
      </c>
      <c r="P47" s="244">
        <f t="array" ref="P47">SUM(IFERROR(M47:O47,0))</f>
        <v>16</v>
      </c>
      <c r="Q47" s="293">
        <v>0.05</v>
      </c>
      <c r="R47" s="270"/>
      <c r="S47" s="245"/>
      <c r="T47" s="246"/>
      <c r="U47" s="247" t="s">
        <v>237</v>
      </c>
      <c r="V47" s="247" t="s">
        <v>237</v>
      </c>
      <c r="W47" s="247" t="s">
        <v>237</v>
      </c>
      <c r="X47" s="307">
        <f t="shared" si="154"/>
        <v>0</v>
      </c>
      <c r="Y47" s="307">
        <f t="shared" si="155"/>
        <v>15.2</v>
      </c>
      <c r="Z47" s="307">
        <f t="shared" si="156"/>
        <v>0</v>
      </c>
      <c r="AA47" s="307">
        <f t="shared" si="157"/>
        <v>0</v>
      </c>
      <c r="AB47" s="307" t="str">
        <f t="shared" si="158"/>
        <v/>
      </c>
      <c r="AC47" s="307" t="str">
        <f t="shared" si="159"/>
        <v/>
      </c>
    </row>
    <row r="48" spans="1:32" ht="31">
      <c r="A48" s="245">
        <v>41</v>
      </c>
      <c r="B48" s="299"/>
      <c r="C48" s="314" t="s">
        <v>911</v>
      </c>
      <c r="D48" s="314" t="s">
        <v>911</v>
      </c>
      <c r="E48" s="357"/>
      <c r="F48" s="327"/>
      <c r="G48" s="263">
        <f t="shared" ref="G48:G56" si="160">P48*(1-Q48)</f>
        <v>15.2</v>
      </c>
      <c r="H48" s="263">
        <f t="shared" ref="H48:H56" si="161">_xlfn.IFNA(M48*(1-$Q48),0)</f>
        <v>0</v>
      </c>
      <c r="I48" s="263">
        <f t="shared" ref="I48:I56" si="162">_xlfn.IFNA(N48*(1-$Q48),0)</f>
        <v>15.2</v>
      </c>
      <c r="J48" s="263">
        <f t="shared" ref="J48:J56" si="163">_xlfn.IFNA(O48*(1-$Q48),0)</f>
        <v>0</v>
      </c>
      <c r="K48" s="70" t="s">
        <v>240</v>
      </c>
      <c r="L48" s="243" t="str">
        <f>IF(K48="","",VLOOKUP(K48,'Định nghĩa Loại Chức năng'!$B$4:$C$63,2,FALSE))</f>
        <v>Fine-tune hyperparameters</v>
      </c>
      <c r="M48" s="244">
        <f>_xlfn.IFNA(IF(K48="","",VLOOKUP(K48&amp;$M$7,CSDL_CN!$E$4:$F$40,2,FALSE)),0)</f>
        <v>0</v>
      </c>
      <c r="N48" s="244">
        <f>_xlfn.IFNA(IF(K48="","",VLOOKUP(K48&amp;$N$7,CSDL_CN!$E$4:$F$40,2,FALSE)),0)</f>
        <v>16</v>
      </c>
      <c r="O48" s="244">
        <f>_xlfn.IFNA(IF(K48="","",VLOOKUP(K48&amp;$O$7,CSDL_CN!$E$4:$F$40,2,FALSE)),0)</f>
        <v>0</v>
      </c>
      <c r="P48" s="244">
        <f t="array" ref="P48">SUM(IFERROR(M48:O48,0))</f>
        <v>16</v>
      </c>
      <c r="Q48" s="293">
        <v>0.05</v>
      </c>
      <c r="R48" s="270"/>
      <c r="S48" s="245"/>
      <c r="T48" s="246"/>
      <c r="U48" s="247" t="s">
        <v>237</v>
      </c>
      <c r="V48" s="247" t="s">
        <v>237</v>
      </c>
      <c r="W48" s="247" t="s">
        <v>237</v>
      </c>
      <c r="X48" s="307">
        <f t="shared" ref="X48:X56" si="164">IF(U48="Có",M48*(1-$Q48),"")</f>
        <v>0</v>
      </c>
      <c r="Y48" s="307">
        <f t="shared" ref="Y48:Y56" si="165">IF(V48="Có",N48*(1-$Q48),"")</f>
        <v>15.2</v>
      </c>
      <c r="Z48" s="307">
        <f t="shared" ref="Z48:Z56" si="166">IF(W48="Có",O48*(1-$Q48),"")</f>
        <v>0</v>
      </c>
      <c r="AA48" s="307">
        <f t="shared" ref="AA48:AA56" si="167">IF(M48="","",IF(X48="",M48*(1-$Q48),M48*(1-$Q48)-X48))</f>
        <v>0</v>
      </c>
      <c r="AB48" s="307" t="str">
        <f t="shared" ref="AB48:AB56" si="168">IF(OR(N48="",V48="Có"),"",IF(Y48="",N48*(1-$Q48),N48*(1-$Q48)-Y48))</f>
        <v/>
      </c>
      <c r="AC48" s="307" t="str">
        <f t="shared" ref="AC48:AC56" si="169">IF(OR(O48="",W48="Có"),"",IF(Z48="",O48*(1-$Q48),O48*(1-$Q48)-Z48))</f>
        <v/>
      </c>
    </row>
    <row r="49" spans="1:32" ht="31">
      <c r="A49" s="245">
        <v>42</v>
      </c>
      <c r="B49" s="299"/>
      <c r="C49" s="314" t="s">
        <v>890</v>
      </c>
      <c r="D49" s="324" t="s">
        <v>890</v>
      </c>
      <c r="E49" s="357"/>
      <c r="F49" s="327"/>
      <c r="G49" s="263">
        <f t="shared" si="160"/>
        <v>15.2</v>
      </c>
      <c r="H49" s="263">
        <f t="shared" si="161"/>
        <v>0</v>
      </c>
      <c r="I49" s="263">
        <f t="shared" si="162"/>
        <v>15.2</v>
      </c>
      <c r="J49" s="263">
        <f t="shared" si="163"/>
        <v>0</v>
      </c>
      <c r="K49" s="70" t="s">
        <v>240</v>
      </c>
      <c r="L49" s="243" t="str">
        <f>IF(K49="","",VLOOKUP(K49,'Định nghĩa Loại Chức năng'!$B$4:$C$63,2,FALSE))</f>
        <v>Fine-tune hyperparameters</v>
      </c>
      <c r="M49" s="244">
        <f>_xlfn.IFNA(IF(K49="","",VLOOKUP(K49&amp;$M$7,CSDL_CN!$E$4:$F$40,2,FALSE)),0)</f>
        <v>0</v>
      </c>
      <c r="N49" s="244">
        <f>_xlfn.IFNA(IF(K49="","",VLOOKUP(K49&amp;$N$7,CSDL_CN!$E$4:$F$40,2,FALSE)),0)</f>
        <v>16</v>
      </c>
      <c r="O49" s="244">
        <f>_xlfn.IFNA(IF(K49="","",VLOOKUP(K49&amp;$O$7,CSDL_CN!$E$4:$F$40,2,FALSE)),0)</f>
        <v>0</v>
      </c>
      <c r="P49" s="244">
        <f t="array" ref="P49">SUM(IFERROR(M49:O49,0))</f>
        <v>16</v>
      </c>
      <c r="Q49" s="293">
        <v>0.05</v>
      </c>
      <c r="R49" s="270"/>
      <c r="S49" s="245"/>
      <c r="T49" s="246"/>
      <c r="U49" s="247" t="s">
        <v>237</v>
      </c>
      <c r="V49" s="247" t="s">
        <v>237</v>
      </c>
      <c r="W49" s="247" t="s">
        <v>237</v>
      </c>
      <c r="X49" s="307">
        <f t="shared" si="164"/>
        <v>0</v>
      </c>
      <c r="Y49" s="307">
        <f t="shared" si="165"/>
        <v>15.2</v>
      </c>
      <c r="Z49" s="307">
        <f t="shared" si="166"/>
        <v>0</v>
      </c>
      <c r="AA49" s="307">
        <f t="shared" si="167"/>
        <v>0</v>
      </c>
      <c r="AB49" s="307" t="str">
        <f t="shared" si="168"/>
        <v/>
      </c>
      <c r="AC49" s="307" t="str">
        <f t="shared" si="169"/>
        <v/>
      </c>
    </row>
    <row r="50" spans="1:32" ht="31">
      <c r="A50" s="245">
        <v>43</v>
      </c>
      <c r="B50" s="299"/>
      <c r="C50" s="306" t="s">
        <v>891</v>
      </c>
      <c r="D50" s="322" t="s">
        <v>891</v>
      </c>
      <c r="E50" s="357"/>
      <c r="F50" s="327"/>
      <c r="G50" s="263">
        <f t="shared" ref="G50" si="170">P50*(1-Q50)</f>
        <v>14.4</v>
      </c>
      <c r="H50" s="263">
        <f t="shared" ref="H50" si="171">_xlfn.IFNA(M50*(1-$Q50),0)</f>
        <v>0</v>
      </c>
      <c r="I50" s="263">
        <f t="shared" ref="I50" si="172">_xlfn.IFNA(N50*(1-$Q50),0)</f>
        <v>14.4</v>
      </c>
      <c r="J50" s="263">
        <f t="shared" ref="J50" si="173">_xlfn.IFNA(O50*(1-$Q50),0)</f>
        <v>0</v>
      </c>
      <c r="K50" s="70" t="s">
        <v>240</v>
      </c>
      <c r="L50" s="243" t="str">
        <f>IF(K50="","",VLOOKUP(K50,'Định nghĩa Loại Chức năng'!$B$4:$C$63,2,FALSE))</f>
        <v>Fine-tune hyperparameters</v>
      </c>
      <c r="M50" s="244">
        <f>_xlfn.IFNA(IF(K50="","",VLOOKUP(K50&amp;$M$7,CSDL_CN!$E$4:$F$40,2,FALSE)),0)</f>
        <v>0</v>
      </c>
      <c r="N50" s="244">
        <f>_xlfn.IFNA(IF(K50="","",VLOOKUP(K50&amp;$N$7,CSDL_CN!$E$4:$F$40,2,FALSE)),0)</f>
        <v>16</v>
      </c>
      <c r="O50" s="244">
        <f>_xlfn.IFNA(IF(K50="","",VLOOKUP(K50&amp;$O$7,CSDL_CN!$E$4:$F$40,2,FALSE)),0)</f>
        <v>0</v>
      </c>
      <c r="P50" s="244">
        <f t="array" ref="P50">SUM(IFERROR(M50:O50,0))</f>
        <v>16</v>
      </c>
      <c r="Q50" s="293">
        <v>0.1</v>
      </c>
      <c r="R50" s="270"/>
      <c r="S50" s="245"/>
      <c r="T50" s="246"/>
      <c r="U50" s="247" t="s">
        <v>237</v>
      </c>
      <c r="V50" s="247" t="s">
        <v>237</v>
      </c>
      <c r="W50" s="247" t="s">
        <v>237</v>
      </c>
      <c r="X50" s="307">
        <f t="shared" ref="X50" si="174">IF(U50="Có",M50*(1-$Q50),"")</f>
        <v>0</v>
      </c>
      <c r="Y50" s="307">
        <f t="shared" ref="Y50" si="175">IF(V50="Có",N50*(1-$Q50),"")</f>
        <v>14.4</v>
      </c>
      <c r="Z50" s="307">
        <f t="shared" ref="Z50" si="176">IF(W50="Có",O50*(1-$Q50),"")</f>
        <v>0</v>
      </c>
      <c r="AA50" s="307">
        <f t="shared" ref="AA50" si="177">IF(M50="","",IF(X50="",M50*(1-$Q50),M50*(1-$Q50)-X50))</f>
        <v>0</v>
      </c>
      <c r="AB50" s="307" t="str">
        <f t="shared" ref="AB50" si="178">IF(OR(N50="",V50="Có"),"",IF(Y50="",N50*(1-$Q50),N50*(1-$Q50)-Y50))</f>
        <v/>
      </c>
      <c r="AC50" s="307" t="str">
        <f t="shared" ref="AC50" si="179">IF(OR(O50="",W50="Có"),"",IF(Z50="",O50*(1-$Q50),O50*(1-$Q50)-Z50))</f>
        <v/>
      </c>
    </row>
    <row r="51" spans="1:32" ht="31">
      <c r="A51" s="245">
        <v>44</v>
      </c>
      <c r="B51" s="299"/>
      <c r="C51" s="314" t="s">
        <v>892</v>
      </c>
      <c r="D51" s="324" t="s">
        <v>892</v>
      </c>
      <c r="E51" s="357"/>
      <c r="F51" s="327"/>
      <c r="G51" s="263">
        <f t="shared" ref="G51" si="180">P51*(1-Q51)</f>
        <v>14.4</v>
      </c>
      <c r="H51" s="263">
        <f t="shared" ref="H51" si="181">_xlfn.IFNA(M51*(1-$Q51),0)</f>
        <v>0</v>
      </c>
      <c r="I51" s="263">
        <f t="shared" ref="I51" si="182">_xlfn.IFNA(N51*(1-$Q51),0)</f>
        <v>14.4</v>
      </c>
      <c r="J51" s="263">
        <f t="shared" ref="J51" si="183">_xlfn.IFNA(O51*(1-$Q51),0)</f>
        <v>0</v>
      </c>
      <c r="K51" s="70" t="s">
        <v>240</v>
      </c>
      <c r="L51" s="243" t="str">
        <f>IF(K51="","",VLOOKUP(K51,'Định nghĩa Loại Chức năng'!$B$4:$C$63,2,FALSE))</f>
        <v>Fine-tune hyperparameters</v>
      </c>
      <c r="M51" s="244">
        <f>_xlfn.IFNA(IF(K51="","",VLOOKUP(K51&amp;$M$7,CSDL_CN!$E$4:$F$40,2,FALSE)),0)</f>
        <v>0</v>
      </c>
      <c r="N51" s="244">
        <f>_xlfn.IFNA(IF(K51="","",VLOOKUP(K51&amp;$N$7,CSDL_CN!$E$4:$F$40,2,FALSE)),0)</f>
        <v>16</v>
      </c>
      <c r="O51" s="244">
        <f>_xlfn.IFNA(IF(K51="","",VLOOKUP(K51&amp;$O$7,CSDL_CN!$E$4:$F$40,2,FALSE)),0)</f>
        <v>0</v>
      </c>
      <c r="P51" s="244">
        <f t="array" ref="P51">SUM(IFERROR(M51:O51,0))</f>
        <v>16</v>
      </c>
      <c r="Q51" s="293">
        <v>0.1</v>
      </c>
      <c r="R51" s="270"/>
      <c r="S51" s="245"/>
      <c r="T51" s="246"/>
      <c r="U51" s="247" t="s">
        <v>237</v>
      </c>
      <c r="V51" s="247" t="s">
        <v>237</v>
      </c>
      <c r="W51" s="247" t="s">
        <v>237</v>
      </c>
      <c r="X51" s="307">
        <f t="shared" ref="X51" si="184">IF(U51="Có",M51*(1-$Q51),"")</f>
        <v>0</v>
      </c>
      <c r="Y51" s="307">
        <f t="shared" ref="Y51" si="185">IF(V51="Có",N51*(1-$Q51),"")</f>
        <v>14.4</v>
      </c>
      <c r="Z51" s="307">
        <f t="shared" ref="Z51" si="186">IF(W51="Có",O51*(1-$Q51),"")</f>
        <v>0</v>
      </c>
      <c r="AA51" s="307">
        <f t="shared" ref="AA51" si="187">IF(M51="","",IF(X51="",M51*(1-$Q51),M51*(1-$Q51)-X51))</f>
        <v>0</v>
      </c>
      <c r="AB51" s="307" t="str">
        <f t="shared" ref="AB51" si="188">IF(OR(N51="",V51="Có"),"",IF(Y51="",N51*(1-$Q51),N51*(1-$Q51)-Y51))</f>
        <v/>
      </c>
      <c r="AC51" s="307" t="str">
        <f t="shared" ref="AC51" si="189">IF(OR(O51="",W51="Có"),"",IF(Z51="",O51*(1-$Q51),O51*(1-$Q51)-Z51))</f>
        <v/>
      </c>
    </row>
    <row r="52" spans="1:32" ht="31">
      <c r="A52" s="245">
        <v>45</v>
      </c>
      <c r="B52" s="299"/>
      <c r="C52" s="306" t="s">
        <v>893</v>
      </c>
      <c r="D52" s="322" t="s">
        <v>893</v>
      </c>
      <c r="E52" s="357"/>
      <c r="F52" s="327"/>
      <c r="G52" s="263">
        <f t="shared" si="160"/>
        <v>14.4</v>
      </c>
      <c r="H52" s="263">
        <f t="shared" si="161"/>
        <v>0</v>
      </c>
      <c r="I52" s="263">
        <f t="shared" si="162"/>
        <v>14.4</v>
      </c>
      <c r="J52" s="263">
        <f t="shared" si="163"/>
        <v>0</v>
      </c>
      <c r="K52" s="70" t="s">
        <v>240</v>
      </c>
      <c r="L52" s="243" t="str">
        <f>IF(K52="","",VLOOKUP(K52,'Định nghĩa Loại Chức năng'!$B$4:$C$63,2,FALSE))</f>
        <v>Fine-tune hyperparameters</v>
      </c>
      <c r="M52" s="244">
        <f>_xlfn.IFNA(IF(K52="","",VLOOKUP(K52&amp;$M$7,CSDL_CN!$E$4:$F$40,2,FALSE)),0)</f>
        <v>0</v>
      </c>
      <c r="N52" s="244">
        <f>_xlfn.IFNA(IF(K52="","",VLOOKUP(K52&amp;$N$7,CSDL_CN!$E$4:$F$40,2,FALSE)),0)</f>
        <v>16</v>
      </c>
      <c r="O52" s="244">
        <f>_xlfn.IFNA(IF(K52="","",VLOOKUP(K52&amp;$O$7,CSDL_CN!$E$4:$F$40,2,FALSE)),0)</f>
        <v>0</v>
      </c>
      <c r="P52" s="244">
        <f t="array" ref="P52">SUM(IFERROR(M52:O52,0))</f>
        <v>16</v>
      </c>
      <c r="Q52" s="293">
        <v>0.1</v>
      </c>
      <c r="R52" s="270"/>
      <c r="S52" s="245"/>
      <c r="T52" s="246"/>
      <c r="U52" s="247" t="s">
        <v>237</v>
      </c>
      <c r="V52" s="247" t="s">
        <v>237</v>
      </c>
      <c r="W52" s="247" t="s">
        <v>237</v>
      </c>
      <c r="X52" s="307">
        <f t="shared" si="164"/>
        <v>0</v>
      </c>
      <c r="Y52" s="307">
        <f t="shared" si="165"/>
        <v>14.4</v>
      </c>
      <c r="Z52" s="307">
        <f t="shared" si="166"/>
        <v>0</v>
      </c>
      <c r="AA52" s="307">
        <f t="shared" si="167"/>
        <v>0</v>
      </c>
      <c r="AB52" s="307" t="str">
        <f t="shared" si="168"/>
        <v/>
      </c>
      <c r="AC52" s="307" t="str">
        <f t="shared" si="169"/>
        <v/>
      </c>
    </row>
    <row r="53" spans="1:32" ht="31">
      <c r="A53" s="245">
        <v>46</v>
      </c>
      <c r="B53" s="299"/>
      <c r="C53" s="314" t="s">
        <v>894</v>
      </c>
      <c r="D53" s="324" t="s">
        <v>894</v>
      </c>
      <c r="E53" s="357"/>
      <c r="F53" s="327"/>
      <c r="G53" s="263">
        <f t="shared" si="160"/>
        <v>3.6</v>
      </c>
      <c r="H53" s="263">
        <f t="shared" si="161"/>
        <v>3.6</v>
      </c>
      <c r="I53" s="263">
        <f t="shared" si="162"/>
        <v>0</v>
      </c>
      <c r="J53" s="263">
        <f t="shared" si="163"/>
        <v>0</v>
      </c>
      <c r="K53" s="70" t="s">
        <v>242</v>
      </c>
      <c r="L53" s="243" t="str">
        <f>IF(K53="","",VLOOKUP(K53,'Định nghĩa Loại Chức năng'!$B$4:$C$63,2,FALSE))</f>
        <v>Trình bày kết quả model</v>
      </c>
      <c r="M53" s="244">
        <f>_xlfn.IFNA(IF(K53="","",VLOOKUP(K53&amp;$M$7,CSDL_CN!$E$4:$F$40,2,FALSE)),0)</f>
        <v>4</v>
      </c>
      <c r="N53" s="244">
        <f>_xlfn.IFNA(IF(K53="","",VLOOKUP(K53&amp;$N$7,CSDL_CN!$E$4:$F$40,2,FALSE)),0)</f>
        <v>0</v>
      </c>
      <c r="O53" s="244">
        <f>_xlfn.IFNA(IF(K53="","",VLOOKUP(K53&amp;$O$7,CSDL_CN!$E$4:$F$40,2,FALSE)),0)</f>
        <v>0</v>
      </c>
      <c r="P53" s="244">
        <f t="array" ref="P53">SUM(IFERROR(M53:O53,0))</f>
        <v>4</v>
      </c>
      <c r="Q53" s="293">
        <v>0.1</v>
      </c>
      <c r="R53" s="270"/>
      <c r="S53" s="245"/>
      <c r="T53" s="246"/>
      <c r="U53" s="247" t="s">
        <v>237</v>
      </c>
      <c r="V53" s="247" t="s">
        <v>237</v>
      </c>
      <c r="W53" s="247" t="s">
        <v>237</v>
      </c>
      <c r="X53" s="307">
        <f t="shared" si="164"/>
        <v>3.6</v>
      </c>
      <c r="Y53" s="307">
        <f t="shared" si="165"/>
        <v>0</v>
      </c>
      <c r="Z53" s="307">
        <f t="shared" si="166"/>
        <v>0</v>
      </c>
      <c r="AA53" s="307">
        <f t="shared" si="167"/>
        <v>0</v>
      </c>
      <c r="AB53" s="307" t="str">
        <f t="shared" si="168"/>
        <v/>
      </c>
      <c r="AC53" s="307" t="str">
        <f t="shared" si="169"/>
        <v/>
      </c>
    </row>
    <row r="54" spans="1:32" ht="31">
      <c r="A54" s="245">
        <v>47</v>
      </c>
      <c r="B54" s="299"/>
      <c r="C54" s="314" t="s">
        <v>895</v>
      </c>
      <c r="D54" s="324" t="s">
        <v>895</v>
      </c>
      <c r="E54" s="357"/>
      <c r="F54" s="327"/>
      <c r="G54" s="263">
        <f t="shared" si="160"/>
        <v>3.6</v>
      </c>
      <c r="H54" s="263">
        <f t="shared" si="161"/>
        <v>3.6</v>
      </c>
      <c r="I54" s="263">
        <f t="shared" si="162"/>
        <v>0</v>
      </c>
      <c r="J54" s="263">
        <f t="shared" si="163"/>
        <v>0</v>
      </c>
      <c r="K54" s="70" t="s">
        <v>242</v>
      </c>
      <c r="L54" s="243" t="str">
        <f>IF(K54="","",VLOOKUP(K54,'Định nghĩa Loại Chức năng'!$B$4:$C$63,2,FALSE))</f>
        <v>Trình bày kết quả model</v>
      </c>
      <c r="M54" s="244">
        <f>_xlfn.IFNA(IF(K54="","",VLOOKUP(K54&amp;$M$7,CSDL_CN!$E$4:$F$40,2,FALSE)),0)</f>
        <v>4</v>
      </c>
      <c r="N54" s="244">
        <f>_xlfn.IFNA(IF(K54="","",VLOOKUP(K54&amp;$N$7,CSDL_CN!$E$4:$F$40,2,FALSE)),0)</f>
        <v>0</v>
      </c>
      <c r="O54" s="244">
        <f>_xlfn.IFNA(IF(K54="","",VLOOKUP(K54&amp;$O$7,CSDL_CN!$E$4:$F$40,2,FALSE)),0)</f>
        <v>0</v>
      </c>
      <c r="P54" s="244">
        <f t="array" ref="P54">SUM(IFERROR(M54:O54,0))</f>
        <v>4</v>
      </c>
      <c r="Q54" s="293">
        <v>0.1</v>
      </c>
      <c r="R54" s="270"/>
      <c r="S54" s="245"/>
      <c r="T54" s="246"/>
      <c r="U54" s="247" t="s">
        <v>237</v>
      </c>
      <c r="V54" s="247" t="s">
        <v>237</v>
      </c>
      <c r="W54" s="247" t="s">
        <v>237</v>
      </c>
      <c r="X54" s="307">
        <f t="shared" si="164"/>
        <v>3.6</v>
      </c>
      <c r="Y54" s="307">
        <f t="shared" si="165"/>
        <v>0</v>
      </c>
      <c r="Z54" s="307">
        <f t="shared" si="166"/>
        <v>0</v>
      </c>
      <c r="AA54" s="307">
        <f t="shared" si="167"/>
        <v>0</v>
      </c>
      <c r="AB54" s="307" t="str">
        <f t="shared" si="168"/>
        <v/>
      </c>
      <c r="AC54" s="307" t="str">
        <f t="shared" si="169"/>
        <v/>
      </c>
    </row>
    <row r="55" spans="1:32" ht="46.5" customHeight="1">
      <c r="A55" s="245">
        <v>48</v>
      </c>
      <c r="B55" s="299"/>
      <c r="C55" s="306" t="s">
        <v>864</v>
      </c>
      <c r="D55" s="324" t="s">
        <v>864</v>
      </c>
      <c r="E55" s="357"/>
      <c r="F55" s="327"/>
      <c r="G55" s="263">
        <f t="shared" si="160"/>
        <v>3.4</v>
      </c>
      <c r="H55" s="263">
        <f t="shared" si="161"/>
        <v>3.4</v>
      </c>
      <c r="I55" s="263">
        <f t="shared" si="162"/>
        <v>0</v>
      </c>
      <c r="J55" s="263">
        <f t="shared" si="163"/>
        <v>0</v>
      </c>
      <c r="K55" s="70" t="s">
        <v>242</v>
      </c>
      <c r="L55" s="243" t="str">
        <f>IF(K55="","",VLOOKUP(K55,'Định nghĩa Loại Chức năng'!$B$4:$C$63,2,FALSE))</f>
        <v>Trình bày kết quả model</v>
      </c>
      <c r="M55" s="244">
        <f>_xlfn.IFNA(IF(K55="","",VLOOKUP(K55&amp;$M$7,CSDL_CN!$E$4:$F$40,2,FALSE)),0)</f>
        <v>4</v>
      </c>
      <c r="N55" s="244">
        <f>_xlfn.IFNA(IF(K55="","",VLOOKUP(K55&amp;$N$7,CSDL_CN!$E$4:$F$40,2,FALSE)),0)</f>
        <v>0</v>
      </c>
      <c r="O55" s="244">
        <f>_xlfn.IFNA(IF(K55="","",VLOOKUP(K55&amp;$O$7,CSDL_CN!$E$4:$F$40,2,FALSE)),0)</f>
        <v>0</v>
      </c>
      <c r="P55" s="244">
        <f t="array" ref="P55">SUM(IFERROR(M55:O55,0))</f>
        <v>4</v>
      </c>
      <c r="Q55" s="293">
        <v>0.15</v>
      </c>
      <c r="R55" s="270"/>
      <c r="S55" s="245"/>
      <c r="T55" s="246"/>
      <c r="U55" s="247" t="s">
        <v>237</v>
      </c>
      <c r="V55" s="247" t="s">
        <v>237</v>
      </c>
      <c r="W55" s="247" t="s">
        <v>237</v>
      </c>
      <c r="X55" s="307">
        <f t="shared" si="164"/>
        <v>3.4</v>
      </c>
      <c r="Y55" s="307">
        <f t="shared" si="165"/>
        <v>0</v>
      </c>
      <c r="Z55" s="307">
        <f t="shared" si="166"/>
        <v>0</v>
      </c>
      <c r="AA55" s="307">
        <f t="shared" si="167"/>
        <v>0</v>
      </c>
      <c r="AB55" s="307" t="str">
        <f t="shared" si="168"/>
        <v/>
      </c>
      <c r="AC55" s="307" t="str">
        <f t="shared" si="169"/>
        <v/>
      </c>
    </row>
    <row r="56" spans="1:32" ht="46.5" customHeight="1">
      <c r="A56" s="245">
        <v>49</v>
      </c>
      <c r="B56" s="299"/>
      <c r="C56" s="314" t="s">
        <v>888</v>
      </c>
      <c r="D56" s="324" t="s">
        <v>888</v>
      </c>
      <c r="E56" s="357"/>
      <c r="F56" s="327"/>
      <c r="G56" s="263">
        <f t="shared" si="160"/>
        <v>3.4</v>
      </c>
      <c r="H56" s="263">
        <f t="shared" si="161"/>
        <v>3.4</v>
      </c>
      <c r="I56" s="263">
        <f t="shared" si="162"/>
        <v>0</v>
      </c>
      <c r="J56" s="263">
        <f t="shared" si="163"/>
        <v>0</v>
      </c>
      <c r="K56" s="70" t="s">
        <v>242</v>
      </c>
      <c r="L56" s="243" t="str">
        <f>IF(K56="","",VLOOKUP(K56,'Định nghĩa Loại Chức năng'!$B$4:$C$63,2,FALSE))</f>
        <v>Trình bày kết quả model</v>
      </c>
      <c r="M56" s="244">
        <f>_xlfn.IFNA(IF(K56="","",VLOOKUP(K56&amp;$M$7,CSDL_CN!$E$4:$F$40,2,FALSE)),0)</f>
        <v>4</v>
      </c>
      <c r="N56" s="244">
        <f>_xlfn.IFNA(IF(K56="","",VLOOKUP(K56&amp;$N$7,CSDL_CN!$E$4:$F$40,2,FALSE)),0)</f>
        <v>0</v>
      </c>
      <c r="O56" s="244">
        <f>_xlfn.IFNA(IF(K56="","",VLOOKUP(K56&amp;$O$7,CSDL_CN!$E$4:$F$40,2,FALSE)),0)</f>
        <v>0</v>
      </c>
      <c r="P56" s="244">
        <f t="array" ref="P56">SUM(IFERROR(M56:O56,0))</f>
        <v>4</v>
      </c>
      <c r="Q56" s="293">
        <v>0.15</v>
      </c>
      <c r="R56" s="270"/>
      <c r="S56" s="245"/>
      <c r="T56" s="246"/>
      <c r="U56" s="247" t="s">
        <v>237</v>
      </c>
      <c r="V56" s="247" t="s">
        <v>237</v>
      </c>
      <c r="W56" s="247" t="s">
        <v>237</v>
      </c>
      <c r="X56" s="307">
        <f t="shared" si="164"/>
        <v>3.4</v>
      </c>
      <c r="Y56" s="307">
        <f t="shared" si="165"/>
        <v>0</v>
      </c>
      <c r="Z56" s="307">
        <f t="shared" si="166"/>
        <v>0</v>
      </c>
      <c r="AA56" s="307">
        <f t="shared" si="167"/>
        <v>0</v>
      </c>
      <c r="AB56" s="307" t="str">
        <f t="shared" si="168"/>
        <v/>
      </c>
      <c r="AC56" s="307" t="str">
        <f t="shared" si="169"/>
        <v/>
      </c>
    </row>
    <row r="57" spans="1:32" ht="78" customHeight="1">
      <c r="A57" s="245">
        <v>50</v>
      </c>
      <c r="B57" s="299"/>
      <c r="C57" s="306" t="s">
        <v>865</v>
      </c>
      <c r="D57" s="322" t="s">
        <v>896</v>
      </c>
      <c r="E57" s="357"/>
      <c r="F57" s="327"/>
      <c r="G57" s="263">
        <f t="shared" ref="G57" si="190">P57*(1-Q57)</f>
        <v>15.2</v>
      </c>
      <c r="H57" s="263">
        <f t="shared" ref="H57" si="191">_xlfn.IFNA(M57*(1-$Q57),0)</f>
        <v>15.2</v>
      </c>
      <c r="I57" s="263">
        <f t="shared" ref="I57" si="192">_xlfn.IFNA(N57*(1-$Q57),0)</f>
        <v>0</v>
      </c>
      <c r="J57" s="263">
        <f t="shared" ref="J57" si="193">_xlfn.IFNA(O57*(1-$Q57),0)</f>
        <v>0</v>
      </c>
      <c r="K57" s="70" t="s">
        <v>426</v>
      </c>
      <c r="L57" s="243" t="str">
        <f>IF(K57="","",VLOOKUP(K57,'Định nghĩa Loại Chức năng'!$B$4:$C$63,2,FALSE))</f>
        <v>Thống nhất giải pháp xây dựng model phức tạp</v>
      </c>
      <c r="M57" s="244">
        <f>_xlfn.IFNA(IF(K57="","",VLOOKUP(K57&amp;$M$7,CSDL_CN!$E$4:$F$40,2,FALSE)),0)</f>
        <v>16</v>
      </c>
      <c r="N57" s="244">
        <f>_xlfn.IFNA(IF(K57="","",VLOOKUP(K57&amp;$N$7,CSDL_CN!$E$4:$F$40,2,FALSE)),0)</f>
        <v>0</v>
      </c>
      <c r="O57" s="244">
        <f>_xlfn.IFNA(IF(K57="","",VLOOKUP(K57&amp;$O$7,CSDL_CN!$E$4:$F$40,2,FALSE)),0)</f>
        <v>0</v>
      </c>
      <c r="P57" s="244">
        <f t="array" ref="P57">SUM(IFERROR(M57:O57,0))</f>
        <v>16</v>
      </c>
      <c r="Q57" s="293">
        <v>0.05</v>
      </c>
      <c r="R57" s="270"/>
      <c r="S57" s="245"/>
      <c r="T57" s="246"/>
      <c r="U57" s="247" t="s">
        <v>237</v>
      </c>
      <c r="V57" s="247" t="s">
        <v>237</v>
      </c>
      <c r="W57" s="247" t="s">
        <v>237</v>
      </c>
      <c r="X57" s="307">
        <f t="shared" ref="X57" si="194">IF(U57="Có",M57*(1-$Q57),"")</f>
        <v>15.2</v>
      </c>
      <c r="Y57" s="307">
        <f t="shared" ref="Y57" si="195">IF(V57="Có",N57*(1-$Q57),"")</f>
        <v>0</v>
      </c>
      <c r="Z57" s="307">
        <f t="shared" ref="Z57" si="196">IF(W57="Có",O57*(1-$Q57),"")</f>
        <v>0</v>
      </c>
      <c r="AA57" s="307">
        <f t="shared" ref="AA57" si="197">IF(M57="","",IF(X57="",M57*(1-$Q57),M57*(1-$Q57)-X57))</f>
        <v>0</v>
      </c>
      <c r="AB57" s="307" t="str">
        <f t="shared" ref="AB57" si="198">IF(OR(N57="",V57="Có"),"",IF(Y57="",N57*(1-$Q57),N57*(1-$Q57)-Y57))</f>
        <v/>
      </c>
      <c r="AC57" s="307" t="str">
        <f t="shared" ref="AC57" si="199">IF(OR(O57="",W57="Có"),"",IF(Z57="",O57*(1-$Q57),O57*(1-$Q57)-Z57))</f>
        <v/>
      </c>
    </row>
    <row r="58" spans="1:32" ht="30">
      <c r="A58" s="300"/>
      <c r="B58" s="308" t="s">
        <v>243</v>
      </c>
      <c r="C58" s="300"/>
      <c r="D58" s="300"/>
      <c r="E58" s="328"/>
      <c r="F58" s="300"/>
      <c r="G58" s="310">
        <f>SUM(G8:G57)</f>
        <v>527.29999999999984</v>
      </c>
      <c r="H58" s="310">
        <f>SUM(H8:H57)</f>
        <v>118.60000000000004</v>
      </c>
      <c r="I58" s="310">
        <f>SUM(I8:I57)</f>
        <v>408.69999999999987</v>
      </c>
      <c r="J58" s="310">
        <f>SUM(J8:J57)</f>
        <v>0</v>
      </c>
      <c r="K58" s="300"/>
      <c r="L58" s="301"/>
      <c r="M58" s="302">
        <f>SUM(M8:M57)</f>
        <v>132</v>
      </c>
      <c r="N58" s="302">
        <f>SUM(N8:N57)</f>
        <v>442</v>
      </c>
      <c r="O58" s="302">
        <f>SUM(O8:O57)</f>
        <v>0</v>
      </c>
      <c r="P58" s="311">
        <f>SUM(P8:P57)</f>
        <v>574</v>
      </c>
      <c r="Q58" s="303"/>
      <c r="R58" s="239"/>
      <c r="S58" s="239"/>
      <c r="T58" s="309"/>
      <c r="U58" s="312">
        <f>SUM(X58,AA58)</f>
        <v>118.60000000000004</v>
      </c>
      <c r="V58" s="312">
        <f>SUM(Y58,AB58)</f>
        <v>408.69999999999987</v>
      </c>
      <c r="W58" s="312">
        <f>SUM(Z58,AC58)</f>
        <v>0</v>
      </c>
      <c r="X58" s="312">
        <f t="shared" ref="X58:AC58" si="200">SUM(X8:X57)</f>
        <v>118.60000000000004</v>
      </c>
      <c r="Y58" s="312">
        <f t="shared" si="200"/>
        <v>408.69999999999987</v>
      </c>
      <c r="Z58" s="312">
        <f t="shared" si="200"/>
        <v>0</v>
      </c>
      <c r="AA58" s="312">
        <f t="shared" si="200"/>
        <v>0</v>
      </c>
      <c r="AB58" s="312">
        <f t="shared" si="200"/>
        <v>0</v>
      </c>
      <c r="AC58" s="312">
        <f t="shared" si="200"/>
        <v>0</v>
      </c>
    </row>
    <row r="59" spans="1:32" ht="30">
      <c r="A59" s="300"/>
      <c r="B59" s="308" t="s">
        <v>244</v>
      </c>
      <c r="C59" s="300"/>
      <c r="D59" s="300"/>
      <c r="E59" s="319"/>
      <c r="F59" s="300"/>
      <c r="G59" s="310">
        <f>G58/8</f>
        <v>65.91249999999998</v>
      </c>
      <c r="H59" s="310">
        <f>H58/8</f>
        <v>14.825000000000005</v>
      </c>
      <c r="I59" s="310">
        <f>I58/8</f>
        <v>51.087499999999984</v>
      </c>
      <c r="J59" s="310">
        <f>J58/8</f>
        <v>0</v>
      </c>
      <c r="K59" s="300"/>
      <c r="L59" s="301"/>
      <c r="M59" s="310">
        <f>M58/8</f>
        <v>16.5</v>
      </c>
      <c r="N59" s="310">
        <f>N58/8</f>
        <v>55.25</v>
      </c>
      <c r="O59" s="310">
        <f>O58/8</f>
        <v>0</v>
      </c>
      <c r="P59" s="310">
        <f>P58/8</f>
        <v>71.75</v>
      </c>
      <c r="Q59" s="303"/>
      <c r="R59" s="239"/>
      <c r="S59" s="239"/>
      <c r="T59" s="309"/>
      <c r="U59" s="312">
        <f>U58/8</f>
        <v>14.825000000000005</v>
      </c>
      <c r="V59" s="312">
        <f>V58/8</f>
        <v>51.087499999999984</v>
      </c>
      <c r="W59" s="312">
        <f>W58/8</f>
        <v>0</v>
      </c>
      <c r="X59" s="313"/>
      <c r="Y59" s="313"/>
      <c r="Z59" s="313"/>
      <c r="AA59" s="313"/>
      <c r="AB59" s="313"/>
      <c r="AC59" s="313"/>
      <c r="AD59" s="251"/>
      <c r="AE59" s="251"/>
      <c r="AF59" s="251"/>
    </row>
    <row r="60" spans="1:32">
      <c r="A60" s="230"/>
      <c r="B60" s="250"/>
      <c r="G60" s="251"/>
      <c r="H60" s="251"/>
      <c r="I60" s="251"/>
      <c r="J60" s="251"/>
      <c r="P60" s="253"/>
      <c r="Q60" s="248"/>
      <c r="R60" s="254"/>
      <c r="S60" s="254"/>
      <c r="X60" s="255"/>
      <c r="Y60" s="255"/>
      <c r="Z60" s="255"/>
      <c r="AA60" s="255"/>
      <c r="AB60" s="255"/>
      <c r="AC60" s="255"/>
    </row>
    <row r="61" spans="1:32">
      <c r="A61" s="230"/>
      <c r="B61" s="256" t="s">
        <v>245</v>
      </c>
      <c r="C61" s="295"/>
      <c r="D61" s="295"/>
      <c r="E61" s="320"/>
      <c r="F61" s="256"/>
      <c r="G61" s="257"/>
      <c r="H61" s="257"/>
      <c r="I61" s="257"/>
      <c r="J61" s="257"/>
      <c r="P61" s="254"/>
      <c r="Q61" s="254"/>
      <c r="R61" s="254"/>
      <c r="S61" s="254"/>
      <c r="X61" s="259"/>
      <c r="AA61" s="259"/>
    </row>
    <row r="62" spans="1:32" ht="69.75" customHeight="1">
      <c r="A62" s="230"/>
      <c r="B62" s="361" t="s">
        <v>246</v>
      </c>
      <c r="C62" s="361"/>
      <c r="D62" s="361"/>
      <c r="E62" s="361"/>
      <c r="F62" s="361"/>
      <c r="G62" s="361"/>
      <c r="H62" s="361"/>
      <c r="I62" s="361"/>
      <c r="J62" s="361"/>
      <c r="K62" s="361"/>
      <c r="L62" s="258"/>
      <c r="M62" s="258"/>
      <c r="N62" s="258"/>
      <c r="O62" s="258"/>
      <c r="P62" s="254"/>
      <c r="Q62" s="254"/>
      <c r="R62" s="254"/>
      <c r="S62" s="254"/>
    </row>
    <row r="63" spans="1:32">
      <c r="A63" s="230"/>
      <c r="L63" s="258"/>
      <c r="M63" s="230"/>
      <c r="N63" s="230"/>
      <c r="O63" s="230"/>
    </row>
  </sheetData>
  <autoFilter ref="K7:K59" xr:uid="{00000000-0009-0000-0000-000004000000}"/>
  <dataConsolidate/>
  <mergeCells count="24">
    <mergeCell ref="E43:E57"/>
    <mergeCell ref="AA6:AC6"/>
    <mergeCell ref="U6:W6"/>
    <mergeCell ref="X6:Z6"/>
    <mergeCell ref="B62:K62"/>
    <mergeCell ref="Q6:Q7"/>
    <mergeCell ref="R6:R7"/>
    <mergeCell ref="S6:S7"/>
    <mergeCell ref="T6:T7"/>
    <mergeCell ref="E6:E7"/>
    <mergeCell ref="E9:E16"/>
    <mergeCell ref="E17:E26"/>
    <mergeCell ref="E27:E42"/>
    <mergeCell ref="A1:T1"/>
    <mergeCell ref="A2:T2"/>
    <mergeCell ref="A4:S4"/>
    <mergeCell ref="A6:A7"/>
    <mergeCell ref="B6:B7"/>
    <mergeCell ref="C6:C7"/>
    <mergeCell ref="G6:J6"/>
    <mergeCell ref="D6:D7"/>
    <mergeCell ref="K6:L6"/>
    <mergeCell ref="M6:P6"/>
    <mergeCell ref="F6:F7"/>
  </mergeCells>
  <phoneticPr fontId="81" type="noConversion"/>
  <dataValidations disablePrompts="1" count="1">
    <dataValidation type="list" allowBlank="1" showInputMessage="1" showErrorMessage="1" sqref="U8:W57" xr:uid="{00000000-0002-0000-0400-000000000000}">
      <formula1>"Có, Không"</formula1>
    </dataValidation>
  </dataValidations>
  <pageMargins left="0.4" right="0.2" top="0.75" bottom="0.83712121212121204" header="0.2" footer="0.2"/>
  <pageSetup scale="31" fitToHeight="0" orientation="landscape" r:id="rId1"/>
  <headerFooter>
    <oddFooter>&amp;L&amp;"Arial,Italic"HD.VTS.QLCL.01&amp;C&amp;"Arial,Italic"Lần ban hành:     /Ngày&amp;R&amp;P/&amp;N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I18"/>
  <sheetViews>
    <sheetView view="pageBreakPreview" zoomScale="70" zoomScaleNormal="100" zoomScaleSheetLayoutView="70" zoomScalePageLayoutView="85" workbookViewId="0">
      <selection activeCell="D9" sqref="D9"/>
    </sheetView>
  </sheetViews>
  <sheetFormatPr defaultColWidth="9.1796875" defaultRowHeight="15.5"/>
  <cols>
    <col min="1" max="1" width="5" style="235" customWidth="1"/>
    <col min="2" max="2" width="39.1796875" style="235" customWidth="1"/>
    <col min="3" max="3" width="53.7265625" style="235" customWidth="1"/>
    <col min="4" max="4" width="14.453125" style="236" customWidth="1"/>
    <col min="5" max="5" width="20.453125" style="237" customWidth="1"/>
    <col min="6" max="6" width="9.453125" style="248" customWidth="1"/>
    <col min="7" max="16384" width="9.1796875" style="230"/>
  </cols>
  <sheetData>
    <row r="1" spans="1:9" ht="20">
      <c r="A1" s="346" t="s">
        <v>247</v>
      </c>
      <c r="B1" s="346"/>
      <c r="C1" s="346"/>
      <c r="D1" s="346"/>
      <c r="E1" s="346"/>
      <c r="F1" s="346"/>
    </row>
    <row r="2" spans="1:9" ht="18">
      <c r="A2" s="347" t="s">
        <v>31</v>
      </c>
      <c r="B2" s="347"/>
      <c r="C2" s="347"/>
      <c r="D2" s="347"/>
      <c r="E2" s="347"/>
      <c r="F2" s="347"/>
    </row>
    <row r="3" spans="1:9" ht="17.5">
      <c r="A3" s="276" t="s">
        <v>216</v>
      </c>
      <c r="B3" s="232"/>
      <c r="C3" s="232"/>
      <c r="D3" s="233"/>
      <c r="E3" s="234"/>
      <c r="F3" s="231"/>
    </row>
    <row r="4" spans="1:9" ht="51" customHeight="1">
      <c r="A4" s="348" t="s">
        <v>217</v>
      </c>
      <c r="B4" s="367"/>
      <c r="C4" s="367"/>
      <c r="D4" s="367"/>
      <c r="E4" s="367"/>
      <c r="F4" s="367"/>
    </row>
    <row r="5" spans="1:9" s="235" customFormat="1">
      <c r="D5" s="236"/>
      <c r="E5" s="237"/>
      <c r="F5" s="236"/>
    </row>
    <row r="6" spans="1:9" s="236" customFormat="1" ht="31.5" customHeight="1">
      <c r="A6" s="368" t="s">
        <v>218</v>
      </c>
      <c r="B6" s="370" t="s">
        <v>248</v>
      </c>
      <c r="C6" s="370" t="s">
        <v>249</v>
      </c>
      <c r="D6" s="371" t="s">
        <v>62</v>
      </c>
      <c r="E6" s="372"/>
      <c r="F6" s="365" t="s">
        <v>225</v>
      </c>
    </row>
    <row r="7" spans="1:9" s="236" customFormat="1" ht="85" customHeight="1">
      <c r="A7" s="369"/>
      <c r="B7" s="370"/>
      <c r="C7" s="370"/>
      <c r="D7" s="239" t="s">
        <v>250</v>
      </c>
      <c r="E7" s="239" t="s">
        <v>251</v>
      </c>
      <c r="F7" s="366"/>
    </row>
    <row r="8" spans="1:9" s="248" customFormat="1" ht="15.75" customHeight="1">
      <c r="A8" s="241"/>
      <c r="B8" s="266"/>
      <c r="C8" s="264"/>
      <c r="D8" s="242"/>
      <c r="E8" s="243"/>
      <c r="F8" s="244"/>
    </row>
    <row r="9" spans="1:9" ht="31">
      <c r="A9" s="245">
        <v>1</v>
      </c>
      <c r="B9" s="12" t="s">
        <v>252</v>
      </c>
      <c r="C9" s="264"/>
      <c r="D9" s="286" t="s">
        <v>253</v>
      </c>
      <c r="E9" s="243" t="str">
        <f>IF(D9="","",VLOOKUP(D9,'Định nghĩa Loại Chức năng'!$B$4:$C$63,2,FALSE))</f>
        <v>Chuẩn bị và xây dựng các tài liệu liên quan</v>
      </c>
      <c r="F9" s="244"/>
    </row>
    <row r="10" spans="1:9" ht="15.75" customHeight="1">
      <c r="A10" s="245"/>
      <c r="B10" s="265"/>
      <c r="C10" s="12"/>
      <c r="D10" s="180"/>
      <c r="E10" s="243" t="str">
        <f>IF(D10="","",VLOOKUP(D10,'Định nghĩa Loại Chức năng'!$B$4:$C$63,2,FALSE))</f>
        <v/>
      </c>
      <c r="F10" s="244" t="str">
        <f>IF(D10="","",VLOOKUP(D10,'CSDL Phi CN'!$C$4:$D$26,2,FALSE))</f>
        <v/>
      </c>
    </row>
    <row r="11" spans="1:9">
      <c r="A11" s="245"/>
      <c r="B11" s="264"/>
      <c r="C11" s="264"/>
      <c r="D11" s="180"/>
      <c r="E11" s="243" t="str">
        <f>IF(D11="","",VLOOKUP(D11,'Định nghĩa Loại Chức năng'!$B$4:$C$63,2,FALSE))</f>
        <v/>
      </c>
      <c r="F11" s="244" t="str">
        <f>IF(D11="","",VLOOKUP(D11,'CSDL Phi CN'!$C$4:$D$26,2,FALSE))</f>
        <v/>
      </c>
    </row>
    <row r="12" spans="1:9">
      <c r="A12" s="245"/>
      <c r="B12" s="249"/>
      <c r="C12" s="249"/>
      <c r="D12" s="268"/>
      <c r="E12" s="243"/>
      <c r="F12" s="244"/>
    </row>
    <row r="13" spans="1:9">
      <c r="E13" s="250" t="s">
        <v>243</v>
      </c>
      <c r="F13" s="252">
        <f t="array" ref="F13">SUM(IFERROR(F9:F12,0))</f>
        <v>0</v>
      </c>
    </row>
    <row r="14" spans="1:9">
      <c r="E14" s="250" t="s">
        <v>244</v>
      </c>
      <c r="F14" s="251">
        <f>F13/8</f>
        <v>0</v>
      </c>
      <c r="G14" s="251"/>
      <c r="H14" s="251"/>
      <c r="I14" s="251"/>
    </row>
    <row r="16" spans="1:9">
      <c r="B16" s="256"/>
      <c r="C16" s="256"/>
    </row>
    <row r="17" spans="2:6" ht="69.75" customHeight="1">
      <c r="B17" s="361"/>
      <c r="C17" s="361"/>
      <c r="D17" s="364"/>
      <c r="E17" s="258"/>
      <c r="F17" s="258"/>
    </row>
    <row r="18" spans="2:6">
      <c r="E18" s="258"/>
      <c r="F18" s="230"/>
    </row>
  </sheetData>
  <dataConsolidate/>
  <mergeCells count="9">
    <mergeCell ref="B17:D17"/>
    <mergeCell ref="F6:F7"/>
    <mergeCell ref="A1:F1"/>
    <mergeCell ref="A2:F2"/>
    <mergeCell ref="A4:F4"/>
    <mergeCell ref="A6:A7"/>
    <mergeCell ref="B6:B7"/>
    <mergeCell ref="C6:C7"/>
    <mergeCell ref="D6:E6"/>
  </mergeCells>
  <conditionalFormatting sqref="E8:F12">
    <cfRule type="cellIs" dxfId="12" priority="3" stopIfTrue="1" operator="equal">
      <formula>" "</formula>
    </cfRule>
  </conditionalFormatting>
  <dataValidations count="1">
    <dataValidation type="list" allowBlank="1" showInputMessage="1" showErrorMessage="1" sqref="E8" xr:uid="{00000000-0002-0000-0500-000000000000}">
      <formula1>"WFW, Tiến trình, PHP, Mobile Client, ERP"</formula1>
    </dataValidation>
  </dataValidations>
  <pageMargins left="0.4" right="0.2" top="0.75" bottom="0.83712121212121204" header="0.2" footer="0.2"/>
  <pageSetup scale="79" fitToHeight="0" orientation="landscape" r:id="rId1"/>
  <headerFooter>
    <oddFooter>&amp;L&amp;"Arial,Italic"HD.VTS.QLCL.01&amp;C&amp;"Arial,Italic"Lần ban hành:     /Ngày&amp;R&amp;P/&amp;N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5"/>
  <sheetViews>
    <sheetView view="pageBreakPreview" topLeftCell="A28" zoomScale="60" zoomScaleNormal="55" zoomScalePageLayoutView="70" workbookViewId="0">
      <selection activeCell="F40" sqref="F40"/>
    </sheetView>
  </sheetViews>
  <sheetFormatPr defaultColWidth="9.1796875" defaultRowHeight="15.5"/>
  <cols>
    <col min="1" max="1" width="5" style="8" customWidth="1"/>
    <col min="2" max="2" width="17.54296875" style="8" customWidth="1"/>
    <col min="3" max="3" width="9" style="8" customWidth="1"/>
    <col min="4" max="4" width="6.54296875" style="8" customWidth="1"/>
    <col min="5" max="5" width="31.1796875" style="4" customWidth="1"/>
    <col min="6" max="6" width="14.26953125" style="9" customWidth="1"/>
    <col min="7" max="7" width="12.54296875" style="9" customWidth="1"/>
    <col min="8" max="8" width="7.26953125" style="9" customWidth="1"/>
    <col min="9" max="9" width="8" style="9" customWidth="1"/>
    <col min="10" max="10" width="7.54296875" style="9" customWidth="1"/>
    <col min="11" max="11" width="7.1796875" style="9" customWidth="1"/>
    <col min="12" max="12" width="6.26953125" style="9" customWidth="1"/>
    <col min="13" max="13" width="7.7265625" style="9" customWidth="1"/>
    <col min="14" max="14" width="8.26953125" style="9" customWidth="1"/>
    <col min="15" max="15" width="7.453125" style="9" customWidth="1"/>
    <col min="16" max="16" width="6.453125" style="9" customWidth="1"/>
    <col min="17" max="17" width="6.1796875" style="9" customWidth="1"/>
    <col min="18" max="18" width="6.81640625" style="9" customWidth="1"/>
    <col min="19" max="19" width="10.54296875" style="9" customWidth="1"/>
    <col min="20" max="20" width="10" style="9" customWidth="1"/>
    <col min="21" max="21" width="7.81640625" style="9" customWidth="1"/>
    <col min="22" max="22" width="9" style="9" customWidth="1"/>
    <col min="23" max="23" width="8.81640625" style="9" customWidth="1"/>
    <col min="24" max="24" width="13.1796875" style="9" customWidth="1"/>
    <col min="25" max="25" width="9.54296875" style="9" customWidth="1"/>
    <col min="26" max="26" width="8.54296875" style="9" customWidth="1"/>
    <col min="27" max="27" width="13.1796875" style="4" bestFit="1" customWidth="1"/>
    <col min="28" max="16384" width="9.1796875" style="4"/>
  </cols>
  <sheetData>
    <row r="1" spans="1:26" ht="27.75" customHeight="1">
      <c r="B1" s="15"/>
      <c r="C1" s="15"/>
      <c r="D1" s="16" t="s">
        <v>254</v>
      </c>
      <c r="E1" s="15"/>
      <c r="F1" s="15"/>
      <c r="G1" s="15"/>
      <c r="H1" s="15"/>
      <c r="I1" s="15"/>
      <c r="J1" s="15"/>
      <c r="K1" s="15"/>
      <c r="L1" s="15"/>
      <c r="M1" s="15"/>
      <c r="N1" s="15"/>
      <c r="O1" s="15"/>
      <c r="P1" s="15"/>
      <c r="Q1" s="15"/>
      <c r="R1" s="15"/>
      <c r="S1" s="15"/>
      <c r="T1" s="15"/>
      <c r="U1" s="15"/>
      <c r="V1" s="15"/>
      <c r="W1" s="15"/>
      <c r="X1" s="15"/>
      <c r="Y1" s="15"/>
      <c r="Z1" s="15"/>
    </row>
    <row r="2" spans="1:26" ht="17.5">
      <c r="A2" s="5" t="s">
        <v>216</v>
      </c>
      <c r="B2" s="5"/>
      <c r="C2" s="5"/>
      <c r="D2" s="6"/>
      <c r="E2" s="6"/>
      <c r="F2" s="6"/>
      <c r="G2" s="6"/>
      <c r="H2" s="6"/>
      <c r="I2" s="6"/>
      <c r="J2" s="6"/>
      <c r="K2" s="6"/>
      <c r="L2" s="6"/>
    </row>
    <row r="3" spans="1:26" s="67" customFormat="1" ht="19">
      <c r="A3" s="64" t="s">
        <v>255</v>
      </c>
      <c r="B3" s="64"/>
      <c r="C3" s="64"/>
      <c r="D3" s="65"/>
      <c r="E3" s="65"/>
      <c r="F3" s="65"/>
      <c r="G3" s="65"/>
      <c r="H3" s="65"/>
      <c r="I3" s="65"/>
      <c r="J3" s="65"/>
      <c r="K3" s="65"/>
      <c r="L3" s="65"/>
      <c r="M3" s="65"/>
      <c r="N3" s="65"/>
      <c r="O3" s="65"/>
      <c r="P3" s="65"/>
      <c r="Q3" s="65"/>
      <c r="R3" s="65"/>
      <c r="S3" s="65"/>
      <c r="T3" s="65"/>
      <c r="U3" s="65"/>
      <c r="V3" s="65"/>
      <c r="W3" s="66"/>
      <c r="X3" s="373"/>
      <c r="Y3" s="373"/>
      <c r="Z3" s="373"/>
    </row>
    <row r="4" spans="1:26" s="7" customFormat="1" ht="132.75" customHeight="1">
      <c r="A4" s="14" t="s">
        <v>218</v>
      </c>
      <c r="B4" s="13" t="s">
        <v>219</v>
      </c>
      <c r="C4" s="13" t="s">
        <v>234</v>
      </c>
      <c r="D4" s="3" t="s">
        <v>256</v>
      </c>
      <c r="E4" s="13" t="s">
        <v>257</v>
      </c>
      <c r="F4" s="13" t="s">
        <v>258</v>
      </c>
      <c r="G4" s="13" t="s">
        <v>259</v>
      </c>
      <c r="H4" s="13" t="s">
        <v>260</v>
      </c>
      <c r="I4" s="13" t="s">
        <v>261</v>
      </c>
      <c r="J4" s="13" t="s">
        <v>262</v>
      </c>
      <c r="K4" s="68" t="s">
        <v>263</v>
      </c>
      <c r="L4" s="68" t="s">
        <v>264</v>
      </c>
      <c r="M4" s="68" t="s">
        <v>265</v>
      </c>
      <c r="N4" s="68" t="s">
        <v>266</v>
      </c>
      <c r="O4" s="17" t="s">
        <v>267</v>
      </c>
      <c r="P4" s="68" t="s">
        <v>268</v>
      </c>
      <c r="Q4" s="68" t="s">
        <v>269</v>
      </c>
      <c r="R4" s="68" t="s">
        <v>270</v>
      </c>
      <c r="S4" s="68" t="s">
        <v>271</v>
      </c>
      <c r="T4" s="68" t="s">
        <v>272</v>
      </c>
      <c r="U4" s="68" t="s">
        <v>273</v>
      </c>
      <c r="V4" s="68" t="s">
        <v>274</v>
      </c>
      <c r="W4" s="68" t="s">
        <v>275</v>
      </c>
      <c r="X4" s="68" t="s">
        <v>276</v>
      </c>
      <c r="Y4" s="68" t="s">
        <v>277</v>
      </c>
      <c r="Z4" s="68" t="s">
        <v>229</v>
      </c>
    </row>
    <row r="5" spans="1:26" s="7" customFormat="1" ht="24.25" customHeight="1">
      <c r="A5" s="14" t="s">
        <v>27</v>
      </c>
      <c r="B5" s="13" t="s">
        <v>278</v>
      </c>
      <c r="C5" s="13" t="s">
        <v>279</v>
      </c>
      <c r="D5" s="3" t="s">
        <v>280</v>
      </c>
      <c r="E5" s="13" t="s">
        <v>281</v>
      </c>
      <c r="F5" s="13" t="s">
        <v>282</v>
      </c>
      <c r="G5" s="13" t="s">
        <v>283</v>
      </c>
      <c r="H5" s="13" t="s">
        <v>284</v>
      </c>
      <c r="I5" s="13" t="s">
        <v>285</v>
      </c>
      <c r="J5" s="13" t="s">
        <v>286</v>
      </c>
      <c r="K5" s="13" t="s">
        <v>287</v>
      </c>
      <c r="L5" s="13" t="s">
        <v>288</v>
      </c>
      <c r="M5" s="13" t="s">
        <v>289</v>
      </c>
      <c r="N5" s="13" t="s">
        <v>290</v>
      </c>
      <c r="O5" s="3" t="s">
        <v>291</v>
      </c>
      <c r="P5" s="13" t="s">
        <v>292</v>
      </c>
      <c r="Q5" s="13" t="s">
        <v>293</v>
      </c>
      <c r="R5" s="13" t="s">
        <v>294</v>
      </c>
      <c r="S5" s="13" t="s">
        <v>295</v>
      </c>
      <c r="T5" s="13" t="s">
        <v>296</v>
      </c>
      <c r="U5" s="13" t="s">
        <v>297</v>
      </c>
      <c r="V5" s="13" t="s">
        <v>298</v>
      </c>
      <c r="W5" s="13" t="s">
        <v>299</v>
      </c>
      <c r="X5" s="13" t="s">
        <v>300</v>
      </c>
      <c r="Y5" s="13" t="s">
        <v>301</v>
      </c>
      <c r="Z5" s="13" t="s">
        <v>302</v>
      </c>
    </row>
    <row r="6" spans="1:26" s="9" customFormat="1" ht="25.5" customHeight="1">
      <c r="A6" s="18">
        <v>1</v>
      </c>
      <c r="B6" s="20" t="s">
        <v>303</v>
      </c>
      <c r="C6" s="20" t="s">
        <v>304</v>
      </c>
      <c r="D6" s="69" t="s">
        <v>305</v>
      </c>
      <c r="E6" s="70" t="s">
        <v>306</v>
      </c>
      <c r="F6" s="20" t="s">
        <v>307</v>
      </c>
      <c r="G6" s="11">
        <v>1</v>
      </c>
      <c r="H6" s="11">
        <v>1</v>
      </c>
      <c r="I6" s="11">
        <v>1</v>
      </c>
      <c r="J6" s="11">
        <v>0</v>
      </c>
      <c r="K6" s="71">
        <f t="shared" ref="K6:K14" si="0">IF(G6=1,2+(H6*2)+I6*5+J6*10,(IF(G6=2,5+(H6*2)+I6*5+J6*10,10+(H6*2)+I6*5+J6*10)))</f>
        <v>9</v>
      </c>
      <c r="L6" s="71" t="str">
        <f>IF(G6=1,"30",(IF(G6=2,"45","60")))</f>
        <v>30</v>
      </c>
      <c r="M6" s="71">
        <f t="shared" ref="M6:M14" si="1">K6+L6</f>
        <v>39</v>
      </c>
      <c r="N6" s="71">
        <f t="shared" ref="N6:N14" si="2">IF(G6=1,R6*0.5,(IF(G6=2,R6*1,R6*1.5)))</f>
        <v>25</v>
      </c>
      <c r="O6" s="11">
        <v>1</v>
      </c>
      <c r="P6" s="11">
        <v>5</v>
      </c>
      <c r="Q6" s="71">
        <f t="shared" ref="Q6:Q14" si="3">O6*P6</f>
        <v>5</v>
      </c>
      <c r="R6" s="11">
        <v>50</v>
      </c>
      <c r="S6" s="11">
        <f>1/60</f>
        <v>1.6666666666666666E-2</v>
      </c>
      <c r="T6" s="11">
        <f>1/60</f>
        <v>1.6666666666666666E-2</v>
      </c>
      <c r="U6" s="11">
        <v>1</v>
      </c>
      <c r="V6" s="71">
        <f>R6*S6+R6*T6+2+U6</f>
        <v>4.666666666666667</v>
      </c>
      <c r="W6" s="71">
        <f t="shared" ref="W6:X14" si="4">IF(G6="",0,5)</f>
        <v>5</v>
      </c>
      <c r="X6" s="71">
        <f t="shared" si="4"/>
        <v>5</v>
      </c>
      <c r="Y6" s="71">
        <f t="shared" ref="Y6:Y14" si="5">SUM(M6,N6*5,Q6,V6*5,W6*5,X6*5)</f>
        <v>242.33333333333334</v>
      </c>
      <c r="Z6" s="20"/>
    </row>
    <row r="7" spans="1:26" s="9" customFormat="1" ht="21.75" customHeight="1">
      <c r="A7" s="18">
        <v>2</v>
      </c>
      <c r="B7" s="20" t="s">
        <v>308</v>
      </c>
      <c r="C7" s="12" t="s">
        <v>309</v>
      </c>
      <c r="D7" s="72" t="s">
        <v>310</v>
      </c>
      <c r="E7" s="72" t="s">
        <v>311</v>
      </c>
      <c r="F7" s="12" t="s">
        <v>312</v>
      </c>
      <c r="G7" s="11">
        <v>2</v>
      </c>
      <c r="H7" s="11">
        <v>0</v>
      </c>
      <c r="I7" s="11">
        <v>0</v>
      </c>
      <c r="J7" s="11">
        <v>0</v>
      </c>
      <c r="K7" s="71">
        <f t="shared" si="0"/>
        <v>5</v>
      </c>
      <c r="L7" s="71" t="str">
        <f t="shared" ref="L7:L14" si="6">IF(G7=1,"30",(IF(G7=2,"45","60")))</f>
        <v>45</v>
      </c>
      <c r="M7" s="71">
        <f t="shared" si="1"/>
        <v>50</v>
      </c>
      <c r="N7" s="71">
        <f t="shared" si="2"/>
        <v>40</v>
      </c>
      <c r="O7" s="11">
        <v>1</v>
      </c>
      <c r="P7" s="11">
        <v>5</v>
      </c>
      <c r="Q7" s="71">
        <f t="shared" si="3"/>
        <v>5</v>
      </c>
      <c r="R7" s="11">
        <v>40</v>
      </c>
      <c r="S7" s="11">
        <f t="shared" ref="S7:T14" si="7">1/60</f>
        <v>1.6666666666666666E-2</v>
      </c>
      <c r="T7" s="11">
        <f t="shared" si="7"/>
        <v>1.6666666666666666E-2</v>
      </c>
      <c r="U7" s="11">
        <v>3</v>
      </c>
      <c r="V7" s="71">
        <f t="shared" ref="V7:V14" si="8">R7*S7+R7*T7+2+U7</f>
        <v>6.333333333333333</v>
      </c>
      <c r="W7" s="71">
        <f t="shared" si="4"/>
        <v>5</v>
      </c>
      <c r="X7" s="71">
        <f t="shared" si="4"/>
        <v>5</v>
      </c>
      <c r="Y7" s="71">
        <f t="shared" si="5"/>
        <v>336.66666666666669</v>
      </c>
      <c r="Z7" s="20"/>
    </row>
    <row r="8" spans="1:26" s="9" customFormat="1" ht="22.5" customHeight="1">
      <c r="A8" s="18">
        <v>3</v>
      </c>
      <c r="B8" s="20" t="s">
        <v>313</v>
      </c>
      <c r="C8" s="12" t="s">
        <v>314</v>
      </c>
      <c r="D8" s="72" t="s">
        <v>315</v>
      </c>
      <c r="E8" s="72" t="s">
        <v>316</v>
      </c>
      <c r="F8" s="12" t="s">
        <v>317</v>
      </c>
      <c r="G8" s="11">
        <v>1</v>
      </c>
      <c r="H8" s="11">
        <v>0</v>
      </c>
      <c r="I8" s="11">
        <v>0</v>
      </c>
      <c r="J8" s="11">
        <v>0</v>
      </c>
      <c r="K8" s="71">
        <f t="shared" si="0"/>
        <v>2</v>
      </c>
      <c r="L8" s="71" t="str">
        <f t="shared" si="6"/>
        <v>30</v>
      </c>
      <c r="M8" s="71">
        <f t="shared" si="1"/>
        <v>32</v>
      </c>
      <c r="N8" s="71">
        <f t="shared" si="2"/>
        <v>15</v>
      </c>
      <c r="O8" s="11">
        <v>1</v>
      </c>
      <c r="P8" s="11">
        <v>5</v>
      </c>
      <c r="Q8" s="71">
        <f t="shared" si="3"/>
        <v>5</v>
      </c>
      <c r="R8" s="11">
        <v>30</v>
      </c>
      <c r="S8" s="11">
        <f t="shared" si="7"/>
        <v>1.6666666666666666E-2</v>
      </c>
      <c r="T8" s="11">
        <f t="shared" si="7"/>
        <v>1.6666666666666666E-2</v>
      </c>
      <c r="U8" s="11">
        <v>1</v>
      </c>
      <c r="V8" s="71">
        <f t="shared" si="8"/>
        <v>4</v>
      </c>
      <c r="W8" s="71">
        <f t="shared" si="4"/>
        <v>5</v>
      </c>
      <c r="X8" s="71">
        <f t="shared" si="4"/>
        <v>5</v>
      </c>
      <c r="Y8" s="71">
        <f t="shared" si="5"/>
        <v>182</v>
      </c>
      <c r="Z8" s="12"/>
    </row>
    <row r="9" spans="1:26" s="9" customFormat="1" ht="20.5" customHeight="1">
      <c r="A9" s="18">
        <v>4</v>
      </c>
      <c r="B9" s="20" t="s">
        <v>318</v>
      </c>
      <c r="C9" s="12" t="s">
        <v>319</v>
      </c>
      <c r="D9" s="72" t="s">
        <v>320</v>
      </c>
      <c r="E9" s="72" t="s">
        <v>321</v>
      </c>
      <c r="F9" s="12" t="s">
        <v>322</v>
      </c>
      <c r="G9" s="11">
        <v>3</v>
      </c>
      <c r="H9" s="11">
        <v>0</v>
      </c>
      <c r="I9" s="11">
        <v>0</v>
      </c>
      <c r="J9" s="11">
        <v>0</v>
      </c>
      <c r="K9" s="71">
        <f t="shared" si="0"/>
        <v>10</v>
      </c>
      <c r="L9" s="71" t="str">
        <f t="shared" si="6"/>
        <v>60</v>
      </c>
      <c r="M9" s="71">
        <f t="shared" si="1"/>
        <v>70</v>
      </c>
      <c r="N9" s="71">
        <f t="shared" si="2"/>
        <v>75</v>
      </c>
      <c r="O9" s="11">
        <v>1</v>
      </c>
      <c r="P9" s="11">
        <v>5</v>
      </c>
      <c r="Q9" s="71">
        <f t="shared" si="3"/>
        <v>5</v>
      </c>
      <c r="R9" s="11">
        <v>50</v>
      </c>
      <c r="S9" s="11">
        <f t="shared" si="7"/>
        <v>1.6666666666666666E-2</v>
      </c>
      <c r="T9" s="11">
        <f t="shared" si="7"/>
        <v>1.6666666666666666E-2</v>
      </c>
      <c r="U9" s="11">
        <v>4</v>
      </c>
      <c r="V9" s="71">
        <f t="shared" si="8"/>
        <v>7.666666666666667</v>
      </c>
      <c r="W9" s="71">
        <f t="shared" si="4"/>
        <v>5</v>
      </c>
      <c r="X9" s="71">
        <f t="shared" si="4"/>
        <v>5</v>
      </c>
      <c r="Y9" s="71">
        <f t="shared" si="5"/>
        <v>538.33333333333326</v>
      </c>
      <c r="Z9" s="12"/>
    </row>
    <row r="10" spans="1:26" s="9" customFormat="1" ht="20.5" customHeight="1">
      <c r="A10" s="18">
        <v>5</v>
      </c>
      <c r="B10" s="20" t="s">
        <v>323</v>
      </c>
      <c r="C10" s="12" t="s">
        <v>324</v>
      </c>
      <c r="D10" s="72" t="s">
        <v>325</v>
      </c>
      <c r="E10" s="72" t="s">
        <v>326</v>
      </c>
      <c r="F10" s="12" t="s">
        <v>327</v>
      </c>
      <c r="G10" s="11">
        <v>3</v>
      </c>
      <c r="H10" s="11">
        <v>0</v>
      </c>
      <c r="I10" s="11">
        <v>0</v>
      </c>
      <c r="J10" s="11">
        <v>0</v>
      </c>
      <c r="K10" s="71">
        <f t="shared" si="0"/>
        <v>10</v>
      </c>
      <c r="L10" s="71" t="str">
        <f t="shared" si="6"/>
        <v>60</v>
      </c>
      <c r="M10" s="71">
        <f t="shared" si="1"/>
        <v>70</v>
      </c>
      <c r="N10" s="71">
        <f t="shared" si="2"/>
        <v>15</v>
      </c>
      <c r="O10" s="11">
        <v>1</v>
      </c>
      <c r="P10" s="11">
        <v>5</v>
      </c>
      <c r="Q10" s="71">
        <f t="shared" si="3"/>
        <v>5</v>
      </c>
      <c r="R10" s="11">
        <v>10</v>
      </c>
      <c r="S10" s="11">
        <f t="shared" si="7"/>
        <v>1.6666666666666666E-2</v>
      </c>
      <c r="T10" s="11">
        <f t="shared" si="7"/>
        <v>1.6666666666666666E-2</v>
      </c>
      <c r="U10" s="11">
        <v>4</v>
      </c>
      <c r="V10" s="71">
        <f t="shared" si="8"/>
        <v>6.3333333333333339</v>
      </c>
      <c r="W10" s="71">
        <f t="shared" si="4"/>
        <v>5</v>
      </c>
      <c r="X10" s="71">
        <f t="shared" si="4"/>
        <v>5</v>
      </c>
      <c r="Y10" s="71">
        <f t="shared" si="5"/>
        <v>231.66666666666669</v>
      </c>
      <c r="Z10" s="12"/>
    </row>
    <row r="11" spans="1:26" s="9" customFormat="1" ht="31.5" customHeight="1">
      <c r="A11" s="18">
        <v>6</v>
      </c>
      <c r="B11" s="20" t="s">
        <v>328</v>
      </c>
      <c r="C11" s="12" t="s">
        <v>329</v>
      </c>
      <c r="D11" s="72" t="s">
        <v>330</v>
      </c>
      <c r="E11" s="72" t="s">
        <v>331</v>
      </c>
      <c r="F11" s="12" t="s">
        <v>332</v>
      </c>
      <c r="G11" s="11">
        <v>3</v>
      </c>
      <c r="H11" s="11">
        <v>1</v>
      </c>
      <c r="I11" s="11">
        <v>2</v>
      </c>
      <c r="J11" s="11">
        <v>3</v>
      </c>
      <c r="K11" s="71">
        <f t="shared" si="0"/>
        <v>52</v>
      </c>
      <c r="L11" s="71" t="str">
        <f t="shared" si="6"/>
        <v>60</v>
      </c>
      <c r="M11" s="71">
        <f t="shared" si="1"/>
        <v>112</v>
      </c>
      <c r="N11" s="71">
        <f t="shared" si="2"/>
        <v>15</v>
      </c>
      <c r="O11" s="11">
        <v>1</v>
      </c>
      <c r="P11" s="11">
        <v>5</v>
      </c>
      <c r="Q11" s="71">
        <f t="shared" si="3"/>
        <v>5</v>
      </c>
      <c r="R11" s="11">
        <v>10</v>
      </c>
      <c r="S11" s="11">
        <f t="shared" si="7"/>
        <v>1.6666666666666666E-2</v>
      </c>
      <c r="T11" s="11">
        <f t="shared" si="7"/>
        <v>1.6666666666666666E-2</v>
      </c>
      <c r="U11" s="11">
        <v>4</v>
      </c>
      <c r="V11" s="71">
        <f t="shared" si="8"/>
        <v>6.3333333333333339</v>
      </c>
      <c r="W11" s="71">
        <f t="shared" si="4"/>
        <v>5</v>
      </c>
      <c r="X11" s="71">
        <f t="shared" si="4"/>
        <v>5</v>
      </c>
      <c r="Y11" s="71">
        <f t="shared" si="5"/>
        <v>273.66666666666669</v>
      </c>
      <c r="Z11" s="12"/>
    </row>
    <row r="12" spans="1:26" s="9" customFormat="1" ht="20.5" customHeight="1">
      <c r="A12" s="18">
        <v>7</v>
      </c>
      <c r="B12" s="20" t="s">
        <v>333</v>
      </c>
      <c r="C12" s="12" t="s">
        <v>334</v>
      </c>
      <c r="D12" s="72" t="s">
        <v>335</v>
      </c>
      <c r="E12" s="72" t="s">
        <v>336</v>
      </c>
      <c r="F12" s="12" t="s">
        <v>337</v>
      </c>
      <c r="G12" s="11">
        <v>2</v>
      </c>
      <c r="H12" s="11">
        <v>0</v>
      </c>
      <c r="I12" s="11">
        <v>0</v>
      </c>
      <c r="J12" s="11">
        <v>0</v>
      </c>
      <c r="K12" s="71">
        <f t="shared" si="0"/>
        <v>5</v>
      </c>
      <c r="L12" s="71" t="str">
        <f t="shared" si="6"/>
        <v>45</v>
      </c>
      <c r="M12" s="71">
        <f t="shared" si="1"/>
        <v>50</v>
      </c>
      <c r="N12" s="71">
        <f t="shared" si="2"/>
        <v>25</v>
      </c>
      <c r="O12" s="11">
        <v>1</v>
      </c>
      <c r="P12" s="11">
        <v>5</v>
      </c>
      <c r="Q12" s="71">
        <f t="shared" si="3"/>
        <v>5</v>
      </c>
      <c r="R12" s="11">
        <v>25</v>
      </c>
      <c r="S12" s="11">
        <f t="shared" si="7"/>
        <v>1.6666666666666666E-2</v>
      </c>
      <c r="T12" s="11">
        <f t="shared" si="7"/>
        <v>1.6666666666666666E-2</v>
      </c>
      <c r="U12" s="11">
        <v>3</v>
      </c>
      <c r="V12" s="71">
        <f t="shared" si="8"/>
        <v>5.8333333333333339</v>
      </c>
      <c r="W12" s="71">
        <f t="shared" si="4"/>
        <v>5</v>
      </c>
      <c r="X12" s="71">
        <f t="shared" si="4"/>
        <v>5</v>
      </c>
      <c r="Y12" s="71">
        <f t="shared" si="5"/>
        <v>259.16666666666669</v>
      </c>
      <c r="Z12" s="12"/>
    </row>
    <row r="13" spans="1:26" s="9" customFormat="1" ht="20.5" customHeight="1">
      <c r="A13" s="18">
        <v>8</v>
      </c>
      <c r="B13" s="20" t="s">
        <v>338</v>
      </c>
      <c r="C13" s="12" t="s">
        <v>339</v>
      </c>
      <c r="D13" s="72" t="s">
        <v>340</v>
      </c>
      <c r="E13" s="72" t="s">
        <v>341</v>
      </c>
      <c r="F13" s="12" t="s">
        <v>342</v>
      </c>
      <c r="G13" s="11">
        <v>2</v>
      </c>
      <c r="H13" s="11">
        <v>0</v>
      </c>
      <c r="I13" s="11">
        <v>0</v>
      </c>
      <c r="J13" s="11">
        <v>0</v>
      </c>
      <c r="K13" s="71">
        <f t="shared" si="0"/>
        <v>5</v>
      </c>
      <c r="L13" s="71" t="str">
        <f t="shared" si="6"/>
        <v>45</v>
      </c>
      <c r="M13" s="71">
        <f t="shared" si="1"/>
        <v>50</v>
      </c>
      <c r="N13" s="71">
        <f t="shared" si="2"/>
        <v>30</v>
      </c>
      <c r="O13" s="11">
        <v>1</v>
      </c>
      <c r="P13" s="11">
        <v>5</v>
      </c>
      <c r="Q13" s="71">
        <f t="shared" si="3"/>
        <v>5</v>
      </c>
      <c r="R13" s="11">
        <v>30</v>
      </c>
      <c r="S13" s="11">
        <f t="shared" si="7"/>
        <v>1.6666666666666666E-2</v>
      </c>
      <c r="T13" s="11">
        <f t="shared" si="7"/>
        <v>1.6666666666666666E-2</v>
      </c>
      <c r="U13" s="11">
        <v>3</v>
      </c>
      <c r="V13" s="71">
        <f t="shared" si="8"/>
        <v>6</v>
      </c>
      <c r="W13" s="71">
        <f t="shared" si="4"/>
        <v>5</v>
      </c>
      <c r="X13" s="71">
        <f t="shared" si="4"/>
        <v>5</v>
      </c>
      <c r="Y13" s="71">
        <f t="shared" si="5"/>
        <v>285</v>
      </c>
      <c r="Z13" s="12"/>
    </row>
    <row r="14" spans="1:26" s="9" customFormat="1" ht="32.25" customHeight="1">
      <c r="A14" s="18">
        <v>9</v>
      </c>
      <c r="B14" s="20" t="s">
        <v>343</v>
      </c>
      <c r="C14" s="12" t="s">
        <v>339</v>
      </c>
      <c r="D14" s="72" t="s">
        <v>344</v>
      </c>
      <c r="E14" s="72" t="s">
        <v>345</v>
      </c>
      <c r="F14" s="12" t="s">
        <v>345</v>
      </c>
      <c r="G14" s="11">
        <v>2</v>
      </c>
      <c r="H14" s="11">
        <v>0</v>
      </c>
      <c r="I14" s="11">
        <v>0</v>
      </c>
      <c r="J14" s="11">
        <v>0</v>
      </c>
      <c r="K14" s="71">
        <f t="shared" si="0"/>
        <v>5</v>
      </c>
      <c r="L14" s="71" t="str">
        <f t="shared" si="6"/>
        <v>45</v>
      </c>
      <c r="M14" s="71">
        <f t="shared" si="1"/>
        <v>50</v>
      </c>
      <c r="N14" s="71">
        <f t="shared" si="2"/>
        <v>40</v>
      </c>
      <c r="O14" s="11">
        <v>1</v>
      </c>
      <c r="P14" s="11">
        <v>5</v>
      </c>
      <c r="Q14" s="71">
        <f t="shared" si="3"/>
        <v>5</v>
      </c>
      <c r="R14" s="11">
        <v>40</v>
      </c>
      <c r="S14" s="11">
        <f t="shared" si="7"/>
        <v>1.6666666666666666E-2</v>
      </c>
      <c r="T14" s="11">
        <f t="shared" si="7"/>
        <v>1.6666666666666666E-2</v>
      </c>
      <c r="U14" s="11">
        <v>3</v>
      </c>
      <c r="V14" s="71">
        <f t="shared" si="8"/>
        <v>6.333333333333333</v>
      </c>
      <c r="W14" s="71">
        <f t="shared" si="4"/>
        <v>5</v>
      </c>
      <c r="X14" s="71">
        <f t="shared" si="4"/>
        <v>5</v>
      </c>
      <c r="Y14" s="71">
        <f t="shared" si="5"/>
        <v>336.66666666666669</v>
      </c>
      <c r="Z14" s="12"/>
    </row>
    <row r="15" spans="1:26" ht="23.25" customHeight="1">
      <c r="A15" s="73"/>
      <c r="B15" s="74"/>
      <c r="C15" s="74"/>
      <c r="D15" s="73"/>
      <c r="E15" s="73"/>
      <c r="F15" s="73"/>
      <c r="G15" s="73"/>
      <c r="H15" s="75"/>
      <c r="I15" s="75"/>
      <c r="J15" s="76"/>
      <c r="K15" s="76"/>
      <c r="L15" s="77"/>
      <c r="N15" s="78"/>
      <c r="O15" s="374"/>
      <c r="P15" s="374"/>
      <c r="Q15" s="374"/>
      <c r="R15" s="374"/>
      <c r="S15" s="374"/>
      <c r="U15" s="4"/>
      <c r="V15" s="79"/>
      <c r="W15" s="79"/>
      <c r="X15" s="4"/>
      <c r="Y15" s="4"/>
      <c r="Z15" s="4"/>
    </row>
    <row r="16" spans="1:26" ht="23.25" customHeight="1">
      <c r="A16" s="104" t="s">
        <v>346</v>
      </c>
      <c r="B16" s="80"/>
      <c r="C16" s="80"/>
      <c r="D16" s="81"/>
      <c r="E16" s="81"/>
      <c r="F16" s="67"/>
      <c r="G16" s="67"/>
      <c r="H16" s="65"/>
      <c r="I16" s="65"/>
      <c r="J16" s="65"/>
      <c r="K16" s="66" t="s">
        <v>347</v>
      </c>
      <c r="L16" s="82">
        <f>SUM(SUM(Y6:Y14))/(60*8)</f>
        <v>5.5947916666666666</v>
      </c>
      <c r="M16" s="83" t="s">
        <v>348</v>
      </c>
      <c r="N16" s="65"/>
      <c r="O16" s="375"/>
      <c r="P16" s="375"/>
      <c r="V16" s="78"/>
      <c r="W16" s="375"/>
      <c r="X16" s="375"/>
    </row>
    <row r="17" spans="1:26" s="67" customFormat="1" ht="19">
      <c r="A17" s="73"/>
      <c r="B17" s="74"/>
      <c r="C17" s="73"/>
      <c r="D17" s="84"/>
      <c r="E17" s="84"/>
      <c r="F17" s="84"/>
      <c r="G17" s="85"/>
      <c r="H17" s="84"/>
      <c r="I17" s="84"/>
      <c r="M17" s="86"/>
      <c r="N17" s="105"/>
      <c r="O17" s="376"/>
      <c r="P17" s="376"/>
      <c r="Q17" s="376"/>
      <c r="R17" s="376"/>
      <c r="S17" s="74"/>
      <c r="T17" s="65"/>
      <c r="U17" s="9"/>
      <c r="V17" s="78"/>
      <c r="W17" s="375"/>
      <c r="X17" s="375"/>
      <c r="Y17" s="375"/>
      <c r="Z17" s="375"/>
    </row>
    <row r="18" spans="1:26" s="67" customFormat="1" ht="19">
      <c r="A18" s="64" t="s">
        <v>349</v>
      </c>
      <c r="B18" s="64"/>
      <c r="C18" s="64"/>
      <c r="D18" s="65"/>
      <c r="E18" s="65"/>
      <c r="F18" s="65"/>
      <c r="G18" s="65"/>
      <c r="H18" s="65"/>
      <c r="I18" s="65"/>
      <c r="J18" s="65"/>
      <c r="K18" s="65"/>
      <c r="L18" s="65"/>
      <c r="W18" s="87"/>
      <c r="X18" s="65"/>
      <c r="Y18" s="65"/>
      <c r="Z18" s="65"/>
    </row>
    <row r="19" spans="1:26" s="8" customFormat="1" ht="98.25" customHeight="1">
      <c r="A19" s="14" t="s">
        <v>218</v>
      </c>
      <c r="B19" s="13" t="s">
        <v>219</v>
      </c>
      <c r="C19" s="13" t="s">
        <v>234</v>
      </c>
      <c r="D19" s="3" t="s">
        <v>256</v>
      </c>
      <c r="E19" s="13" t="s">
        <v>257</v>
      </c>
      <c r="F19" s="13" t="s">
        <v>258</v>
      </c>
      <c r="G19" s="13" t="s">
        <v>259</v>
      </c>
      <c r="H19" s="13" t="s">
        <v>260</v>
      </c>
      <c r="I19" s="13" t="s">
        <v>261</v>
      </c>
      <c r="J19" s="13" t="s">
        <v>262</v>
      </c>
      <c r="K19" s="68" t="s">
        <v>263</v>
      </c>
      <c r="L19" s="68" t="s">
        <v>264</v>
      </c>
      <c r="M19" s="68" t="s">
        <v>350</v>
      </c>
      <c r="N19" s="68" t="s">
        <v>351</v>
      </c>
      <c r="O19" s="68" t="s">
        <v>352</v>
      </c>
      <c r="P19" s="68" t="s">
        <v>271</v>
      </c>
      <c r="Q19" s="68" t="s">
        <v>272</v>
      </c>
      <c r="R19" s="68" t="s">
        <v>273</v>
      </c>
      <c r="S19" s="68" t="s">
        <v>274</v>
      </c>
      <c r="T19" s="68" t="s">
        <v>353</v>
      </c>
      <c r="U19" s="68" t="s">
        <v>354</v>
      </c>
      <c r="V19" s="68" t="s">
        <v>229</v>
      </c>
      <c r="W19" s="53"/>
      <c r="X19" s="53"/>
      <c r="Y19" s="53"/>
      <c r="Z19" s="7"/>
    </row>
    <row r="20" spans="1:26" s="8" customFormat="1" ht="31">
      <c r="A20" s="18">
        <v>1</v>
      </c>
      <c r="B20" s="20" t="s">
        <v>303</v>
      </c>
      <c r="C20" s="20" t="s">
        <v>304</v>
      </c>
      <c r="D20" s="69" t="s">
        <v>305</v>
      </c>
      <c r="E20" s="70" t="s">
        <v>306</v>
      </c>
      <c r="F20" s="20" t="s">
        <v>307</v>
      </c>
      <c r="G20" s="11">
        <v>1</v>
      </c>
      <c r="H20" s="11">
        <v>1</v>
      </c>
      <c r="I20" s="11">
        <v>1</v>
      </c>
      <c r="J20" s="11">
        <v>0</v>
      </c>
      <c r="K20" s="71">
        <f>IF(G20=1,2+(H20*2)+I20*5+J20*10,(IF(G20=2,5+(H20*2)+I20*5+J20*10,10+(H20*2)+I20*5+J20*10)))</f>
        <v>9</v>
      </c>
      <c r="L20" s="71" t="str">
        <f>IF(G20=1,"30",(IF(G20=2,"45","60")))</f>
        <v>30</v>
      </c>
      <c r="M20" s="71">
        <f>K20+L20</f>
        <v>39</v>
      </c>
      <c r="N20" s="71">
        <f>IF(G20=1,O20*0.5,(IF(G20=2,O20*1,O20*1.5)))</f>
        <v>25</v>
      </c>
      <c r="O20" s="11">
        <v>50</v>
      </c>
      <c r="P20" s="11">
        <f>1/60</f>
        <v>1.6666666666666666E-2</v>
      </c>
      <c r="Q20" s="11">
        <f>1/60</f>
        <v>1.6666666666666666E-2</v>
      </c>
      <c r="R20" s="11">
        <v>1</v>
      </c>
      <c r="S20" s="71">
        <f>O20*P20+O20*Q20+2+R20</f>
        <v>4.666666666666667</v>
      </c>
      <c r="T20" s="88" t="s">
        <v>355</v>
      </c>
      <c r="U20" s="71">
        <f>IF(T20="1",SUM(N20*5,S20*5),IF(T20="0",SUM(M20,N20*5,S20*5),"0"))</f>
        <v>148.33333333333334</v>
      </c>
      <c r="V20" s="20"/>
      <c r="W20" s="380"/>
      <c r="X20" s="379"/>
      <c r="Y20" s="379"/>
      <c r="Z20" s="379"/>
    </row>
    <row r="21" spans="1:26" s="8" customFormat="1">
      <c r="A21" s="18">
        <v>2</v>
      </c>
      <c r="B21" s="20" t="s">
        <v>308</v>
      </c>
      <c r="C21" s="12" t="s">
        <v>309</v>
      </c>
      <c r="D21" s="72" t="s">
        <v>310</v>
      </c>
      <c r="E21" s="72" t="s">
        <v>311</v>
      </c>
      <c r="F21" s="12" t="s">
        <v>312</v>
      </c>
      <c r="G21" s="11">
        <v>2</v>
      </c>
      <c r="H21" s="11">
        <v>0</v>
      </c>
      <c r="I21" s="11">
        <v>0</v>
      </c>
      <c r="J21" s="11">
        <v>0</v>
      </c>
      <c r="K21" s="71">
        <f>IF(G21=1,2+(H21*2)+I21*5+J21*10,(IF(G21=2,5+(H21*2)+I21*5+J21*10,10+(H21*2)+I21*5+J21*10)))</f>
        <v>5</v>
      </c>
      <c r="L21" s="71" t="str">
        <f>IF(G21=1,"30",(IF(G21=2,"45","60")))</f>
        <v>45</v>
      </c>
      <c r="M21" s="71">
        <f>K21+L21</f>
        <v>50</v>
      </c>
      <c r="N21" s="71">
        <f>IF(G21=1,O21*0.5,(IF(G21=2,O21*1,O21*1.5)))</f>
        <v>40</v>
      </c>
      <c r="O21" s="11">
        <v>40</v>
      </c>
      <c r="P21" s="11">
        <f>1/60</f>
        <v>1.6666666666666666E-2</v>
      </c>
      <c r="Q21" s="11">
        <f>1/60</f>
        <v>1.6666666666666666E-2</v>
      </c>
      <c r="R21" s="11">
        <v>3</v>
      </c>
      <c r="S21" s="71">
        <f>O21*P21+O21*Q21+2+R21</f>
        <v>6.333333333333333</v>
      </c>
      <c r="T21" s="88" t="s">
        <v>355</v>
      </c>
      <c r="U21" s="71">
        <f>IF(T21="1",SUM(N21*5,S21*5),IF(T21="0",SUM(M21,N21*5,S21*5),"0"))</f>
        <v>231.66666666666666</v>
      </c>
      <c r="V21" s="20"/>
      <c r="W21" s="380"/>
      <c r="X21" s="379"/>
      <c r="Y21" s="379"/>
      <c r="Z21" s="379"/>
    </row>
    <row r="22" spans="1:26" ht="23.25" customHeight="1">
      <c r="A22" s="73"/>
      <c r="B22" s="74"/>
      <c r="C22" s="74"/>
      <c r="D22" s="73"/>
      <c r="E22" s="73"/>
      <c r="F22" s="73"/>
      <c r="G22" s="73"/>
      <c r="H22" s="75"/>
      <c r="I22" s="75"/>
      <c r="J22" s="76"/>
      <c r="K22" s="76"/>
      <c r="L22" s="77"/>
      <c r="N22" s="78"/>
      <c r="O22" s="381"/>
      <c r="P22" s="381"/>
      <c r="Q22" s="381"/>
      <c r="R22" s="381"/>
      <c r="S22" s="381"/>
      <c r="T22" s="381"/>
    </row>
    <row r="23" spans="1:26" ht="23.25" customHeight="1">
      <c r="A23" s="382" t="s">
        <v>356</v>
      </c>
      <c r="B23" s="382"/>
      <c r="C23" s="382"/>
      <c r="D23" s="382"/>
      <c r="E23" s="382"/>
      <c r="F23" s="382"/>
      <c r="G23" s="382"/>
      <c r="H23" s="66" t="s">
        <v>347</v>
      </c>
      <c r="I23" s="82">
        <f>SUM(SUM(U20:U21))/(60*8)+(5+5*5+5*5)/(60*8)</f>
        <v>0.90625</v>
      </c>
      <c r="J23" s="83" t="s">
        <v>348</v>
      </c>
      <c r="N23" s="78"/>
      <c r="O23" s="375"/>
      <c r="P23" s="375"/>
      <c r="Q23" s="375"/>
      <c r="R23" s="375"/>
      <c r="S23" s="375"/>
      <c r="T23" s="383"/>
      <c r="U23" s="383"/>
      <c r="V23" s="383"/>
      <c r="W23" s="383"/>
      <c r="X23" s="383"/>
    </row>
    <row r="24" spans="1:26" ht="23.25" customHeight="1">
      <c r="A24" s="73"/>
      <c r="B24" s="74"/>
      <c r="C24" s="73"/>
      <c r="D24" s="84"/>
      <c r="E24" s="84"/>
      <c r="F24" s="84"/>
      <c r="G24" s="85"/>
      <c r="H24" s="84"/>
      <c r="I24" s="84"/>
      <c r="J24" s="67"/>
      <c r="K24" s="67"/>
      <c r="L24" s="67"/>
      <c r="M24" s="86"/>
      <c r="N24" s="105"/>
      <c r="O24" s="105"/>
      <c r="P24" s="105"/>
      <c r="Q24" s="105"/>
      <c r="R24" s="105"/>
      <c r="S24" s="105"/>
      <c r="T24" s="105"/>
      <c r="U24" s="105"/>
    </row>
    <row r="25" spans="1:26" ht="23.25" customHeight="1">
      <c r="B25" s="53"/>
      <c r="C25" s="53"/>
      <c r="D25" s="53"/>
      <c r="E25" s="53"/>
      <c r="F25" s="53"/>
      <c r="G25" s="53"/>
      <c r="H25" s="53"/>
      <c r="I25" s="53"/>
      <c r="J25" s="53"/>
    </row>
    <row r="26" spans="1:26" s="67" customFormat="1" ht="19">
      <c r="A26" s="67" t="s">
        <v>357</v>
      </c>
      <c r="F26" s="67">
        <v>240</v>
      </c>
      <c r="G26" s="53" t="s">
        <v>358</v>
      </c>
    </row>
    <row r="27" spans="1:26" s="67" customFormat="1" ht="133.5" customHeight="1">
      <c r="A27" s="377" t="s">
        <v>359</v>
      </c>
      <c r="B27" s="377"/>
      <c r="C27" s="377"/>
      <c r="D27" s="377"/>
      <c r="E27" s="377"/>
      <c r="F27" s="377"/>
      <c r="G27" s="377"/>
      <c r="H27" s="89">
        <v>960</v>
      </c>
      <c r="I27" s="53" t="s">
        <v>358</v>
      </c>
      <c r="L27" s="89"/>
      <c r="M27" s="89"/>
      <c r="N27" s="89"/>
      <c r="O27" s="89"/>
      <c r="P27" s="89"/>
      <c r="Q27" s="65"/>
      <c r="R27" s="65"/>
      <c r="S27" s="65"/>
      <c r="T27" s="65"/>
      <c r="U27" s="65"/>
      <c r="V27" s="65"/>
      <c r="W27" s="65"/>
      <c r="X27" s="65"/>
      <c r="Y27" s="65"/>
      <c r="Z27" s="65"/>
    </row>
    <row r="28" spans="1:26" s="67" customFormat="1" ht="23.25" customHeight="1">
      <c r="A28" s="67" t="s">
        <v>360</v>
      </c>
      <c r="E28" s="67">
        <f>SUM(F30:F38)</f>
        <v>240</v>
      </c>
      <c r="F28" s="90" t="s">
        <v>361</v>
      </c>
      <c r="G28" s="91"/>
      <c r="H28" s="92"/>
      <c r="I28" s="91"/>
      <c r="J28" s="90"/>
      <c r="L28" s="89"/>
      <c r="M28" s="89"/>
      <c r="N28" s="89"/>
      <c r="O28" s="89"/>
      <c r="P28" s="89"/>
      <c r="Q28" s="65"/>
      <c r="R28" s="65"/>
      <c r="S28" s="65"/>
      <c r="T28" s="65"/>
      <c r="U28" s="65"/>
      <c r="V28" s="65"/>
      <c r="W28" s="65"/>
      <c r="X28" s="65"/>
      <c r="Y28" s="65"/>
      <c r="Z28" s="65"/>
    </row>
    <row r="29" spans="1:26" s="67" customFormat="1" ht="23.25" customHeight="1">
      <c r="A29" s="93"/>
      <c r="B29" s="93" t="s">
        <v>362</v>
      </c>
      <c r="C29" s="93"/>
      <c r="D29" s="93"/>
      <c r="E29" s="93" t="s">
        <v>363</v>
      </c>
      <c r="F29" s="93" t="s">
        <v>364</v>
      </c>
      <c r="G29" s="53"/>
      <c r="H29" s="89"/>
      <c r="I29" s="53"/>
      <c r="L29" s="89"/>
      <c r="M29" s="89"/>
      <c r="N29" s="89"/>
      <c r="O29" s="89"/>
      <c r="P29" s="89"/>
      <c r="Q29" s="65"/>
      <c r="R29" s="65"/>
      <c r="S29" s="65"/>
      <c r="T29" s="65"/>
      <c r="U29" s="65"/>
      <c r="V29" s="65"/>
      <c r="W29" s="65"/>
      <c r="X29" s="65"/>
      <c r="Y29" s="65"/>
      <c r="Z29" s="65"/>
    </row>
    <row r="30" spans="1:26" s="67" customFormat="1" ht="23.25" customHeight="1">
      <c r="B30" s="20" t="s">
        <v>307</v>
      </c>
      <c r="E30" s="72">
        <v>3</v>
      </c>
      <c r="F30" s="75">
        <f>E30*10</f>
        <v>30</v>
      </c>
      <c r="G30" s="53"/>
      <c r="H30" s="89"/>
      <c r="I30" s="53"/>
      <c r="L30" s="89"/>
      <c r="M30" s="89"/>
      <c r="N30" s="89"/>
      <c r="O30" s="89"/>
      <c r="P30" s="89"/>
      <c r="Q30" s="65"/>
      <c r="R30" s="65"/>
      <c r="S30" s="65"/>
      <c r="T30" s="65"/>
      <c r="U30" s="65"/>
      <c r="V30" s="65"/>
      <c r="W30" s="65"/>
      <c r="X30" s="65"/>
      <c r="Y30" s="65"/>
      <c r="Z30" s="65"/>
    </row>
    <row r="31" spans="1:26" s="67" customFormat="1" ht="23.25" customHeight="1">
      <c r="B31" s="12" t="s">
        <v>312</v>
      </c>
      <c r="E31" s="72">
        <v>4</v>
      </c>
      <c r="F31" s="75">
        <f t="shared" ref="F31:F38" si="9">E31*10</f>
        <v>40</v>
      </c>
      <c r="G31" s="53"/>
      <c r="H31" s="89"/>
      <c r="I31" s="53"/>
      <c r="L31" s="89"/>
      <c r="M31" s="89"/>
      <c r="N31" s="89"/>
      <c r="O31" s="89"/>
      <c r="P31" s="89"/>
      <c r="Q31" s="65"/>
      <c r="R31" s="65"/>
      <c r="S31" s="65"/>
      <c r="T31" s="65"/>
      <c r="U31" s="65"/>
      <c r="V31" s="65"/>
      <c r="W31" s="65"/>
      <c r="X31" s="65"/>
      <c r="Y31" s="65"/>
      <c r="Z31" s="65"/>
    </row>
    <row r="32" spans="1:26" s="67" customFormat="1" ht="23.25" customHeight="1">
      <c r="B32" s="12" t="s">
        <v>317</v>
      </c>
      <c r="E32" s="72">
        <v>2</v>
      </c>
      <c r="F32" s="75">
        <f t="shared" si="9"/>
        <v>20</v>
      </c>
      <c r="G32" s="53"/>
      <c r="H32" s="89"/>
      <c r="I32" s="53"/>
      <c r="L32" s="89"/>
      <c r="M32" s="89"/>
      <c r="N32" s="89"/>
      <c r="O32" s="89"/>
      <c r="P32" s="89"/>
      <c r="Q32" s="65"/>
      <c r="R32" s="65"/>
      <c r="S32" s="65"/>
      <c r="T32" s="65"/>
      <c r="U32" s="65"/>
      <c r="V32" s="65"/>
      <c r="W32" s="65"/>
      <c r="X32" s="65"/>
      <c r="Y32" s="65"/>
      <c r="Z32" s="65"/>
    </row>
    <row r="33" spans="1:26" s="67" customFormat="1" ht="23.25" customHeight="1">
      <c r="B33" s="12" t="s">
        <v>322</v>
      </c>
      <c r="E33" s="72">
        <v>1</v>
      </c>
      <c r="F33" s="75">
        <f t="shared" si="9"/>
        <v>10</v>
      </c>
      <c r="G33" s="53"/>
      <c r="H33" s="89"/>
      <c r="I33" s="53"/>
      <c r="L33" s="89"/>
      <c r="M33" s="89"/>
      <c r="N33" s="89"/>
      <c r="O33" s="89"/>
      <c r="P33" s="89"/>
      <c r="Q33" s="65"/>
      <c r="R33" s="65"/>
      <c r="S33" s="65"/>
      <c r="T33" s="65"/>
      <c r="U33" s="65"/>
      <c r="V33" s="65"/>
      <c r="W33" s="65"/>
      <c r="X33" s="65"/>
      <c r="Y33" s="65"/>
      <c r="Z33" s="65"/>
    </row>
    <row r="34" spans="1:26" s="67" customFormat="1" ht="23.25" customHeight="1">
      <c r="B34" s="12" t="s">
        <v>327</v>
      </c>
      <c r="E34" s="72">
        <v>5</v>
      </c>
      <c r="F34" s="75">
        <f t="shared" si="9"/>
        <v>50</v>
      </c>
      <c r="G34" s="53"/>
      <c r="H34" s="89"/>
      <c r="I34" s="53"/>
      <c r="L34" s="89"/>
      <c r="M34" s="89"/>
      <c r="N34" s="89"/>
      <c r="O34" s="89"/>
      <c r="P34" s="89"/>
      <c r="Q34" s="65"/>
      <c r="R34" s="65"/>
      <c r="S34" s="65"/>
      <c r="T34" s="65"/>
      <c r="U34" s="65"/>
      <c r="V34" s="65"/>
      <c r="W34" s="65"/>
      <c r="X34" s="65"/>
      <c r="Y34" s="65"/>
      <c r="Z34" s="65"/>
    </row>
    <row r="35" spans="1:26" s="67" customFormat="1" ht="23.25" customHeight="1">
      <c r="B35" s="12" t="s">
        <v>332</v>
      </c>
      <c r="E35" s="72">
        <v>2</v>
      </c>
      <c r="F35" s="75">
        <f t="shared" si="9"/>
        <v>20</v>
      </c>
      <c r="G35" s="53"/>
      <c r="H35" s="89"/>
      <c r="I35" s="53"/>
      <c r="L35" s="89"/>
      <c r="M35" s="89"/>
      <c r="N35" s="89"/>
      <c r="O35" s="89"/>
      <c r="P35" s="89"/>
      <c r="Q35" s="65"/>
      <c r="R35" s="65"/>
      <c r="S35" s="65"/>
      <c r="T35" s="65"/>
      <c r="U35" s="65"/>
      <c r="V35" s="65"/>
      <c r="W35" s="65"/>
      <c r="X35" s="65"/>
      <c r="Y35" s="65"/>
      <c r="Z35" s="65"/>
    </row>
    <row r="36" spans="1:26" s="67" customFormat="1" ht="23.25" customHeight="1">
      <c r="B36" s="12" t="s">
        <v>337</v>
      </c>
      <c r="E36" s="72">
        <v>3</v>
      </c>
      <c r="F36" s="75">
        <f t="shared" si="9"/>
        <v>30</v>
      </c>
      <c r="G36" s="53"/>
      <c r="H36" s="89"/>
      <c r="I36" s="53"/>
      <c r="L36" s="89"/>
      <c r="M36" s="89"/>
      <c r="N36" s="89"/>
      <c r="O36" s="89"/>
      <c r="P36" s="89"/>
      <c r="Q36" s="65"/>
      <c r="R36" s="65"/>
      <c r="S36" s="65"/>
      <c r="T36" s="65"/>
      <c r="U36" s="65"/>
      <c r="V36" s="65"/>
      <c r="W36" s="65"/>
      <c r="X36" s="65"/>
      <c r="Y36" s="65"/>
      <c r="Z36" s="65"/>
    </row>
    <row r="37" spans="1:26" s="67" customFormat="1" ht="23.25" customHeight="1">
      <c r="B37" s="12" t="s">
        <v>342</v>
      </c>
      <c r="E37" s="72">
        <v>2</v>
      </c>
      <c r="F37" s="75">
        <f t="shared" si="9"/>
        <v>20</v>
      </c>
      <c r="G37" s="53"/>
      <c r="H37" s="89"/>
      <c r="I37" s="53"/>
      <c r="L37" s="89"/>
      <c r="M37" s="89"/>
      <c r="N37" s="89"/>
      <c r="O37" s="89"/>
      <c r="P37" s="89"/>
      <c r="Q37" s="65"/>
      <c r="R37" s="65"/>
      <c r="S37" s="65"/>
      <c r="T37" s="65"/>
      <c r="U37" s="65"/>
      <c r="V37" s="65"/>
      <c r="W37" s="65"/>
      <c r="X37" s="65"/>
      <c r="Y37" s="65"/>
      <c r="Z37" s="65"/>
    </row>
    <row r="38" spans="1:26" s="67" customFormat="1" ht="33" customHeight="1">
      <c r="B38" s="12" t="s">
        <v>345</v>
      </c>
      <c r="E38" s="72">
        <v>2</v>
      </c>
      <c r="F38" s="75">
        <f t="shared" si="9"/>
        <v>20</v>
      </c>
      <c r="G38" s="53"/>
      <c r="H38" s="89"/>
      <c r="I38" s="53"/>
      <c r="L38" s="89"/>
      <c r="M38" s="89"/>
      <c r="N38" s="89"/>
      <c r="O38" s="89"/>
      <c r="P38" s="89"/>
      <c r="Q38" s="65"/>
      <c r="R38" s="65"/>
      <c r="S38" s="65"/>
      <c r="T38" s="65"/>
      <c r="U38" s="65"/>
      <c r="V38" s="65"/>
      <c r="W38" s="65"/>
      <c r="X38" s="65"/>
      <c r="Y38" s="65"/>
      <c r="Z38" s="65"/>
    </row>
    <row r="39" spans="1:26" s="67" customFormat="1" ht="23.25" customHeight="1">
      <c r="B39" s="53"/>
      <c r="C39" s="53"/>
      <c r="D39" s="53"/>
      <c r="E39" s="53"/>
      <c r="F39" s="75"/>
      <c r="G39" s="53"/>
      <c r="H39" s="89"/>
      <c r="I39" s="53"/>
      <c r="L39" s="89"/>
      <c r="M39" s="89"/>
      <c r="N39" s="89"/>
      <c r="O39" s="89"/>
      <c r="P39" s="89"/>
      <c r="Q39" s="65"/>
      <c r="R39" s="65"/>
      <c r="S39" s="65"/>
      <c r="T39" s="65"/>
      <c r="U39" s="65"/>
      <c r="V39" s="65"/>
      <c r="W39" s="65"/>
      <c r="X39" s="65"/>
      <c r="Y39" s="65"/>
      <c r="Z39" s="65"/>
    </row>
    <row r="40" spans="1:26" ht="23.25" customHeight="1">
      <c r="A40" s="80" t="s">
        <v>365</v>
      </c>
      <c r="B40" s="80"/>
      <c r="C40" s="80"/>
      <c r="D40" s="81"/>
      <c r="E40" s="81"/>
      <c r="F40" s="94">
        <f>SUM((F26+H27+E28)/(60*8)+L16+I23)</f>
        <v>9.5010416666666657</v>
      </c>
      <c r="G40" s="81" t="s">
        <v>348</v>
      </c>
      <c r="H40" s="65"/>
      <c r="I40" s="53"/>
      <c r="J40" s="53"/>
    </row>
    <row r="41" spans="1:26" ht="44.25" customHeight="1">
      <c r="A41" s="80" t="s">
        <v>366</v>
      </c>
      <c r="B41" s="80"/>
      <c r="C41" s="80"/>
      <c r="D41" s="53"/>
      <c r="E41" s="53"/>
      <c r="F41" s="378" t="s">
        <v>367</v>
      </c>
      <c r="G41" s="378"/>
      <c r="H41" s="378"/>
      <c r="I41" s="378"/>
      <c r="J41" s="378"/>
    </row>
    <row r="42" spans="1:26" ht="23.25" customHeight="1">
      <c r="B42" s="53"/>
      <c r="C42" s="53"/>
      <c r="D42" s="53"/>
      <c r="E42" s="53"/>
      <c r="F42" s="53"/>
      <c r="G42" s="53"/>
      <c r="H42" s="53"/>
      <c r="I42" s="53"/>
      <c r="J42" s="53"/>
    </row>
    <row r="43" spans="1:26" ht="23.25" customHeight="1">
      <c r="B43" s="53"/>
      <c r="C43" s="53"/>
      <c r="D43" s="53"/>
      <c r="E43" s="53"/>
      <c r="F43" s="53"/>
      <c r="G43" s="53"/>
      <c r="H43" s="53"/>
      <c r="I43" s="53"/>
      <c r="J43" s="53"/>
    </row>
    <row r="44" spans="1:26" ht="23.25" customHeight="1">
      <c r="B44" s="53"/>
      <c r="C44" s="53"/>
      <c r="D44" s="53"/>
      <c r="E44" s="53"/>
      <c r="F44" s="53"/>
      <c r="G44" s="53"/>
      <c r="H44" s="53"/>
      <c r="I44" s="53"/>
      <c r="J44" s="53"/>
    </row>
    <row r="45" spans="1:26" ht="23.25" customHeight="1">
      <c r="B45" s="53"/>
      <c r="C45" s="53"/>
      <c r="D45" s="53"/>
      <c r="E45" s="53"/>
      <c r="F45" s="53"/>
      <c r="G45" s="53"/>
      <c r="H45" s="53"/>
      <c r="I45" s="53"/>
      <c r="J45" s="53"/>
    </row>
    <row r="46" spans="1:26" ht="23.25" customHeight="1">
      <c r="B46" s="53"/>
      <c r="C46" s="53"/>
      <c r="D46" s="53"/>
      <c r="E46" s="53"/>
      <c r="F46" s="53"/>
      <c r="G46" s="53"/>
      <c r="H46" s="53"/>
      <c r="I46" s="53"/>
      <c r="J46" s="53"/>
    </row>
    <row r="47" spans="1:26" ht="23.25" customHeight="1">
      <c r="B47" s="53"/>
      <c r="C47" s="53"/>
      <c r="D47" s="53"/>
      <c r="E47" s="53"/>
      <c r="F47" s="53"/>
      <c r="G47" s="53"/>
      <c r="H47" s="53"/>
      <c r="I47" s="53"/>
      <c r="J47" s="53"/>
    </row>
    <row r="48" spans="1:26" ht="23.25" customHeight="1">
      <c r="B48" s="53"/>
      <c r="C48" s="53"/>
      <c r="D48" s="53"/>
      <c r="E48" s="53"/>
      <c r="F48" s="53"/>
      <c r="G48" s="53"/>
      <c r="H48" s="53"/>
      <c r="I48" s="53"/>
      <c r="J48" s="53"/>
    </row>
    <row r="49" spans="1:26" ht="23.25" customHeight="1">
      <c r="B49" s="53"/>
      <c r="C49" s="53"/>
      <c r="D49" s="53"/>
      <c r="E49" s="53"/>
      <c r="F49" s="53"/>
      <c r="G49" s="53"/>
      <c r="H49" s="53"/>
      <c r="I49" s="53"/>
      <c r="J49" s="53"/>
    </row>
    <row r="50" spans="1:26" ht="23.25" customHeight="1">
      <c r="A50" s="4"/>
      <c r="B50" s="53"/>
      <c r="C50" s="53"/>
      <c r="D50" s="53"/>
      <c r="E50" s="53"/>
      <c r="F50" s="53"/>
      <c r="G50" s="53"/>
      <c r="H50" s="53"/>
      <c r="I50" s="53"/>
      <c r="J50" s="53"/>
    </row>
    <row r="51" spans="1:26" ht="23.25" customHeight="1">
      <c r="A51" s="4"/>
      <c r="B51" s="53"/>
      <c r="C51" s="53"/>
      <c r="D51" s="53"/>
      <c r="E51" s="53"/>
      <c r="F51" s="53"/>
      <c r="G51" s="53"/>
      <c r="H51" s="53"/>
      <c r="I51" s="53"/>
      <c r="J51" s="53"/>
    </row>
    <row r="52" spans="1:26" ht="23.25" customHeight="1">
      <c r="A52" s="4"/>
      <c r="B52" s="53"/>
      <c r="C52" s="53"/>
      <c r="D52" s="53"/>
      <c r="E52" s="53"/>
      <c r="F52" s="53"/>
      <c r="G52" s="53"/>
      <c r="H52" s="53"/>
      <c r="I52" s="53"/>
      <c r="J52" s="53"/>
    </row>
    <row r="53" spans="1:26">
      <c r="A53" s="4"/>
      <c r="D53" s="19"/>
      <c r="E53" s="10"/>
      <c r="K53" s="21"/>
      <c r="L53" s="21"/>
      <c r="M53" s="21"/>
      <c r="N53" s="21"/>
      <c r="P53" s="21"/>
      <c r="Q53" s="21"/>
      <c r="R53" s="21"/>
      <c r="S53" s="21"/>
      <c r="T53" s="21"/>
      <c r="U53" s="21"/>
      <c r="V53" s="21"/>
      <c r="W53" s="21"/>
      <c r="X53" s="21"/>
      <c r="Y53" s="21"/>
      <c r="Z53" s="21"/>
    </row>
    <row r="54" spans="1:26" ht="63.75" customHeight="1">
      <c r="A54" s="4"/>
      <c r="B54" s="379"/>
      <c r="C54" s="379"/>
      <c r="D54" s="379"/>
      <c r="E54" s="379"/>
      <c r="F54" s="379"/>
      <c r="G54" s="53"/>
      <c r="H54" s="53"/>
      <c r="I54" s="53"/>
      <c r="J54" s="53"/>
    </row>
    <row r="55" spans="1:26">
      <c r="A55" s="4"/>
      <c r="C55" s="75"/>
      <c r="D55" s="75"/>
      <c r="E55" s="73"/>
      <c r="F55" s="4"/>
      <c r="G55" s="4"/>
      <c r="H55" s="4"/>
      <c r="I55" s="4"/>
      <c r="J55" s="4"/>
      <c r="K55" s="4"/>
      <c r="L55" s="4"/>
      <c r="M55" s="4"/>
      <c r="N55" s="4"/>
      <c r="O55" s="4"/>
      <c r="P55" s="4"/>
      <c r="Q55" s="4"/>
      <c r="R55" s="4"/>
      <c r="S55" s="4"/>
      <c r="T55" s="4"/>
      <c r="U55" s="4"/>
      <c r="V55" s="4"/>
      <c r="W55" s="4"/>
      <c r="X55" s="4"/>
      <c r="Y55" s="4"/>
      <c r="Z55" s="4"/>
    </row>
    <row r="56" spans="1:26" ht="34.75" customHeight="1">
      <c r="A56" s="4"/>
      <c r="C56" s="75"/>
      <c r="D56" s="95">
        <v>1</v>
      </c>
      <c r="E56" s="73"/>
    </row>
    <row r="57" spans="1:26">
      <c r="A57" s="4"/>
      <c r="C57" s="75"/>
      <c r="D57" s="95">
        <v>2</v>
      </c>
      <c r="E57" s="73"/>
      <c r="F57" s="96"/>
      <c r="G57" s="96" t="s">
        <v>307</v>
      </c>
    </row>
    <row r="58" spans="1:26" ht="36" customHeight="1">
      <c r="A58" s="4"/>
      <c r="C58" s="75"/>
      <c r="D58" s="95">
        <v>3</v>
      </c>
      <c r="E58" s="73"/>
      <c r="F58" s="96"/>
      <c r="G58" s="96" t="s">
        <v>312</v>
      </c>
    </row>
    <row r="59" spans="1:26">
      <c r="A59" s="4"/>
      <c r="C59" s="75"/>
      <c r="D59" s="75"/>
      <c r="E59" s="73"/>
      <c r="F59" s="96"/>
      <c r="G59" s="96" t="s">
        <v>317</v>
      </c>
    </row>
    <row r="60" spans="1:26">
      <c r="A60" s="4"/>
      <c r="C60" s="75"/>
      <c r="D60" s="75"/>
      <c r="E60" s="73"/>
      <c r="F60" s="96"/>
      <c r="G60" s="96" t="s">
        <v>322</v>
      </c>
    </row>
    <row r="61" spans="1:26" ht="31">
      <c r="A61" s="4"/>
      <c r="C61" s="75"/>
      <c r="D61" s="75"/>
      <c r="E61" s="73"/>
      <c r="F61" s="96"/>
      <c r="G61" s="96" t="s">
        <v>332</v>
      </c>
    </row>
    <row r="62" spans="1:26">
      <c r="A62" s="4"/>
      <c r="C62" s="75"/>
      <c r="D62" s="75"/>
      <c r="E62" s="73"/>
      <c r="F62" s="96"/>
      <c r="G62" s="96" t="s">
        <v>327</v>
      </c>
    </row>
    <row r="63" spans="1:26">
      <c r="A63" s="4"/>
      <c r="C63" s="75"/>
      <c r="D63" s="75"/>
      <c r="E63" s="73"/>
      <c r="F63" s="96"/>
      <c r="G63" s="96" t="s">
        <v>337</v>
      </c>
    </row>
    <row r="64" spans="1:26">
      <c r="A64" s="4"/>
      <c r="C64" s="75"/>
      <c r="D64" s="75"/>
      <c r="E64" s="73"/>
      <c r="F64" s="96"/>
      <c r="G64" s="96" t="s">
        <v>342</v>
      </c>
    </row>
    <row r="65" spans="1:7" ht="46.5">
      <c r="A65" s="4"/>
      <c r="F65" s="96"/>
      <c r="G65" s="96" t="s">
        <v>345</v>
      </c>
    </row>
  </sheetData>
  <mergeCells count="15">
    <mergeCell ref="A27:G27"/>
    <mergeCell ref="F41:J41"/>
    <mergeCell ref="B54:F54"/>
    <mergeCell ref="W20:Z20"/>
    <mergeCell ref="W21:Z21"/>
    <mergeCell ref="O22:T22"/>
    <mergeCell ref="A23:G23"/>
    <mergeCell ref="O23:S23"/>
    <mergeCell ref="T23:X23"/>
    <mergeCell ref="X3:Z3"/>
    <mergeCell ref="O15:S15"/>
    <mergeCell ref="O16:P16"/>
    <mergeCell ref="W16:X16"/>
    <mergeCell ref="O17:R17"/>
    <mergeCell ref="W17:Z17"/>
  </mergeCells>
  <conditionalFormatting sqref="H18:H933">
    <cfRule type="cellIs" dxfId="11" priority="12" stopIfTrue="1" operator="equal">
      <formula>" "</formula>
    </cfRule>
  </conditionalFormatting>
  <conditionalFormatting sqref="L6:N14">
    <cfRule type="cellIs" dxfId="10" priority="2" stopIfTrue="1" operator="equal">
      <formula>" "</formula>
    </cfRule>
  </conditionalFormatting>
  <conditionalFormatting sqref="S4:T5 H6:H15 K15:N15 T15:T17 H16:K16 N16 Q16:S16 Y16:Z16 U16:W17 M17:N17 K18:L18 X18:Z18 Z19 K19:U21 U22:U23 K22:N25 V22:Z25 T23 P25:U25 M26:M39 K40:N907 P40:Z907">
    <cfRule type="cellIs" dxfId="9" priority="4" stopIfTrue="1" operator="equal">
      <formula>" "</formula>
    </cfRule>
  </conditionalFormatting>
  <conditionalFormatting sqref="X6:X14">
    <cfRule type="cellIs" dxfId="8" priority="1" stopIfTrue="1" operator="equal">
      <formula>" "</formula>
    </cfRule>
  </conditionalFormatting>
  <dataValidations count="4">
    <dataValidation type="list" allowBlank="1" showInputMessage="1" showErrorMessage="1" sqref="F20 B30" xr:uid="{00000000-0002-0000-0600-000000000000}">
      <formula1>$G$24:$G$27</formula1>
    </dataValidation>
    <dataValidation type="list" allowBlank="1" showInputMessage="1" showErrorMessage="1" sqref="G20" xr:uid="{00000000-0002-0000-0600-000001000000}">
      <formula1>$D$52:$D$54</formula1>
    </dataValidation>
    <dataValidation type="list" allowBlank="1" showInputMessage="1" showErrorMessage="1" sqref="G21 G6:G14" xr:uid="{00000000-0002-0000-0600-000002000000}">
      <formula1>$D$56:$D$58</formula1>
    </dataValidation>
    <dataValidation type="list" allowBlank="1" showInputMessage="1" showErrorMessage="1" sqref="F21 F6:F14 B31:B38" xr:uid="{00000000-0002-0000-0600-000003000000}">
      <formula1>$G$57:$G$65</formula1>
    </dataValidation>
  </dataValidations>
  <pageMargins left="0.7" right="0.7" top="0.75" bottom="0.75" header="0.3" footer="0.3"/>
  <pageSetup orientation="landscape" horizontalDpi="300" verticalDpi="300" r:id="rId1"/>
  <headerFooter>
    <oddFooter>&amp;LBM.11.Qt.09.QLCL.03&amp;CLần ban hành:     /Ngày&amp;R&amp;P/&amp;N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40"/>
  <sheetViews>
    <sheetView topLeftCell="A28" zoomScale="85" zoomScaleNormal="85" workbookViewId="0">
      <selection activeCell="F26" sqref="F26"/>
    </sheetView>
  </sheetViews>
  <sheetFormatPr defaultColWidth="9.1796875" defaultRowHeight="12.5"/>
  <cols>
    <col min="1" max="1" width="6.54296875" style="106" customWidth="1"/>
    <col min="2" max="4" width="9.1796875" style="106"/>
    <col min="5" max="5" width="14" style="106" customWidth="1"/>
    <col min="6" max="16384" width="9.1796875" style="106"/>
  </cols>
  <sheetData>
    <row r="2" spans="2:2" ht="20">
      <c r="B2" s="107" t="s">
        <v>368</v>
      </c>
    </row>
    <row r="3" spans="2:2" ht="20">
      <c r="B3" s="107"/>
    </row>
    <row r="4" spans="2:2" ht="17.5">
      <c r="B4" s="108" t="s">
        <v>369</v>
      </c>
    </row>
    <row r="5" spans="2:2">
      <c r="B5" s="109" t="s">
        <v>370</v>
      </c>
    </row>
    <row r="6" spans="2:2">
      <c r="B6" s="109" t="s">
        <v>371</v>
      </c>
    </row>
    <row r="7" spans="2:2">
      <c r="B7" s="109" t="s">
        <v>372</v>
      </c>
    </row>
    <row r="8" spans="2:2">
      <c r="B8" s="106" t="s">
        <v>373</v>
      </c>
    </row>
    <row r="10" spans="2:2" ht="17.5">
      <c r="B10" s="108" t="s">
        <v>374</v>
      </c>
    </row>
    <row r="11" spans="2:2">
      <c r="B11" s="106" t="s">
        <v>375</v>
      </c>
    </row>
    <row r="12" spans="2:2">
      <c r="B12" s="106" t="s">
        <v>376</v>
      </c>
    </row>
    <row r="13" spans="2:2">
      <c r="B13" s="106" t="s">
        <v>377</v>
      </c>
    </row>
    <row r="16" spans="2:2">
      <c r="B16" s="106" t="s">
        <v>378</v>
      </c>
    </row>
    <row r="17" spans="2:2">
      <c r="B17" s="106" t="s">
        <v>379</v>
      </c>
    </row>
    <row r="20" spans="2:2">
      <c r="B20" s="106" t="s">
        <v>380</v>
      </c>
    </row>
    <row r="21" spans="2:2">
      <c r="B21" s="106" t="s">
        <v>381</v>
      </c>
    </row>
    <row r="22" spans="2:2">
      <c r="B22" s="106" t="s">
        <v>382</v>
      </c>
    </row>
    <row r="25" spans="2:2">
      <c r="B25" s="106" t="s">
        <v>383</v>
      </c>
    </row>
    <row r="26" spans="2:2">
      <c r="B26" s="106" t="s">
        <v>384</v>
      </c>
    </row>
    <row r="27" spans="2:2">
      <c r="B27" s="106" t="s">
        <v>385</v>
      </c>
    </row>
    <row r="30" spans="2:2">
      <c r="B30" s="106" t="s">
        <v>386</v>
      </c>
    </row>
    <row r="31" spans="2:2">
      <c r="B31" s="106" t="s">
        <v>387</v>
      </c>
    </row>
    <row r="32" spans="2:2">
      <c r="B32" s="106" t="s">
        <v>388</v>
      </c>
    </row>
    <row r="33" spans="2:12">
      <c r="B33" s="106" t="s">
        <v>389</v>
      </c>
    </row>
    <row r="36" spans="2:12">
      <c r="B36" s="106" t="s">
        <v>390</v>
      </c>
    </row>
    <row r="37" spans="2:12">
      <c r="B37" s="106" t="s">
        <v>391</v>
      </c>
    </row>
    <row r="40" spans="2:12" ht="265" customHeight="1">
      <c r="B40" s="384" t="s">
        <v>392</v>
      </c>
      <c r="C40" s="384"/>
      <c r="D40" s="384"/>
      <c r="E40" s="384"/>
      <c r="F40" s="384"/>
      <c r="G40" s="384"/>
      <c r="H40" s="384"/>
      <c r="I40" s="384"/>
      <c r="J40" s="384"/>
      <c r="K40" s="384"/>
      <c r="L40" s="384"/>
    </row>
  </sheetData>
  <mergeCells count="1">
    <mergeCell ref="B40:L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J63"/>
  <sheetViews>
    <sheetView view="pageBreakPreview" topLeftCell="A15" zoomScale="85" zoomScaleNormal="70" zoomScaleSheetLayoutView="85" workbookViewId="0">
      <selection activeCell="B40" sqref="B40:D40"/>
    </sheetView>
  </sheetViews>
  <sheetFormatPr defaultColWidth="9.1796875" defaultRowHeight="14"/>
  <cols>
    <col min="1" max="1" width="6.26953125" style="145" bestFit="1" customWidth="1"/>
    <col min="2" max="2" width="29.81640625" style="146" bestFit="1" customWidth="1"/>
    <col min="3" max="3" width="56.26953125" style="147" customWidth="1"/>
    <col min="4" max="4" width="67" style="146" customWidth="1"/>
    <col min="5" max="5" width="18.81640625" style="146" bestFit="1" customWidth="1"/>
    <col min="6" max="16384" width="9.1796875" style="146"/>
  </cols>
  <sheetData>
    <row r="1" spans="1:4" s="204" customFormat="1" ht="45.75" customHeight="1">
      <c r="A1" s="341" t="s">
        <v>393</v>
      </c>
      <c r="B1" s="341"/>
      <c r="C1" s="341"/>
      <c r="D1" s="341"/>
    </row>
    <row r="3" spans="1:4" s="210" customFormat="1" ht="30">
      <c r="A3" s="211" t="s">
        <v>34</v>
      </c>
      <c r="B3" s="169" t="s">
        <v>69</v>
      </c>
      <c r="C3" s="169" t="s">
        <v>70</v>
      </c>
      <c r="D3" s="212" t="s">
        <v>72</v>
      </c>
    </row>
    <row r="4" spans="1:4" s="205" customFormat="1" ht="15.5">
      <c r="A4" s="180">
        <v>1</v>
      </c>
      <c r="B4" s="175" t="s">
        <v>394</v>
      </c>
      <c r="C4" s="170" t="s">
        <v>395</v>
      </c>
      <c r="D4" s="170" t="s">
        <v>396</v>
      </c>
    </row>
    <row r="5" spans="1:4" s="205" customFormat="1" ht="15.5">
      <c r="A5" s="180">
        <v>2</v>
      </c>
      <c r="B5" s="175" t="s">
        <v>397</v>
      </c>
      <c r="C5" s="170" t="s">
        <v>398</v>
      </c>
      <c r="D5" s="175" t="s">
        <v>399</v>
      </c>
    </row>
    <row r="6" spans="1:4" s="205" customFormat="1" ht="15.5">
      <c r="A6" s="180">
        <v>3</v>
      </c>
      <c r="B6" s="175" t="s">
        <v>400</v>
      </c>
      <c r="C6" s="170" t="s">
        <v>401</v>
      </c>
      <c r="D6" s="175" t="s">
        <v>402</v>
      </c>
    </row>
    <row r="7" spans="1:4" ht="15.5">
      <c r="A7" s="180">
        <v>4</v>
      </c>
      <c r="B7" s="175" t="s">
        <v>403</v>
      </c>
      <c r="C7" s="175" t="s">
        <v>404</v>
      </c>
      <c r="D7" s="170" t="s">
        <v>405</v>
      </c>
    </row>
    <row r="8" spans="1:4" ht="15.5">
      <c r="A8" s="180">
        <v>5</v>
      </c>
      <c r="B8" s="175" t="s">
        <v>406</v>
      </c>
      <c r="C8" s="170" t="s">
        <v>407</v>
      </c>
      <c r="D8" s="170" t="s">
        <v>408</v>
      </c>
    </row>
    <row r="9" spans="1:4" ht="15.5">
      <c r="A9" s="180">
        <v>6</v>
      </c>
      <c r="B9" s="175" t="s">
        <v>409</v>
      </c>
      <c r="C9" s="170" t="s">
        <v>410</v>
      </c>
      <c r="D9" s="175" t="s">
        <v>411</v>
      </c>
    </row>
    <row r="10" spans="1:4" ht="15.5">
      <c r="A10" s="180">
        <v>7</v>
      </c>
      <c r="B10" s="175" t="s">
        <v>412</v>
      </c>
      <c r="C10" s="170" t="s">
        <v>413</v>
      </c>
      <c r="D10" s="175" t="s">
        <v>414</v>
      </c>
    </row>
    <row r="11" spans="1:4" ht="15.5">
      <c r="A11" s="180">
        <v>8</v>
      </c>
      <c r="B11" s="175" t="s">
        <v>415</v>
      </c>
      <c r="C11" s="170" t="s">
        <v>416</v>
      </c>
      <c r="D11" s="170" t="s">
        <v>417</v>
      </c>
    </row>
    <row r="12" spans="1:4" ht="15.5">
      <c r="A12" s="180">
        <v>9</v>
      </c>
      <c r="B12" s="175" t="s">
        <v>236</v>
      </c>
      <c r="C12" s="170" t="s">
        <v>418</v>
      </c>
      <c r="D12" s="170" t="s">
        <v>419</v>
      </c>
    </row>
    <row r="13" spans="1:4" ht="15.5">
      <c r="A13" s="180">
        <v>10</v>
      </c>
      <c r="B13" s="175" t="s">
        <v>420</v>
      </c>
      <c r="C13" s="170" t="s">
        <v>421</v>
      </c>
      <c r="D13" s="170" t="s">
        <v>422</v>
      </c>
    </row>
    <row r="14" spans="1:4" ht="15.5">
      <c r="A14" s="180">
        <v>11</v>
      </c>
      <c r="B14" s="213" t="s">
        <v>423</v>
      </c>
      <c r="C14" s="170" t="s">
        <v>424</v>
      </c>
      <c r="D14" s="175" t="s">
        <v>425</v>
      </c>
    </row>
    <row r="15" spans="1:4" ht="15.5">
      <c r="A15" s="180">
        <v>12</v>
      </c>
      <c r="B15" s="213" t="s">
        <v>426</v>
      </c>
      <c r="C15" s="170" t="s">
        <v>427</v>
      </c>
      <c r="D15" s="175" t="s">
        <v>428</v>
      </c>
    </row>
    <row r="16" spans="1:4" ht="31">
      <c r="A16" s="180">
        <v>13</v>
      </c>
      <c r="B16" s="213" t="s">
        <v>429</v>
      </c>
      <c r="C16" s="170" t="s">
        <v>430</v>
      </c>
      <c r="D16" s="175" t="s">
        <v>431</v>
      </c>
    </row>
    <row r="17" spans="1:10" ht="31">
      <c r="A17" s="180">
        <v>14</v>
      </c>
      <c r="B17" s="213" t="s">
        <v>432</v>
      </c>
      <c r="C17" s="214" t="s">
        <v>433</v>
      </c>
      <c r="D17" s="214" t="s">
        <v>434</v>
      </c>
    </row>
    <row r="18" spans="1:10" ht="31">
      <c r="A18" s="180">
        <v>15</v>
      </c>
      <c r="B18" s="213" t="s">
        <v>435</v>
      </c>
      <c r="C18" s="214" t="s">
        <v>436</v>
      </c>
      <c r="D18" s="214" t="s">
        <v>437</v>
      </c>
    </row>
    <row r="19" spans="1:10" ht="46.5">
      <c r="A19" s="180">
        <v>16</v>
      </c>
      <c r="B19" s="213" t="s">
        <v>438</v>
      </c>
      <c r="C19" s="214" t="s">
        <v>439</v>
      </c>
      <c r="D19" s="214" t="s">
        <v>440</v>
      </c>
    </row>
    <row r="20" spans="1:10" ht="15.5">
      <c r="A20" s="180">
        <v>17</v>
      </c>
      <c r="B20" s="213" t="s">
        <v>441</v>
      </c>
      <c r="C20" s="214" t="s">
        <v>442</v>
      </c>
      <c r="D20" s="213" t="s">
        <v>443</v>
      </c>
    </row>
    <row r="21" spans="1:10" ht="15.5">
      <c r="A21" s="180">
        <v>18</v>
      </c>
      <c r="B21" s="213" t="s">
        <v>444</v>
      </c>
      <c r="C21" s="214" t="s">
        <v>445</v>
      </c>
      <c r="D21" s="213" t="s">
        <v>446</v>
      </c>
    </row>
    <row r="22" spans="1:10" ht="15.5">
      <c r="A22" s="180">
        <v>19</v>
      </c>
      <c r="B22" s="213" t="s">
        <v>447</v>
      </c>
      <c r="C22" s="214" t="s">
        <v>448</v>
      </c>
      <c r="D22" s="213" t="s">
        <v>449</v>
      </c>
    </row>
    <row r="23" spans="1:10" s="207" customFormat="1" ht="31">
      <c r="A23" s="180">
        <v>20</v>
      </c>
      <c r="B23" s="170" t="s">
        <v>450</v>
      </c>
      <c r="C23" s="170" t="s">
        <v>451</v>
      </c>
      <c r="D23" s="181" t="s">
        <v>452</v>
      </c>
      <c r="F23" s="208"/>
      <c r="G23" s="208"/>
      <c r="H23" s="208"/>
      <c r="I23" s="208"/>
      <c r="J23" s="208"/>
    </row>
    <row r="24" spans="1:10" s="209" customFormat="1" ht="46.5">
      <c r="A24" s="180">
        <v>21</v>
      </c>
      <c r="B24" s="170" t="s">
        <v>453</v>
      </c>
      <c r="C24" s="170" t="s">
        <v>454</v>
      </c>
      <c r="D24" s="181" t="s">
        <v>455</v>
      </c>
      <c r="E24" s="297"/>
      <c r="F24" s="298"/>
      <c r="G24" s="298"/>
      <c r="H24" s="298"/>
      <c r="I24" s="298"/>
      <c r="J24" s="298"/>
    </row>
    <row r="25" spans="1:10" s="209" customFormat="1" ht="15.5">
      <c r="A25" s="180">
        <v>22</v>
      </c>
      <c r="B25" s="170" t="s">
        <v>456</v>
      </c>
      <c r="C25" s="170" t="s">
        <v>457</v>
      </c>
      <c r="D25" s="181" t="s">
        <v>458</v>
      </c>
      <c r="E25" s="297"/>
      <c r="F25" s="298"/>
      <c r="G25" s="298"/>
      <c r="H25" s="298"/>
      <c r="I25" s="298"/>
      <c r="J25" s="298"/>
    </row>
    <row r="26" spans="1:10" s="209" customFormat="1" ht="46.5">
      <c r="A26" s="180">
        <v>23</v>
      </c>
      <c r="B26" s="170" t="s">
        <v>459</v>
      </c>
      <c r="C26" s="170" t="s">
        <v>460</v>
      </c>
      <c r="D26" s="181" t="s">
        <v>461</v>
      </c>
      <c r="E26" s="297"/>
      <c r="F26" s="298"/>
      <c r="G26" s="298"/>
      <c r="H26" s="298"/>
      <c r="I26" s="298"/>
      <c r="J26" s="298"/>
    </row>
    <row r="27" spans="1:10" s="209" customFormat="1" ht="46.5">
      <c r="A27" s="180">
        <v>24</v>
      </c>
      <c r="B27" s="170" t="s">
        <v>462</v>
      </c>
      <c r="C27" s="170" t="s">
        <v>463</v>
      </c>
      <c r="D27" s="181" t="s">
        <v>464</v>
      </c>
      <c r="E27" s="297"/>
      <c r="F27" s="298"/>
      <c r="G27" s="298"/>
      <c r="H27" s="298"/>
      <c r="I27" s="298"/>
      <c r="J27" s="298"/>
    </row>
    <row r="28" spans="1:10" s="209" customFormat="1" ht="31">
      <c r="A28" s="180">
        <v>25</v>
      </c>
      <c r="B28" s="170" t="s">
        <v>465</v>
      </c>
      <c r="C28" s="170" t="s">
        <v>466</v>
      </c>
      <c r="D28" s="181" t="s">
        <v>467</v>
      </c>
      <c r="E28" s="297"/>
      <c r="F28" s="298"/>
      <c r="G28" s="298"/>
      <c r="H28" s="298"/>
      <c r="I28" s="298"/>
      <c r="J28" s="298"/>
    </row>
    <row r="29" spans="1:10" customFormat="1" ht="31">
      <c r="A29" s="180">
        <v>26</v>
      </c>
      <c r="B29" s="215" t="s">
        <v>239</v>
      </c>
      <c r="C29" s="173" t="s">
        <v>468</v>
      </c>
      <c r="D29" s="216" t="s">
        <v>468</v>
      </c>
      <c r="F29" s="206"/>
      <c r="G29" s="206"/>
      <c r="H29" s="206"/>
      <c r="I29" s="206"/>
      <c r="J29" s="206"/>
    </row>
    <row r="30" spans="1:10" customFormat="1" ht="15.5">
      <c r="A30" s="180">
        <v>27</v>
      </c>
      <c r="B30" s="215" t="s">
        <v>240</v>
      </c>
      <c r="C30" s="173" t="s">
        <v>469</v>
      </c>
      <c r="D30" s="216" t="s">
        <v>469</v>
      </c>
      <c r="F30" s="206"/>
      <c r="G30" s="206"/>
      <c r="H30" s="206"/>
      <c r="I30" s="206"/>
      <c r="J30" s="206"/>
    </row>
    <row r="31" spans="1:10" customFormat="1" ht="15.5">
      <c r="A31" s="180">
        <v>28</v>
      </c>
      <c r="B31" s="215" t="s">
        <v>470</v>
      </c>
      <c r="C31" s="173" t="s">
        <v>471</v>
      </c>
      <c r="D31" s="216" t="s">
        <v>471</v>
      </c>
      <c r="F31" s="206"/>
      <c r="G31" s="206"/>
      <c r="H31" s="206"/>
      <c r="I31" s="206"/>
      <c r="J31" s="206"/>
    </row>
    <row r="32" spans="1:10" ht="15.5">
      <c r="A32" s="180">
        <v>29</v>
      </c>
      <c r="B32" s="213" t="s">
        <v>241</v>
      </c>
      <c r="C32" s="214" t="s">
        <v>472</v>
      </c>
      <c r="D32" s="214" t="s">
        <v>472</v>
      </c>
    </row>
    <row r="33" spans="1:10" ht="15.5">
      <c r="A33" s="180">
        <v>30</v>
      </c>
      <c r="B33" s="213" t="s">
        <v>242</v>
      </c>
      <c r="C33" s="214" t="s">
        <v>473</v>
      </c>
      <c r="D33" s="214" t="s">
        <v>473</v>
      </c>
    </row>
    <row r="34" spans="1:10" ht="15.5">
      <c r="A34" s="180">
        <v>31</v>
      </c>
      <c r="B34" s="213" t="s">
        <v>474</v>
      </c>
      <c r="C34" s="214" t="s">
        <v>475</v>
      </c>
      <c r="D34" s="170" t="s">
        <v>476</v>
      </c>
    </row>
    <row r="35" spans="1:10" ht="15.5">
      <c r="A35" s="180">
        <v>32</v>
      </c>
      <c r="B35" s="213" t="s">
        <v>477</v>
      </c>
      <c r="C35" s="214" t="s">
        <v>478</v>
      </c>
      <c r="D35" s="175" t="s">
        <v>479</v>
      </c>
    </row>
    <row r="36" spans="1:10" ht="15.5">
      <c r="A36" s="180">
        <v>33</v>
      </c>
      <c r="B36" s="213" t="s">
        <v>480</v>
      </c>
      <c r="C36" s="214" t="s">
        <v>481</v>
      </c>
      <c r="D36" s="175" t="s">
        <v>482</v>
      </c>
    </row>
    <row r="37" spans="1:10" customFormat="1" ht="15.5">
      <c r="A37" s="180">
        <v>34</v>
      </c>
      <c r="B37" s="213" t="s">
        <v>483</v>
      </c>
      <c r="C37" s="213" t="s">
        <v>484</v>
      </c>
      <c r="D37" s="213" t="s">
        <v>485</v>
      </c>
      <c r="F37" s="206"/>
      <c r="G37" s="206"/>
      <c r="H37" s="206"/>
      <c r="I37" s="206"/>
      <c r="J37" s="206"/>
    </row>
    <row r="38" spans="1:10" ht="15.5">
      <c r="A38" s="180">
        <v>35</v>
      </c>
      <c r="B38" s="213" t="s">
        <v>486</v>
      </c>
      <c r="C38" s="213" t="s">
        <v>487</v>
      </c>
      <c r="D38" s="213" t="s">
        <v>488</v>
      </c>
    </row>
    <row r="39" spans="1:10" ht="15.5">
      <c r="A39" s="180">
        <v>36</v>
      </c>
      <c r="B39" s="213" t="s">
        <v>238</v>
      </c>
      <c r="C39" s="213" t="s">
        <v>489</v>
      </c>
      <c r="D39" s="213" t="s">
        <v>490</v>
      </c>
    </row>
    <row r="40" spans="1:10" ht="15.5">
      <c r="A40" s="180">
        <v>37</v>
      </c>
      <c r="B40" s="175" t="s">
        <v>491</v>
      </c>
      <c r="C40" s="173" t="s">
        <v>492</v>
      </c>
      <c r="D40" s="175" t="s">
        <v>493</v>
      </c>
    </row>
    <row r="41" spans="1:10" ht="15.5">
      <c r="A41" s="180">
        <v>38</v>
      </c>
      <c r="B41" s="175" t="s">
        <v>494</v>
      </c>
      <c r="C41" s="173" t="s">
        <v>495</v>
      </c>
      <c r="D41" s="175" t="s">
        <v>496</v>
      </c>
    </row>
    <row r="42" spans="1:10" ht="15.5">
      <c r="A42" s="180">
        <v>39</v>
      </c>
      <c r="B42" s="175" t="s">
        <v>497</v>
      </c>
      <c r="C42" s="173" t="s">
        <v>495</v>
      </c>
      <c r="D42" s="175" t="s">
        <v>498</v>
      </c>
    </row>
    <row r="43" spans="1:10" ht="15.5">
      <c r="A43" s="180">
        <v>40</v>
      </c>
      <c r="B43" s="190" t="s">
        <v>499</v>
      </c>
      <c r="C43" s="175" t="s">
        <v>495</v>
      </c>
      <c r="D43" s="70" t="s">
        <v>500</v>
      </c>
    </row>
    <row r="44" spans="1:10" ht="15.5">
      <c r="A44" s="180">
        <v>41</v>
      </c>
      <c r="B44" s="190" t="s">
        <v>501</v>
      </c>
      <c r="C44" s="175" t="s">
        <v>502</v>
      </c>
      <c r="D44" s="70" t="s">
        <v>496</v>
      </c>
    </row>
    <row r="45" spans="1:10" ht="15.5">
      <c r="A45" s="180">
        <v>42</v>
      </c>
      <c r="B45" s="190" t="s">
        <v>503</v>
      </c>
      <c r="C45" s="175" t="s">
        <v>502</v>
      </c>
      <c r="D45" s="70" t="s">
        <v>498</v>
      </c>
    </row>
    <row r="46" spans="1:10" ht="15.5">
      <c r="A46" s="180">
        <v>43</v>
      </c>
      <c r="B46" s="190" t="s">
        <v>504</v>
      </c>
      <c r="C46" s="175" t="s">
        <v>502</v>
      </c>
      <c r="D46" s="70" t="s">
        <v>500</v>
      </c>
    </row>
    <row r="47" spans="1:10" ht="15.5">
      <c r="A47" s="180">
        <v>44</v>
      </c>
      <c r="B47" s="190" t="s">
        <v>505</v>
      </c>
      <c r="C47" s="175" t="s">
        <v>506</v>
      </c>
      <c r="D47" s="70"/>
    </row>
    <row r="48" spans="1:10" ht="15.5">
      <c r="A48" s="180">
        <v>45</v>
      </c>
      <c r="B48" s="190" t="s">
        <v>507</v>
      </c>
      <c r="C48" s="175" t="s">
        <v>508</v>
      </c>
      <c r="D48" s="70" t="s">
        <v>509</v>
      </c>
    </row>
    <row r="49" spans="1:4" ht="15.5">
      <c r="A49" s="180">
        <v>46</v>
      </c>
      <c r="B49" s="190" t="s">
        <v>510</v>
      </c>
      <c r="C49" s="175" t="s">
        <v>511</v>
      </c>
      <c r="D49" s="70" t="s">
        <v>512</v>
      </c>
    </row>
    <row r="50" spans="1:4" ht="15.5">
      <c r="A50" s="180">
        <v>47</v>
      </c>
      <c r="B50" s="190" t="s">
        <v>513</v>
      </c>
      <c r="C50" s="175" t="s">
        <v>514</v>
      </c>
      <c r="D50" s="70" t="s">
        <v>515</v>
      </c>
    </row>
    <row r="51" spans="1:4" ht="15.5">
      <c r="A51" s="180">
        <v>48</v>
      </c>
      <c r="B51" s="190" t="s">
        <v>516</v>
      </c>
      <c r="C51" s="175" t="s">
        <v>517</v>
      </c>
      <c r="D51" s="70" t="s">
        <v>509</v>
      </c>
    </row>
    <row r="52" spans="1:4" ht="15.5">
      <c r="A52" s="180">
        <v>49</v>
      </c>
      <c r="B52" s="190" t="s">
        <v>518</v>
      </c>
      <c r="C52" s="170" t="s">
        <v>519</v>
      </c>
      <c r="D52" s="70" t="s">
        <v>512</v>
      </c>
    </row>
    <row r="53" spans="1:4" ht="15.5">
      <c r="A53" s="180">
        <v>50</v>
      </c>
      <c r="B53" s="190" t="s">
        <v>520</v>
      </c>
      <c r="C53" s="170" t="s">
        <v>521</v>
      </c>
      <c r="D53" s="70" t="s">
        <v>515</v>
      </c>
    </row>
    <row r="54" spans="1:4" ht="15.5">
      <c r="A54" s="180">
        <v>51</v>
      </c>
      <c r="B54" s="190" t="s">
        <v>522</v>
      </c>
      <c r="C54" s="170" t="s">
        <v>523</v>
      </c>
      <c r="D54" s="70" t="s">
        <v>524</v>
      </c>
    </row>
    <row r="55" spans="1:4" ht="15.5">
      <c r="A55" s="180">
        <v>52</v>
      </c>
      <c r="B55" s="70" t="s">
        <v>525</v>
      </c>
      <c r="C55" s="70" t="s">
        <v>526</v>
      </c>
      <c r="D55" s="70" t="s">
        <v>527</v>
      </c>
    </row>
    <row r="56" spans="1:4" ht="15.5">
      <c r="A56" s="180">
        <v>53</v>
      </c>
      <c r="B56" s="70" t="s">
        <v>528</v>
      </c>
      <c r="C56" s="70" t="s">
        <v>529</v>
      </c>
      <c r="D56" s="70" t="s">
        <v>530</v>
      </c>
    </row>
    <row r="57" spans="1:4" ht="15.5">
      <c r="A57" s="180">
        <v>54</v>
      </c>
      <c r="B57" s="70" t="s">
        <v>253</v>
      </c>
      <c r="C57" s="70" t="s">
        <v>531</v>
      </c>
      <c r="D57" s="70"/>
    </row>
    <row r="58" spans="1:4" ht="15.5">
      <c r="A58" s="180">
        <v>55</v>
      </c>
      <c r="B58" s="217" t="s">
        <v>532</v>
      </c>
      <c r="C58" s="217" t="s">
        <v>533</v>
      </c>
      <c r="D58" s="217" t="s">
        <v>534</v>
      </c>
    </row>
    <row r="59" spans="1:4" ht="15.5">
      <c r="A59" s="180">
        <v>56</v>
      </c>
      <c r="B59" s="217" t="s">
        <v>535</v>
      </c>
      <c r="C59" s="217" t="s">
        <v>536</v>
      </c>
      <c r="D59" s="217" t="s">
        <v>537</v>
      </c>
    </row>
    <row r="60" spans="1:4" ht="15.5">
      <c r="A60" s="180">
        <v>57</v>
      </c>
      <c r="B60" s="217" t="s">
        <v>538</v>
      </c>
      <c r="C60" s="217" t="s">
        <v>539</v>
      </c>
      <c r="D60" s="217" t="s">
        <v>540</v>
      </c>
    </row>
    <row r="61" spans="1:4" ht="15.5">
      <c r="A61" s="180">
        <v>58</v>
      </c>
      <c r="B61" s="217" t="s">
        <v>541</v>
      </c>
      <c r="C61" s="217" t="s">
        <v>542</v>
      </c>
      <c r="D61" s="217" t="s">
        <v>543</v>
      </c>
    </row>
    <row r="62" spans="1:4" ht="15.5">
      <c r="A62" s="180">
        <v>59</v>
      </c>
      <c r="B62" s="217" t="s">
        <v>544</v>
      </c>
      <c r="C62" s="217" t="s">
        <v>545</v>
      </c>
      <c r="D62" s="217" t="s">
        <v>546</v>
      </c>
    </row>
    <row r="63" spans="1:4" ht="15.5">
      <c r="A63" s="180">
        <v>60</v>
      </c>
      <c r="B63" s="217" t="s">
        <v>547</v>
      </c>
      <c r="C63" s="217" t="s">
        <v>548</v>
      </c>
      <c r="D63" s="217" t="s">
        <v>549</v>
      </c>
    </row>
  </sheetData>
  <mergeCells count="1">
    <mergeCell ref="A1:D1"/>
  </mergeCells>
  <conditionalFormatting sqref="B4:B18 B20:B24 B26 B28:B31">
    <cfRule type="expression" dxfId="7" priority="6" stopIfTrue="1">
      <formula>AND(COUNTIF($B$4:$B$18, B4)+COUNTIF($B$20:$B$24, B4)+COUNTIF($B$26:$B$26, B4)+COUNTIF($B$28:$B$31, B4)&gt;1,NOT(ISBLANK(B4)))</formula>
    </cfRule>
  </conditionalFormatting>
  <conditionalFormatting sqref="B19">
    <cfRule type="duplicateValues" dxfId="6" priority="3"/>
  </conditionalFormatting>
  <conditionalFormatting sqref="B25">
    <cfRule type="duplicateValues" dxfId="5" priority="2"/>
  </conditionalFormatting>
  <conditionalFormatting sqref="B27">
    <cfRule type="duplicateValues" dxfId="4" priority="1"/>
  </conditionalFormatting>
  <pageMargins left="0.7" right="0.7" top="0.75" bottom="0.75" header="0.3" footer="0.3"/>
  <pageSetup paperSize="9" scale="35" orientation="portrait" r:id="rId1"/>
  <colBreaks count="1" manualBreakCount="1">
    <brk id="4"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D64"/>
  <sheetViews>
    <sheetView view="pageBreakPreview" zoomScale="85" zoomScaleNormal="100" zoomScaleSheetLayoutView="85" workbookViewId="0">
      <selection activeCell="D50" sqref="D50"/>
    </sheetView>
  </sheetViews>
  <sheetFormatPr defaultColWidth="9.1796875" defaultRowHeight="14"/>
  <cols>
    <col min="1" max="1" width="5" style="218" customWidth="1"/>
    <col min="2" max="2" width="49.453125" style="220" customWidth="1"/>
    <col min="3" max="3" width="9" style="147" customWidth="1"/>
    <col min="4" max="4" width="70.7265625" style="147" customWidth="1"/>
    <col min="5" max="16384" width="9.1796875" style="147"/>
  </cols>
  <sheetData>
    <row r="1" spans="1:4" s="204" customFormat="1" ht="45.75" customHeight="1">
      <c r="A1" s="341" t="s">
        <v>550</v>
      </c>
      <c r="B1" s="341"/>
      <c r="C1" s="341"/>
      <c r="D1" s="341"/>
    </row>
    <row r="3" spans="1:4" s="219" customFormat="1" ht="14.5">
      <c r="A3" s="277" t="s">
        <v>34</v>
      </c>
      <c r="B3" s="277" t="s">
        <v>551</v>
      </c>
      <c r="C3" s="277" t="s">
        <v>552</v>
      </c>
      <c r="D3" s="277" t="s">
        <v>553</v>
      </c>
    </row>
    <row r="4" spans="1:4" ht="14.5">
      <c r="A4" s="278" t="s">
        <v>285</v>
      </c>
      <c r="B4" s="279" t="s">
        <v>554</v>
      </c>
      <c r="C4" s="279"/>
      <c r="D4" s="279"/>
    </row>
    <row r="5" spans="1:4" ht="14.5">
      <c r="A5" s="280">
        <v>1</v>
      </c>
      <c r="B5" s="281" t="s">
        <v>555</v>
      </c>
      <c r="C5" s="281" t="s">
        <v>556</v>
      </c>
      <c r="D5" s="281" t="s">
        <v>557</v>
      </c>
    </row>
    <row r="6" spans="1:4" ht="14.5">
      <c r="A6" s="278" t="s">
        <v>558</v>
      </c>
      <c r="B6" s="279" t="s">
        <v>559</v>
      </c>
      <c r="C6" s="279"/>
      <c r="D6" s="279"/>
    </row>
    <row r="7" spans="1:4" ht="14.5">
      <c r="A7" s="280">
        <v>1</v>
      </c>
      <c r="B7" s="279" t="s">
        <v>560</v>
      </c>
      <c r="C7" s="279"/>
      <c r="D7" s="279"/>
    </row>
    <row r="8" spans="1:4" ht="14.5">
      <c r="A8" s="282">
        <v>1.1000000000000001</v>
      </c>
      <c r="B8" s="281" t="s">
        <v>561</v>
      </c>
      <c r="C8" s="281" t="s">
        <v>562</v>
      </c>
      <c r="D8" s="281" t="s">
        <v>563</v>
      </c>
    </row>
    <row r="9" spans="1:4" ht="14.5">
      <c r="A9" s="282">
        <v>1.2</v>
      </c>
      <c r="B9" s="281" t="s">
        <v>564</v>
      </c>
      <c r="C9" s="281" t="s">
        <v>565</v>
      </c>
      <c r="D9" s="281" t="s">
        <v>566</v>
      </c>
    </row>
    <row r="10" spans="1:4" ht="14.5">
      <c r="A10" s="282">
        <v>1.3</v>
      </c>
      <c r="B10" s="281" t="s">
        <v>567</v>
      </c>
      <c r="C10" s="281" t="s">
        <v>562</v>
      </c>
      <c r="D10" s="281" t="s">
        <v>568</v>
      </c>
    </row>
    <row r="11" spans="1:4" ht="14.5">
      <c r="A11" s="282">
        <v>1.4</v>
      </c>
      <c r="B11" s="281" t="s">
        <v>569</v>
      </c>
      <c r="C11" s="281" t="s">
        <v>570</v>
      </c>
      <c r="D11" s="281" t="s">
        <v>568</v>
      </c>
    </row>
    <row r="12" spans="1:4" ht="14.5">
      <c r="A12" s="283">
        <v>2</v>
      </c>
      <c r="B12" s="279" t="s">
        <v>571</v>
      </c>
      <c r="C12" s="279"/>
      <c r="D12" s="279"/>
    </row>
    <row r="13" spans="1:4" ht="14.5">
      <c r="A13" s="282">
        <v>2.1</v>
      </c>
      <c r="B13" s="281" t="s">
        <v>572</v>
      </c>
      <c r="C13" s="281" t="s">
        <v>565</v>
      </c>
      <c r="D13" s="281" t="s">
        <v>573</v>
      </c>
    </row>
    <row r="14" spans="1:4" ht="14.5">
      <c r="A14" s="282">
        <v>2.2000000000000002</v>
      </c>
      <c r="B14" s="281" t="s">
        <v>574</v>
      </c>
      <c r="C14" s="281" t="s">
        <v>575</v>
      </c>
      <c r="D14" s="281" t="s">
        <v>576</v>
      </c>
    </row>
    <row r="15" spans="1:4" ht="14.5">
      <c r="A15" s="282">
        <v>2.2999999999999998</v>
      </c>
      <c r="B15" s="281" t="s">
        <v>577</v>
      </c>
      <c r="C15" s="281" t="s">
        <v>562</v>
      </c>
      <c r="D15" s="281" t="s">
        <v>578</v>
      </c>
    </row>
    <row r="16" spans="1:4" ht="14.5">
      <c r="A16" s="282">
        <v>2.4</v>
      </c>
      <c r="B16" s="281" t="s">
        <v>579</v>
      </c>
      <c r="C16" s="281" t="s">
        <v>570</v>
      </c>
      <c r="D16" s="279"/>
    </row>
    <row r="17" spans="1:4" ht="14.5">
      <c r="A17" s="283">
        <v>3</v>
      </c>
      <c r="B17" s="279" t="s">
        <v>580</v>
      </c>
      <c r="C17" s="279"/>
      <c r="D17" s="279"/>
    </row>
    <row r="18" spans="1:4" ht="14.5">
      <c r="A18" s="282">
        <v>3.1</v>
      </c>
      <c r="B18" s="281" t="s">
        <v>580</v>
      </c>
      <c r="C18" s="281" t="s">
        <v>575</v>
      </c>
      <c r="D18" s="281" t="s">
        <v>581</v>
      </c>
    </row>
    <row r="19" spans="1:4" ht="14.5">
      <c r="A19" s="283">
        <v>4</v>
      </c>
      <c r="B19" s="279" t="s">
        <v>582</v>
      </c>
      <c r="C19" s="279"/>
      <c r="D19" s="279"/>
    </row>
    <row r="20" spans="1:4" ht="14.5">
      <c r="A20" s="282">
        <v>4.0999999999999996</v>
      </c>
      <c r="B20" s="281" t="s">
        <v>583</v>
      </c>
      <c r="C20" s="281" t="s">
        <v>562</v>
      </c>
      <c r="D20" s="281" t="s">
        <v>584</v>
      </c>
    </row>
    <row r="21" spans="1:4" ht="14.5">
      <c r="A21" s="282">
        <v>4.2</v>
      </c>
      <c r="B21" s="281" t="s">
        <v>585</v>
      </c>
      <c r="C21" s="281" t="s">
        <v>586</v>
      </c>
      <c r="D21" s="281" t="s">
        <v>587</v>
      </c>
    </row>
    <row r="22" spans="1:4" ht="14.5">
      <c r="A22" s="282">
        <v>4.3</v>
      </c>
      <c r="B22" s="281" t="s">
        <v>588</v>
      </c>
      <c r="C22" s="281" t="s">
        <v>570</v>
      </c>
      <c r="D22" s="281" t="s">
        <v>584</v>
      </c>
    </row>
    <row r="23" spans="1:4" ht="14.5">
      <c r="A23" s="283">
        <v>5</v>
      </c>
      <c r="B23" s="279" t="s">
        <v>589</v>
      </c>
      <c r="C23" s="279"/>
      <c r="D23" s="279"/>
    </row>
    <row r="24" spans="1:4" ht="14.5">
      <c r="A24" s="282">
        <v>5.0999999999999996</v>
      </c>
      <c r="B24" s="281" t="s">
        <v>439</v>
      </c>
      <c r="C24" s="281" t="s">
        <v>562</v>
      </c>
      <c r="D24" s="281" t="s">
        <v>590</v>
      </c>
    </row>
    <row r="25" spans="1:4" ht="14.5">
      <c r="A25" s="282">
        <v>5.2</v>
      </c>
      <c r="B25" s="281" t="s">
        <v>442</v>
      </c>
      <c r="C25" s="281" t="s">
        <v>562</v>
      </c>
      <c r="D25" s="281" t="s">
        <v>591</v>
      </c>
    </row>
    <row r="26" spans="1:4" ht="14.5">
      <c r="A26" s="282">
        <v>5.3</v>
      </c>
      <c r="B26" s="281" t="s">
        <v>445</v>
      </c>
      <c r="C26" s="281" t="s">
        <v>575</v>
      </c>
      <c r="D26" s="281" t="s">
        <v>592</v>
      </c>
    </row>
    <row r="27" spans="1:4" ht="14.5">
      <c r="A27" s="282">
        <v>5.4</v>
      </c>
      <c r="B27" s="281" t="s">
        <v>448</v>
      </c>
      <c r="C27" s="281" t="s">
        <v>562</v>
      </c>
      <c r="D27" s="281" t="s">
        <v>593</v>
      </c>
    </row>
    <row r="28" spans="1:4" s="221" customFormat="1" ht="14.5">
      <c r="A28" s="282">
        <v>5.5</v>
      </c>
      <c r="B28" s="281" t="s">
        <v>594</v>
      </c>
      <c r="C28" s="281" t="s">
        <v>586</v>
      </c>
      <c r="D28" s="281" t="s">
        <v>595</v>
      </c>
    </row>
    <row r="29" spans="1:4" s="221" customFormat="1" ht="14.5">
      <c r="A29" s="282">
        <v>5.6</v>
      </c>
      <c r="B29" s="281" t="s">
        <v>451</v>
      </c>
      <c r="C29" s="281" t="s">
        <v>562</v>
      </c>
      <c r="D29" s="281" t="s">
        <v>596</v>
      </c>
    </row>
    <row r="30" spans="1:4" s="221" customFormat="1" ht="14.5">
      <c r="A30" s="283">
        <v>6</v>
      </c>
      <c r="B30" s="279" t="s">
        <v>597</v>
      </c>
      <c r="C30" s="279"/>
      <c r="D30" s="279"/>
    </row>
    <row r="31" spans="1:4" s="221" customFormat="1" ht="14.5">
      <c r="A31" s="282">
        <v>6.1</v>
      </c>
      <c r="B31" s="281" t="s">
        <v>598</v>
      </c>
      <c r="C31" s="281" t="s">
        <v>562</v>
      </c>
      <c r="D31" s="281" t="s">
        <v>599</v>
      </c>
    </row>
    <row r="32" spans="1:4" s="221" customFormat="1" ht="14.5">
      <c r="A32" s="282">
        <v>6.2</v>
      </c>
      <c r="B32" s="281" t="s">
        <v>600</v>
      </c>
      <c r="C32" s="281" t="s">
        <v>570</v>
      </c>
      <c r="D32" s="281" t="s">
        <v>601</v>
      </c>
    </row>
    <row r="33" spans="1:4" s="221" customFormat="1" ht="14.5">
      <c r="A33" s="283">
        <v>7</v>
      </c>
      <c r="B33" s="279" t="s">
        <v>602</v>
      </c>
      <c r="C33" s="279"/>
      <c r="D33" s="279"/>
    </row>
    <row r="34" spans="1:4" s="221" customFormat="1" ht="29">
      <c r="A34" s="282">
        <v>7.1</v>
      </c>
      <c r="B34" s="281" t="s">
        <v>603</v>
      </c>
      <c r="C34" s="281" t="s">
        <v>565</v>
      </c>
      <c r="D34" s="281" t="s">
        <v>604</v>
      </c>
    </row>
    <row r="35" spans="1:4" s="221" customFormat="1" ht="14.5">
      <c r="A35" s="278" t="s">
        <v>605</v>
      </c>
      <c r="B35" s="279" t="s">
        <v>606</v>
      </c>
      <c r="C35" s="279"/>
      <c r="D35" s="279"/>
    </row>
    <row r="36" spans="1:4" s="221" customFormat="1" ht="14.5">
      <c r="A36" s="280">
        <v>1</v>
      </c>
      <c r="B36" s="279" t="s">
        <v>607</v>
      </c>
      <c r="C36" s="279"/>
      <c r="D36" s="279"/>
    </row>
    <row r="37" spans="1:4" s="221" customFormat="1" ht="14.5">
      <c r="A37" s="282">
        <v>1.1000000000000001</v>
      </c>
      <c r="B37" s="281" t="s">
        <v>608</v>
      </c>
      <c r="C37" s="281" t="s">
        <v>575</v>
      </c>
      <c r="D37" s="281" t="s">
        <v>609</v>
      </c>
    </row>
    <row r="38" spans="1:4" s="221" customFormat="1" ht="43.5">
      <c r="A38" s="282">
        <v>1.2</v>
      </c>
      <c r="B38" s="281" t="s">
        <v>610</v>
      </c>
      <c r="C38" s="281" t="s">
        <v>575</v>
      </c>
      <c r="D38" s="281" t="s">
        <v>611</v>
      </c>
    </row>
    <row r="39" spans="1:4" s="221" customFormat="1" ht="14.5">
      <c r="A39" s="283">
        <v>2</v>
      </c>
      <c r="B39" s="279" t="s">
        <v>612</v>
      </c>
      <c r="C39" s="279"/>
      <c r="D39" s="279"/>
    </row>
    <row r="40" spans="1:4" s="221" customFormat="1" ht="14.5">
      <c r="A40" s="282">
        <v>2.1</v>
      </c>
      <c r="B40" s="281" t="s">
        <v>460</v>
      </c>
      <c r="C40" s="281" t="s">
        <v>575</v>
      </c>
      <c r="D40" s="281" t="s">
        <v>613</v>
      </c>
    </row>
    <row r="41" spans="1:4" s="221" customFormat="1" ht="14.5">
      <c r="A41" s="282">
        <v>2.2000000000000002</v>
      </c>
      <c r="B41" s="281" t="s">
        <v>614</v>
      </c>
      <c r="C41" s="281" t="s">
        <v>575</v>
      </c>
      <c r="D41" s="281" t="s">
        <v>613</v>
      </c>
    </row>
    <row r="42" spans="1:4" s="221" customFormat="1" ht="14.5">
      <c r="A42" s="282">
        <v>2.2999999999999998</v>
      </c>
      <c r="B42" s="281" t="s">
        <v>615</v>
      </c>
      <c r="C42" s="281" t="s">
        <v>575</v>
      </c>
      <c r="D42" s="281" t="s">
        <v>616</v>
      </c>
    </row>
    <row r="43" spans="1:4" s="221" customFormat="1" ht="29">
      <c r="A43" s="282">
        <v>2.4</v>
      </c>
      <c r="B43" s="281" t="s">
        <v>617</v>
      </c>
      <c r="C43" s="281" t="s">
        <v>565</v>
      </c>
      <c r="D43" s="281" t="s">
        <v>618</v>
      </c>
    </row>
    <row r="44" spans="1:4" ht="14.5">
      <c r="A44" s="283">
        <v>3</v>
      </c>
      <c r="B44" s="279" t="s">
        <v>619</v>
      </c>
      <c r="C44" s="279"/>
      <c r="D44" s="279"/>
    </row>
    <row r="45" spans="1:4" ht="29">
      <c r="A45" s="282">
        <v>3.1</v>
      </c>
      <c r="B45" s="281" t="s">
        <v>620</v>
      </c>
      <c r="C45" s="281" t="s">
        <v>575</v>
      </c>
      <c r="D45" s="281" t="s">
        <v>621</v>
      </c>
    </row>
    <row r="46" spans="1:4" ht="29">
      <c r="A46" s="282">
        <v>3.2</v>
      </c>
      <c r="B46" s="281" t="s">
        <v>622</v>
      </c>
      <c r="C46" s="281" t="s">
        <v>575</v>
      </c>
      <c r="D46" s="281" t="s">
        <v>623</v>
      </c>
    </row>
    <row r="47" spans="1:4" ht="29">
      <c r="A47" s="282">
        <v>3.3</v>
      </c>
      <c r="B47" s="281" t="s">
        <v>624</v>
      </c>
      <c r="C47" s="281" t="s">
        <v>575</v>
      </c>
      <c r="D47" s="281" t="s">
        <v>625</v>
      </c>
    </row>
    <row r="48" spans="1:4" ht="29">
      <c r="A48" s="282">
        <v>3.4</v>
      </c>
      <c r="B48" s="281" t="s">
        <v>466</v>
      </c>
      <c r="C48" s="281" t="s">
        <v>575</v>
      </c>
      <c r="D48" s="281" t="s">
        <v>626</v>
      </c>
    </row>
    <row r="49" spans="1:4" ht="14.5">
      <c r="A49" s="283">
        <v>4</v>
      </c>
      <c r="B49" s="279" t="s">
        <v>627</v>
      </c>
      <c r="C49" s="279"/>
      <c r="D49" s="279"/>
    </row>
    <row r="50" spans="1:4" ht="58">
      <c r="A50" s="282">
        <v>4.0999999999999996</v>
      </c>
      <c r="B50" s="281" t="s">
        <v>628</v>
      </c>
      <c r="C50" s="281" t="s">
        <v>575</v>
      </c>
      <c r="D50" s="281" t="s">
        <v>629</v>
      </c>
    </row>
    <row r="51" spans="1:4" ht="14.5">
      <c r="A51" s="282">
        <v>4.2</v>
      </c>
      <c r="B51" s="281" t="s">
        <v>630</v>
      </c>
      <c r="C51" s="281" t="s">
        <v>575</v>
      </c>
      <c r="D51" s="281" t="s">
        <v>631</v>
      </c>
    </row>
    <row r="52" spans="1:4" ht="14.5">
      <c r="A52" s="282">
        <v>4.3</v>
      </c>
      <c r="B52" s="281" t="s">
        <v>632</v>
      </c>
      <c r="C52" s="281" t="s">
        <v>575</v>
      </c>
      <c r="D52" s="281" t="s">
        <v>631</v>
      </c>
    </row>
    <row r="53" spans="1:4" ht="58">
      <c r="A53" s="282">
        <v>4.4000000000000004</v>
      </c>
      <c r="B53" s="281" t="s">
        <v>633</v>
      </c>
      <c r="C53" s="281" t="s">
        <v>575</v>
      </c>
      <c r="D53" s="281" t="s">
        <v>629</v>
      </c>
    </row>
    <row r="54" spans="1:4" ht="14.5">
      <c r="A54" s="283">
        <v>5</v>
      </c>
      <c r="B54" s="279" t="s">
        <v>634</v>
      </c>
      <c r="C54" s="279"/>
      <c r="D54" s="279"/>
    </row>
    <row r="55" spans="1:4" ht="58">
      <c r="A55" s="282">
        <v>5.0999999999999996</v>
      </c>
      <c r="B55" s="281" t="s">
        <v>469</v>
      </c>
      <c r="C55" s="281" t="s">
        <v>575</v>
      </c>
      <c r="D55" s="281" t="s">
        <v>629</v>
      </c>
    </row>
    <row r="56" spans="1:4" ht="58">
      <c r="A56" s="282">
        <v>5.2</v>
      </c>
      <c r="B56" s="281" t="s">
        <v>635</v>
      </c>
      <c r="C56" s="281" t="s">
        <v>575</v>
      </c>
      <c r="D56" s="281" t="s">
        <v>636</v>
      </c>
    </row>
    <row r="57" spans="1:4" ht="29">
      <c r="A57" s="282">
        <v>5.3</v>
      </c>
      <c r="B57" s="281" t="s">
        <v>472</v>
      </c>
      <c r="C57" s="281" t="s">
        <v>575</v>
      </c>
      <c r="D57" s="281" t="s">
        <v>637</v>
      </c>
    </row>
    <row r="58" spans="1:4" ht="14.5">
      <c r="A58" s="283">
        <v>6</v>
      </c>
      <c r="B58" s="279" t="s">
        <v>638</v>
      </c>
      <c r="C58" s="279"/>
      <c r="D58" s="279"/>
    </row>
    <row r="59" spans="1:4" ht="14.5">
      <c r="A59" s="282">
        <v>6.1</v>
      </c>
      <c r="B59" s="281" t="s">
        <v>473</v>
      </c>
      <c r="C59" s="281" t="s">
        <v>575</v>
      </c>
      <c r="D59" s="281" t="s">
        <v>639</v>
      </c>
    </row>
    <row r="60" spans="1:4" ht="14.5">
      <c r="A60" s="282">
        <v>6.2</v>
      </c>
      <c r="B60" s="281" t="s">
        <v>640</v>
      </c>
      <c r="C60" s="281" t="s">
        <v>562</v>
      </c>
      <c r="D60" s="281" t="s">
        <v>641</v>
      </c>
    </row>
    <row r="61" spans="1:4" ht="14.5">
      <c r="A61" s="283">
        <v>7</v>
      </c>
      <c r="B61" s="279" t="s">
        <v>642</v>
      </c>
      <c r="C61" s="279"/>
      <c r="D61" s="279"/>
    </row>
    <row r="62" spans="1:4" ht="14.5">
      <c r="A62" s="282">
        <v>7.1</v>
      </c>
      <c r="B62" s="281" t="s">
        <v>643</v>
      </c>
      <c r="C62" s="281" t="s">
        <v>565</v>
      </c>
      <c r="D62" s="281" t="s">
        <v>644</v>
      </c>
    </row>
    <row r="63" spans="1:4" ht="29">
      <c r="A63" s="282">
        <v>7.2</v>
      </c>
      <c r="B63" s="281" t="s">
        <v>645</v>
      </c>
      <c r="C63" s="281" t="s">
        <v>565</v>
      </c>
      <c r="D63" s="281" t="s">
        <v>644</v>
      </c>
    </row>
    <row r="64" spans="1:4" ht="29">
      <c r="A64" s="282">
        <v>7.3</v>
      </c>
      <c r="B64" s="281" t="s">
        <v>646</v>
      </c>
      <c r="C64" s="281" t="s">
        <v>565</v>
      </c>
      <c r="D64" s="281"/>
    </row>
  </sheetData>
  <mergeCells count="1">
    <mergeCell ref="A1:D1"/>
  </mergeCells>
  <conditionalFormatting sqref="B21:B25">
    <cfRule type="duplicateValues" dxfId="3" priority="2"/>
  </conditionalFormatting>
  <conditionalFormatting sqref="B26:B27">
    <cfRule type="duplicateValues" dxfId="2" priority="3"/>
  </conditionalFormatting>
  <conditionalFormatting sqref="C21:C23">
    <cfRule type="duplicateValues" dxfId="1" priority="1"/>
  </conditionalFormatting>
  <conditionalFormatting sqref="C26:C27">
    <cfRule type="duplicateValues" dxfId="0" priority="4"/>
  </conditionalFormatting>
  <pageMargins left="0.7" right="0.7" top="0.75" bottom="0.75" header="0.3" footer="0.3"/>
  <pageSetup paperSize="9" scale="5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56"/>
  <sheetViews>
    <sheetView zoomScaleNormal="100" zoomScaleSheetLayoutView="85" workbookViewId="0">
      <selection activeCell="C37" sqref="C37"/>
    </sheetView>
  </sheetViews>
  <sheetFormatPr defaultColWidth="9.1796875" defaultRowHeight="18"/>
  <cols>
    <col min="1" max="1" width="9.1796875" style="288" customWidth="1"/>
    <col min="2" max="2" width="33" style="291" customWidth="1"/>
    <col min="3" max="3" width="38.7265625" style="288" bestFit="1" customWidth="1"/>
    <col min="4" max="4" width="26.453125" style="288" bestFit="1" customWidth="1"/>
    <col min="5" max="5" width="26.453125" style="288" customWidth="1"/>
    <col min="6" max="6" width="14.54296875" style="290" customWidth="1"/>
    <col min="7" max="11" width="9.1796875" style="284"/>
    <col min="12" max="12" width="19.453125" style="284" customWidth="1"/>
    <col min="13" max="16" width="16.1796875" style="284" customWidth="1"/>
    <col min="17" max="16384" width="9.1796875" style="284"/>
  </cols>
  <sheetData>
    <row r="1" spans="1:6" ht="49.5" customHeight="1">
      <c r="A1" s="388" t="s">
        <v>647</v>
      </c>
      <c r="B1" s="389"/>
      <c r="C1" s="390"/>
      <c r="D1" s="390"/>
      <c r="E1" s="390"/>
      <c r="F1" s="391"/>
    </row>
    <row r="2" spans="1:6" ht="13" customHeight="1">
      <c r="A2" s="392" t="s">
        <v>218</v>
      </c>
      <c r="B2" s="393" t="s">
        <v>648</v>
      </c>
      <c r="C2" s="392" t="s">
        <v>258</v>
      </c>
      <c r="D2" s="392" t="s">
        <v>649</v>
      </c>
      <c r="E2" s="285"/>
      <c r="F2" s="392" t="s">
        <v>243</v>
      </c>
    </row>
    <row r="3" spans="1:6" ht="13" customHeight="1">
      <c r="A3" s="392"/>
      <c r="B3" s="394"/>
      <c r="C3" s="392" t="s">
        <v>650</v>
      </c>
      <c r="D3" s="392"/>
      <c r="E3" s="285"/>
      <c r="F3" s="392" t="s">
        <v>651</v>
      </c>
    </row>
    <row r="4" spans="1:6" ht="36">
      <c r="A4" s="222">
        <v>1</v>
      </c>
      <c r="B4" s="395" t="s">
        <v>652</v>
      </c>
      <c r="C4" s="286" t="s">
        <v>394</v>
      </c>
      <c r="D4" s="223" t="s">
        <v>41</v>
      </c>
      <c r="E4" s="223" t="str">
        <f>CHOOSE({1,2},C4:C40&amp;D4:D40,F4:F40)</f>
        <v>PTDL_KSNV1Giải pháp</v>
      </c>
      <c r="F4" s="288">
        <v>16</v>
      </c>
    </row>
    <row r="5" spans="1:6" ht="36">
      <c r="A5" s="222">
        <v>2</v>
      </c>
      <c r="B5" s="395"/>
      <c r="C5" s="286" t="s">
        <v>397</v>
      </c>
      <c r="D5" s="223" t="s">
        <v>41</v>
      </c>
      <c r="E5" s="223" t="str">
        <f>CHOOSE({1,2},C5:C41&amp;D5:D41,F5:F41)</f>
        <v>PTDL_KSNV2Giải pháp</v>
      </c>
      <c r="F5" s="288">
        <v>24</v>
      </c>
    </row>
    <row r="6" spans="1:6" ht="37.5" customHeight="1">
      <c r="A6" s="222">
        <v>3</v>
      </c>
      <c r="B6" s="395"/>
      <c r="C6" s="286" t="s">
        <v>400</v>
      </c>
      <c r="D6" s="223" t="s">
        <v>41</v>
      </c>
      <c r="E6" s="223" t="str">
        <f>CHOOSE({1,2},C6:C42&amp;D6:D42,F6:F42)</f>
        <v>PTDL_KSNV3Giải pháp</v>
      </c>
      <c r="F6" s="288">
        <v>32</v>
      </c>
    </row>
    <row r="7" spans="1:6" ht="36">
      <c r="A7" s="222">
        <v>4</v>
      </c>
      <c r="B7" s="395" t="s">
        <v>653</v>
      </c>
      <c r="C7" s="287" t="s">
        <v>403</v>
      </c>
      <c r="D7" s="223" t="s">
        <v>41</v>
      </c>
      <c r="E7" s="223" t="str">
        <f>CHOOSE({1,2},C7:C43&amp;D7:D43,F7:F43)</f>
        <v>PTDL_ĐGTNUC1Giải pháp</v>
      </c>
      <c r="F7" s="288">
        <v>8</v>
      </c>
    </row>
    <row r="8" spans="1:6" ht="36">
      <c r="A8" s="222">
        <v>5</v>
      </c>
      <c r="B8" s="395"/>
      <c r="C8" s="287" t="s">
        <v>406</v>
      </c>
      <c r="D8" s="223" t="s">
        <v>41</v>
      </c>
      <c r="E8" s="223" t="str">
        <f>CHOOSE({1,2},C8:C44&amp;D8:D44,F8:F44)</f>
        <v>PTDL_ĐGTNUC2Giải pháp</v>
      </c>
      <c r="F8" s="288">
        <v>16</v>
      </c>
    </row>
    <row r="9" spans="1:6" ht="36">
      <c r="A9" s="222">
        <v>6</v>
      </c>
      <c r="B9" s="395"/>
      <c r="C9" s="287" t="s">
        <v>409</v>
      </c>
      <c r="D9" s="223" t="s">
        <v>41</v>
      </c>
      <c r="E9" s="223" t="str">
        <f>CHOOSE({1,2},C9:C45&amp;D9:D45,F9:F45)</f>
        <v>PTDL_ĐGTNUC3Giải pháp</v>
      </c>
      <c r="F9" s="288">
        <v>24</v>
      </c>
    </row>
    <row r="10" spans="1:6" ht="36">
      <c r="A10" s="222">
        <v>7</v>
      </c>
      <c r="B10" s="395" t="s">
        <v>574</v>
      </c>
      <c r="C10" s="286" t="s">
        <v>412</v>
      </c>
      <c r="D10" s="223" t="s">
        <v>41</v>
      </c>
      <c r="E10" s="223" t="str">
        <f>CHOOSE({1,2},C10:C46&amp;D10:D46,F10:F46)</f>
        <v>PTDL_ĐXGPM1Giải pháp</v>
      </c>
      <c r="F10" s="288">
        <v>8</v>
      </c>
    </row>
    <row r="11" spans="1:6" ht="36">
      <c r="A11" s="222">
        <v>8</v>
      </c>
      <c r="B11" s="395"/>
      <c r="C11" s="286" t="s">
        <v>415</v>
      </c>
      <c r="D11" s="223" t="s">
        <v>41</v>
      </c>
      <c r="E11" s="223" t="str">
        <f>CHOOSE({1,2},C11:C47&amp;D11:D47,F11:F47)</f>
        <v>PTDL_ĐXGPM2Giải pháp</v>
      </c>
      <c r="F11" s="288">
        <v>16</v>
      </c>
    </row>
    <row r="12" spans="1:6" ht="36">
      <c r="A12" s="222">
        <v>9</v>
      </c>
      <c r="B12" s="395"/>
      <c r="C12" s="286" t="s">
        <v>236</v>
      </c>
      <c r="D12" s="223" t="s">
        <v>41</v>
      </c>
      <c r="E12" s="223" t="str">
        <f>CHOOSE({1,2},C12:C48&amp;D12:D48,F12:F48)</f>
        <v>PTDL_ĐXGPM3Giải pháp</v>
      </c>
      <c r="F12" s="288">
        <v>24</v>
      </c>
    </row>
    <row r="13" spans="1:6" ht="36">
      <c r="A13" s="222">
        <v>10</v>
      </c>
      <c r="B13" s="395" t="s">
        <v>577</v>
      </c>
      <c r="C13" s="286" t="s">
        <v>420</v>
      </c>
      <c r="D13" s="223" t="s">
        <v>41</v>
      </c>
      <c r="E13" s="223" t="str">
        <f>CHOOSE({1,2},C13:C49&amp;D13:D49,F13:F49)</f>
        <v>PTDL_TNGPM1Giải pháp</v>
      </c>
      <c r="F13" s="288">
        <v>4</v>
      </c>
    </row>
    <row r="14" spans="1:6" ht="36">
      <c r="A14" s="222">
        <v>11</v>
      </c>
      <c r="B14" s="395"/>
      <c r="C14" s="286" t="s">
        <v>423</v>
      </c>
      <c r="D14" s="223" t="s">
        <v>41</v>
      </c>
      <c r="E14" s="223" t="str">
        <f>CHOOSE({1,2},C14:C50&amp;D14:D50,F14:F50)</f>
        <v>PTDL_TNGPM2Giải pháp</v>
      </c>
      <c r="F14" s="288">
        <v>8</v>
      </c>
    </row>
    <row r="15" spans="1:6" ht="36">
      <c r="A15" s="222">
        <v>12</v>
      </c>
      <c r="B15" s="395"/>
      <c r="C15" s="286" t="s">
        <v>426</v>
      </c>
      <c r="D15" s="223" t="s">
        <v>41</v>
      </c>
      <c r="E15" s="223" t="str">
        <f>CHOOSE({1,2},C15:C51&amp;D15:D51,F15:F51)</f>
        <v>PTDL_TNGPM3Giải pháp</v>
      </c>
      <c r="F15" s="288">
        <v>16</v>
      </c>
    </row>
    <row r="16" spans="1:6" ht="36">
      <c r="A16" s="222">
        <v>13</v>
      </c>
      <c r="B16" s="395" t="s">
        <v>583</v>
      </c>
      <c r="C16" s="286" t="s">
        <v>429</v>
      </c>
      <c r="D16" s="223" t="s">
        <v>41</v>
      </c>
      <c r="E16" s="223" t="str">
        <f>CHOOSE({1,2},C16:C52&amp;D16:D52,F16:F52)</f>
        <v>PTDL_XDKBTĐ1Giải pháp</v>
      </c>
      <c r="F16" s="288">
        <v>16</v>
      </c>
    </row>
    <row r="17" spans="1:6" ht="36">
      <c r="A17" s="222">
        <v>14</v>
      </c>
      <c r="B17" s="395"/>
      <c r="C17" s="286" t="s">
        <v>432</v>
      </c>
      <c r="D17" s="223" t="s">
        <v>41</v>
      </c>
      <c r="E17" s="223" t="str">
        <f>CHOOSE({1,2},C17:C53&amp;D17:D53,F17:F53)</f>
        <v>PTDL_XDKBTĐ2Giải pháp</v>
      </c>
      <c r="F17" s="288">
        <v>32</v>
      </c>
    </row>
    <row r="18" spans="1:6" ht="36">
      <c r="A18" s="222">
        <v>15</v>
      </c>
      <c r="B18" s="395"/>
      <c r="C18" s="286" t="s">
        <v>435</v>
      </c>
      <c r="D18" s="223" t="s">
        <v>41</v>
      </c>
      <c r="E18" s="223" t="str">
        <f>CHOOSE({1,2},C18:C54&amp;D18:D54,F18:F54)</f>
        <v>PTDL_XDKBTĐ3Giải pháp</v>
      </c>
      <c r="F18" s="288">
        <v>48</v>
      </c>
    </row>
    <row r="19" spans="1:6" ht="36">
      <c r="A19" s="222">
        <v>16</v>
      </c>
      <c r="B19" s="287" t="s">
        <v>439</v>
      </c>
      <c r="C19" s="286" t="s">
        <v>438</v>
      </c>
      <c r="D19" s="223" t="s">
        <v>43</v>
      </c>
      <c r="E19" s="223" t="str">
        <f>CHOOSE({1,2},C19:C55&amp;D19:D55,F19:F55)</f>
        <v>PTDL_XDBC_HQTĐPhát triển</v>
      </c>
      <c r="F19" s="288">
        <v>8</v>
      </c>
    </row>
    <row r="20" spans="1:6" ht="36">
      <c r="A20" s="222">
        <v>17</v>
      </c>
      <c r="B20" s="287" t="s">
        <v>442</v>
      </c>
      <c r="C20" s="286" t="s">
        <v>441</v>
      </c>
      <c r="D20" s="223" t="s">
        <v>45</v>
      </c>
      <c r="E20" s="223" t="str">
        <f>CHOOSE({1,2},C20:C56&amp;D20:D56,F20:F56)</f>
        <v>PTDL_BLACKLISTKiểm thử</v>
      </c>
      <c r="F20" s="288">
        <v>4</v>
      </c>
    </row>
    <row r="21" spans="1:6" ht="36">
      <c r="A21" s="222">
        <v>18</v>
      </c>
      <c r="B21" s="287" t="s">
        <v>445</v>
      </c>
      <c r="C21" s="286" t="s">
        <v>444</v>
      </c>
      <c r="D21" s="223" t="s">
        <v>45</v>
      </c>
      <c r="E21" s="223" t="str">
        <f>CHOOSE({1,2},C21:C57&amp;D21:D57,F21:F57)</f>
        <v>PTDL_XUAT_BANG_TKKiểm thử</v>
      </c>
      <c r="F21" s="288">
        <v>16</v>
      </c>
    </row>
    <row r="22" spans="1:6" ht="36">
      <c r="A22" s="222">
        <v>19</v>
      </c>
      <c r="B22" s="287" t="s">
        <v>448</v>
      </c>
      <c r="C22" s="286" t="s">
        <v>447</v>
      </c>
      <c r="D22" s="223" t="s">
        <v>45</v>
      </c>
      <c r="E22" s="223" t="str">
        <f>CHOOSE({1,2},C22:C58&amp;D22:D58,F22:F58)</f>
        <v>PTDL_CHECK_DAIDIENKiểm thử</v>
      </c>
      <c r="F22" s="288">
        <v>4</v>
      </c>
    </row>
    <row r="23" spans="1:6" ht="36">
      <c r="A23" s="222">
        <v>20</v>
      </c>
      <c r="B23" s="287" t="s">
        <v>451</v>
      </c>
      <c r="C23" s="286" t="s">
        <v>450</v>
      </c>
      <c r="D23" s="223" t="s">
        <v>45</v>
      </c>
      <c r="E23" s="223" t="str">
        <f>CHOOSE({1,2},C23:C59&amp;D23:D59,F23:F59)</f>
        <v>PTDL_GIAMSAT_TACDONGKiểm thử</v>
      </c>
      <c r="F23" s="288">
        <v>2</v>
      </c>
    </row>
    <row r="24" spans="1:6" ht="36">
      <c r="A24" s="222">
        <v>21</v>
      </c>
      <c r="B24" s="395" t="s">
        <v>598</v>
      </c>
      <c r="C24" s="286" t="s">
        <v>453</v>
      </c>
      <c r="D24" s="223" t="s">
        <v>41</v>
      </c>
      <c r="E24" s="223" t="str">
        <f>CHOOSE({1,2},C24:C60&amp;D24:D60,F24:F60)</f>
        <v>PTDL_ĐGHQ_TACDONG1Giải pháp</v>
      </c>
      <c r="F24" s="288">
        <v>4</v>
      </c>
    </row>
    <row r="25" spans="1:6" ht="36">
      <c r="A25" s="222">
        <v>22</v>
      </c>
      <c r="B25" s="395"/>
      <c r="C25" s="286" t="s">
        <v>456</v>
      </c>
      <c r="D25" s="223" t="s">
        <v>41</v>
      </c>
      <c r="E25" s="223" t="str">
        <f>CHOOSE({1,2},C25:C61&amp;D25:D61,F25:F61)</f>
        <v>PTDL_ĐGHQ_TACDONG2Giải pháp</v>
      </c>
      <c r="F25" s="288">
        <v>28</v>
      </c>
    </row>
    <row r="26" spans="1:6" ht="36">
      <c r="A26" s="222">
        <v>23</v>
      </c>
      <c r="B26" s="291" t="s">
        <v>460</v>
      </c>
      <c r="C26" s="288" t="s">
        <v>459</v>
      </c>
      <c r="D26" s="223" t="s">
        <v>43</v>
      </c>
      <c r="E26" s="223" t="str">
        <f>CHOOSE({1,2},C26:C62&amp;D26:D62,F26:F62)</f>
        <v>PTDL_EXPLORE_DATAPhát triển</v>
      </c>
      <c r="F26" s="288">
        <v>8</v>
      </c>
    </row>
    <row r="27" spans="1:6" ht="36">
      <c r="A27" s="222">
        <v>24</v>
      </c>
      <c r="B27" s="288" t="s">
        <v>615</v>
      </c>
      <c r="C27" s="288" t="s">
        <v>462</v>
      </c>
      <c r="D27" s="223" t="s">
        <v>43</v>
      </c>
      <c r="E27" s="223" t="str">
        <f>CHOOSE({1,2},C27:C63&amp;D27:D63,F27:F63)</f>
        <v>PTDL_HYPOTHESISPhát triển</v>
      </c>
      <c r="F27" s="288">
        <v>8</v>
      </c>
    </row>
    <row r="28" spans="1:6" ht="36">
      <c r="A28" s="222">
        <v>25</v>
      </c>
      <c r="B28" s="291" t="s">
        <v>466</v>
      </c>
      <c r="C28" s="288" t="s">
        <v>465</v>
      </c>
      <c r="D28" s="223" t="s">
        <v>43</v>
      </c>
      <c r="E28" s="223" t="str">
        <f>CHOOSE({1,2},C28:C64&amp;D28:D64,F28:F64)</f>
        <v>PTDL_FEATURE_ENGINEERINGPhát triển</v>
      </c>
      <c r="F28" s="288">
        <v>8</v>
      </c>
    </row>
    <row r="29" spans="1:6" ht="36">
      <c r="A29" s="222">
        <v>26</v>
      </c>
      <c r="B29" s="291" t="s">
        <v>468</v>
      </c>
      <c r="C29" s="288" t="s">
        <v>239</v>
      </c>
      <c r="D29" s="223" t="s">
        <v>43</v>
      </c>
      <c r="E29" s="223" t="str">
        <f>CHOOSE({1,2},C29:C65&amp;D29:D65,F29:F65)</f>
        <v>PTDL_TRAIN_MODEL_BASEPhát triển</v>
      </c>
      <c r="F29" s="288">
        <v>8</v>
      </c>
    </row>
    <row r="30" spans="1:6" ht="36">
      <c r="A30" s="222">
        <v>27</v>
      </c>
      <c r="B30" s="291" t="s">
        <v>469</v>
      </c>
      <c r="C30" s="288" t="s">
        <v>240</v>
      </c>
      <c r="D30" s="223" t="s">
        <v>43</v>
      </c>
      <c r="E30" s="223" t="str">
        <f>CHOOSE({1,2},C30:C66&amp;D30:D66,F30:F66)</f>
        <v>PTDL_MODEL_TUNINGPhát triển</v>
      </c>
      <c r="F30" s="288">
        <v>16</v>
      </c>
    </row>
    <row r="31" spans="1:6" ht="36">
      <c r="A31" s="222">
        <v>28</v>
      </c>
      <c r="B31" s="291" t="s">
        <v>471</v>
      </c>
      <c r="C31" s="288" t="s">
        <v>470</v>
      </c>
      <c r="D31" s="223" t="s">
        <v>43</v>
      </c>
      <c r="E31" s="223" t="str">
        <f>CHOOSE({1,2},C31:C67&amp;D31:D67,F31:F67)</f>
        <v>PTDL_ENSEMBLE_MODELPhát triển</v>
      </c>
      <c r="F31" s="288">
        <v>16</v>
      </c>
    </row>
    <row r="32" spans="1:6" ht="36">
      <c r="A32" s="222">
        <v>29</v>
      </c>
      <c r="B32" s="291" t="s">
        <v>472</v>
      </c>
      <c r="C32" s="288" t="s">
        <v>241</v>
      </c>
      <c r="D32" s="223" t="s">
        <v>43</v>
      </c>
      <c r="E32" s="223" t="str">
        <f>CHOOSE({1,2},C32:C68&amp;D32:D68,F32:F68)</f>
        <v>PTDL_TEST_MODELPhát triển</v>
      </c>
      <c r="F32" s="288">
        <v>4</v>
      </c>
    </row>
    <row r="33" spans="1:6" ht="36">
      <c r="A33" s="222">
        <v>30</v>
      </c>
      <c r="B33" s="291" t="s">
        <v>473</v>
      </c>
      <c r="C33" s="288" t="s">
        <v>242</v>
      </c>
      <c r="D33" s="223" t="s">
        <v>41</v>
      </c>
      <c r="E33" s="223" t="str">
        <f>CHOOSE({1,2},C33:C69&amp;D33:D69,F33:F69)</f>
        <v>PTDL_BC_KQ_MODELGiải pháp</v>
      </c>
      <c r="F33" s="288">
        <v>4</v>
      </c>
    </row>
    <row r="34" spans="1:6" ht="36">
      <c r="A34" s="222">
        <v>31</v>
      </c>
      <c r="B34" s="396" t="s">
        <v>654</v>
      </c>
      <c r="C34" s="289" t="s">
        <v>474</v>
      </c>
      <c r="D34" s="223" t="s">
        <v>43</v>
      </c>
      <c r="E34" s="223" t="str">
        <f>CHOOSE({1,2},C34:C70&amp;D34:D70,F34:F70)</f>
        <v>PTDL_DONGBO_DULIEU1Phát triển</v>
      </c>
      <c r="F34" s="288">
        <v>12</v>
      </c>
    </row>
    <row r="35" spans="1:6" ht="36">
      <c r="A35" s="222">
        <v>32</v>
      </c>
      <c r="B35" s="396"/>
      <c r="C35" s="289" t="s">
        <v>477</v>
      </c>
      <c r="D35" s="223" t="s">
        <v>43</v>
      </c>
      <c r="E35" s="223" t="str">
        <f>CHOOSE({1,2},C35:C71&amp;D35:D71,F35:F71)</f>
        <v>PTDL_DONGBO_DULIEU2Phát triển</v>
      </c>
      <c r="F35" s="288">
        <v>26</v>
      </c>
    </row>
    <row r="36" spans="1:6" ht="36">
      <c r="A36" s="222">
        <v>33</v>
      </c>
      <c r="B36" s="396"/>
      <c r="C36" s="289" t="s">
        <v>480</v>
      </c>
      <c r="D36" s="223" t="s">
        <v>43</v>
      </c>
      <c r="E36" s="223" t="str">
        <f>CHOOSE({1,2},C36:C72&amp;D36:D72,F36:F72)</f>
        <v>PTDL_DONGBO_DULIEU3Phát triển</v>
      </c>
      <c r="F36" s="288">
        <v>38</v>
      </c>
    </row>
    <row r="37" spans="1:6" ht="36">
      <c r="A37" s="222">
        <v>34</v>
      </c>
      <c r="B37" s="385" t="s">
        <v>655</v>
      </c>
      <c r="C37" s="289" t="s">
        <v>483</v>
      </c>
      <c r="D37" s="223" t="s">
        <v>43</v>
      </c>
      <c r="E37" s="223" t="str">
        <f>CHOOSE({1,2},C37:C73&amp;D37:D73,F37:F73)</f>
        <v>PTDL_TONGHOP_FEATURE1Phát triển</v>
      </c>
      <c r="F37" s="288">
        <v>8</v>
      </c>
    </row>
    <row r="38" spans="1:6" ht="36">
      <c r="A38" s="222">
        <v>35</v>
      </c>
      <c r="B38" s="386"/>
      <c r="C38" s="289" t="s">
        <v>486</v>
      </c>
      <c r="D38" s="223" t="s">
        <v>43</v>
      </c>
      <c r="E38" s="223" t="str">
        <f>CHOOSE({1,2},C38:C74&amp;D38:D74,F38:F74)</f>
        <v>PTDL_TONGHOP_FEATURE2Phát triển</v>
      </c>
      <c r="F38" s="288">
        <v>18</v>
      </c>
    </row>
    <row r="39" spans="1:6" ht="36">
      <c r="A39" s="222">
        <v>36</v>
      </c>
      <c r="B39" s="386"/>
      <c r="C39" s="289" t="s">
        <v>238</v>
      </c>
      <c r="D39" s="223" t="s">
        <v>43</v>
      </c>
      <c r="E39" s="223" t="str">
        <f>CHOOSE({1,2},C39:C75&amp;D39:D75,F39:F75)</f>
        <v>PTDL_TONGHOP_FEATURE3Phát triển</v>
      </c>
      <c r="F39" s="288">
        <v>33</v>
      </c>
    </row>
    <row r="40" spans="1:6" ht="36">
      <c r="A40" s="222">
        <v>37</v>
      </c>
      <c r="B40" s="387"/>
      <c r="C40" s="289" t="s">
        <v>491</v>
      </c>
      <c r="D40" s="223" t="s">
        <v>43</v>
      </c>
      <c r="E40" s="223" t="str">
        <f>CHOOSE({1,2},C40:C76&amp;D40:D76,F40:F76)</f>
        <v>PTDL_TONGHOP_FEATURE4Phát triển</v>
      </c>
      <c r="F40" s="288">
        <v>48</v>
      </c>
    </row>
    <row r="41" spans="1:6">
      <c r="A41" s="222"/>
      <c r="B41" s="222"/>
      <c r="C41" s="226"/>
      <c r="D41" s="226"/>
      <c r="E41" s="226"/>
      <c r="F41" s="228"/>
    </row>
    <row r="42" spans="1:6">
      <c r="A42" s="222"/>
      <c r="B42" s="222"/>
      <c r="C42" s="226"/>
      <c r="D42" s="226"/>
      <c r="E42" s="226"/>
      <c r="F42" s="228"/>
    </row>
    <row r="43" spans="1:6">
      <c r="A43" s="222"/>
      <c r="B43" s="222"/>
      <c r="C43" s="226"/>
      <c r="D43" s="226"/>
      <c r="E43" s="226"/>
      <c r="F43" s="228"/>
    </row>
    <row r="44" spans="1:6">
      <c r="A44" s="222"/>
      <c r="B44" s="222"/>
      <c r="C44" s="226"/>
      <c r="D44" s="226"/>
      <c r="E44" s="226"/>
      <c r="F44" s="228"/>
    </row>
    <row r="45" spans="1:6">
      <c r="A45" s="222"/>
      <c r="B45" s="222"/>
      <c r="C45" s="226"/>
      <c r="D45" s="226"/>
      <c r="E45" s="226"/>
      <c r="F45" s="228"/>
    </row>
    <row r="46" spans="1:6">
      <c r="A46" s="222"/>
      <c r="B46" s="222"/>
      <c r="C46" s="226"/>
      <c r="D46" s="226"/>
      <c r="E46" s="226"/>
      <c r="F46" s="228"/>
    </row>
    <row r="47" spans="1:6">
      <c r="A47" s="222"/>
      <c r="B47" s="222"/>
      <c r="C47" s="226"/>
      <c r="D47" s="226"/>
      <c r="E47" s="226"/>
      <c r="F47" s="228"/>
    </row>
    <row r="48" spans="1:6">
      <c r="A48" s="222"/>
      <c r="B48" s="222"/>
      <c r="C48" s="226"/>
      <c r="D48" s="226"/>
      <c r="E48" s="226"/>
      <c r="F48" s="228"/>
    </row>
    <row r="49" spans="1:6">
      <c r="A49" s="222"/>
      <c r="B49" s="222"/>
      <c r="C49" s="226"/>
      <c r="D49" s="226"/>
      <c r="E49" s="226"/>
      <c r="F49" s="228"/>
    </row>
    <row r="50" spans="1:6">
      <c r="A50" s="222"/>
      <c r="B50" s="222"/>
      <c r="C50" s="226"/>
      <c r="D50" s="226"/>
      <c r="E50" s="226"/>
      <c r="F50" s="228"/>
    </row>
    <row r="51" spans="1:6">
      <c r="A51" s="222"/>
      <c r="B51" s="222"/>
      <c r="C51" s="226"/>
      <c r="D51" s="226"/>
      <c r="E51" s="226"/>
      <c r="F51" s="228"/>
    </row>
    <row r="52" spans="1:6">
      <c r="A52" s="222"/>
      <c r="B52" s="222"/>
      <c r="C52" s="226"/>
      <c r="D52" s="226"/>
      <c r="E52" s="226"/>
      <c r="F52" s="228"/>
    </row>
    <row r="53" spans="1:6">
      <c r="A53" s="222"/>
      <c r="B53" s="222"/>
      <c r="C53" s="226"/>
      <c r="D53" s="226"/>
      <c r="E53" s="226"/>
      <c r="F53" s="228"/>
    </row>
    <row r="54" spans="1:6">
      <c r="A54" s="222"/>
      <c r="B54" s="222"/>
      <c r="C54" s="226"/>
      <c r="D54" s="226"/>
      <c r="E54" s="226"/>
      <c r="F54" s="228"/>
    </row>
    <row r="55" spans="1:6">
      <c r="A55" s="222"/>
      <c r="B55" s="222"/>
      <c r="C55" s="225"/>
      <c r="D55" s="224"/>
      <c r="E55" s="224"/>
      <c r="F55" s="227"/>
    </row>
    <row r="56" spans="1:6">
      <c r="A56" s="222"/>
      <c r="B56" s="222"/>
      <c r="C56" s="224"/>
      <c r="D56" s="224"/>
      <c r="E56" s="224"/>
      <c r="F56" s="227"/>
    </row>
  </sheetData>
  <mergeCells count="14">
    <mergeCell ref="B37:B40"/>
    <mergeCell ref="A1:F1"/>
    <mergeCell ref="A2:A3"/>
    <mergeCell ref="C2:C3"/>
    <mergeCell ref="D2:D3"/>
    <mergeCell ref="F2:F3"/>
    <mergeCell ref="B2:B3"/>
    <mergeCell ref="B4:B6"/>
    <mergeCell ref="B7:B9"/>
    <mergeCell ref="B10:B12"/>
    <mergeCell ref="B13:B15"/>
    <mergeCell ref="B16:B18"/>
    <mergeCell ref="B24:B25"/>
    <mergeCell ref="B34:B36"/>
  </mergeCells>
  <pageMargins left="0.7" right="0.7" top="0.75" bottom="0.75" header="0.3" footer="0.3"/>
  <pageSetup scale="70"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D42"/>
  <sheetViews>
    <sheetView topLeftCell="A16" zoomScaleNormal="100" zoomScaleSheetLayoutView="85" workbookViewId="0">
      <selection activeCell="B20" sqref="B20"/>
    </sheetView>
  </sheetViews>
  <sheetFormatPr defaultColWidth="9.1796875" defaultRowHeight="18"/>
  <cols>
    <col min="1" max="1" width="9.1796875" style="288" customWidth="1"/>
    <col min="2" max="2" width="33" style="291" customWidth="1"/>
    <col min="3" max="3" width="38.7265625" style="288" bestFit="1" customWidth="1"/>
    <col min="4" max="4" width="14.54296875" style="290" customWidth="1"/>
    <col min="5" max="9" width="9.1796875" style="284"/>
    <col min="10" max="10" width="19.453125" style="284" customWidth="1"/>
    <col min="11" max="14" width="16.1796875" style="284" customWidth="1"/>
    <col min="15" max="16384" width="9.1796875" style="284"/>
  </cols>
  <sheetData>
    <row r="1" spans="1:4" ht="49.5" customHeight="1">
      <c r="A1" s="388" t="s">
        <v>647</v>
      </c>
      <c r="B1" s="389"/>
      <c r="C1" s="390"/>
      <c r="D1" s="391"/>
    </row>
    <row r="2" spans="1:4" ht="13" customHeight="1">
      <c r="A2" s="392" t="s">
        <v>218</v>
      </c>
      <c r="B2" s="393" t="s">
        <v>648</v>
      </c>
      <c r="C2" s="285" t="s">
        <v>258</v>
      </c>
      <c r="D2" s="392" t="s">
        <v>243</v>
      </c>
    </row>
    <row r="3" spans="1:4" ht="26.25" customHeight="1">
      <c r="A3" s="392"/>
      <c r="B3" s="394"/>
      <c r="C3" s="285" t="s">
        <v>650</v>
      </c>
      <c r="D3" s="392" t="s">
        <v>651</v>
      </c>
    </row>
    <row r="4" spans="1:4">
      <c r="A4" s="222">
        <v>1</v>
      </c>
      <c r="B4" s="400" t="s">
        <v>656</v>
      </c>
      <c r="C4" s="286" t="s">
        <v>494</v>
      </c>
      <c r="D4" s="288">
        <v>12</v>
      </c>
    </row>
    <row r="5" spans="1:4">
      <c r="A5" s="222">
        <v>2</v>
      </c>
      <c r="B5" s="400"/>
      <c r="C5" s="286" t="s">
        <v>497</v>
      </c>
      <c r="D5" s="288">
        <v>16</v>
      </c>
    </row>
    <row r="6" spans="1:4" ht="37.5" customHeight="1">
      <c r="A6" s="222">
        <v>3</v>
      </c>
      <c r="B6" s="400"/>
      <c r="C6" s="286" t="s">
        <v>499</v>
      </c>
      <c r="D6" s="288">
        <v>24</v>
      </c>
    </row>
    <row r="7" spans="1:4">
      <c r="A7" s="222">
        <v>4</v>
      </c>
      <c r="B7" s="395" t="s">
        <v>657</v>
      </c>
      <c r="C7" s="287" t="s">
        <v>501</v>
      </c>
      <c r="D7" s="288">
        <v>1</v>
      </c>
    </row>
    <row r="8" spans="1:4">
      <c r="A8" s="222">
        <v>5</v>
      </c>
      <c r="B8" s="395"/>
      <c r="C8" s="287" t="s">
        <v>503</v>
      </c>
      <c r="D8" s="288">
        <v>2</v>
      </c>
    </row>
    <row r="9" spans="1:4">
      <c r="A9" s="222">
        <v>6</v>
      </c>
      <c r="B9" s="395"/>
      <c r="C9" s="287" t="s">
        <v>504</v>
      </c>
      <c r="D9" s="288">
        <v>3</v>
      </c>
    </row>
    <row r="10" spans="1:4" ht="36">
      <c r="A10" s="222">
        <v>7</v>
      </c>
      <c r="B10" s="287" t="s">
        <v>658</v>
      </c>
      <c r="C10" s="286" t="s">
        <v>505</v>
      </c>
      <c r="D10" s="288">
        <v>2</v>
      </c>
    </row>
    <row r="11" spans="1:4">
      <c r="A11" s="222">
        <v>8</v>
      </c>
      <c r="B11" s="400" t="s">
        <v>659</v>
      </c>
      <c r="C11" s="286" t="s">
        <v>507</v>
      </c>
      <c r="D11" s="288">
        <v>4</v>
      </c>
    </row>
    <row r="12" spans="1:4">
      <c r="A12" s="222">
        <v>9</v>
      </c>
      <c r="B12" s="400"/>
      <c r="C12" s="286" t="s">
        <v>510</v>
      </c>
      <c r="D12" s="288">
        <v>8</v>
      </c>
    </row>
    <row r="13" spans="1:4">
      <c r="A13" s="222">
        <v>10</v>
      </c>
      <c r="B13" s="400"/>
      <c r="C13" s="286" t="s">
        <v>513</v>
      </c>
      <c r="D13" s="288">
        <v>12</v>
      </c>
    </row>
    <row r="14" spans="1:4">
      <c r="A14" s="222">
        <v>11</v>
      </c>
      <c r="B14" s="400" t="s">
        <v>660</v>
      </c>
      <c r="C14" s="286" t="s">
        <v>516</v>
      </c>
      <c r="D14" s="288">
        <v>4</v>
      </c>
    </row>
    <row r="15" spans="1:4">
      <c r="A15" s="222">
        <v>12</v>
      </c>
      <c r="B15" s="400"/>
      <c r="C15" s="286" t="s">
        <v>518</v>
      </c>
      <c r="D15" s="288">
        <v>8</v>
      </c>
    </row>
    <row r="16" spans="1:4">
      <c r="A16" s="222">
        <v>13</v>
      </c>
      <c r="B16" s="400"/>
      <c r="C16" s="286" t="s">
        <v>520</v>
      </c>
      <c r="D16" s="288">
        <v>12</v>
      </c>
    </row>
    <row r="17" spans="1:4">
      <c r="A17" s="222">
        <v>14</v>
      </c>
      <c r="B17" s="400" t="s">
        <v>661</v>
      </c>
      <c r="C17" s="286" t="s">
        <v>522</v>
      </c>
      <c r="D17" s="288">
        <v>4</v>
      </c>
    </row>
    <row r="18" spans="1:4">
      <c r="A18" s="222">
        <v>15</v>
      </c>
      <c r="B18" s="400"/>
      <c r="C18" s="286" t="s">
        <v>525</v>
      </c>
      <c r="D18" s="288">
        <v>8</v>
      </c>
    </row>
    <row r="19" spans="1:4" ht="37.5" customHeight="1">
      <c r="A19" s="222">
        <v>16</v>
      </c>
      <c r="B19" s="400"/>
      <c r="C19" s="286" t="s">
        <v>528</v>
      </c>
      <c r="D19" s="288">
        <v>12</v>
      </c>
    </row>
    <row r="20" spans="1:4" ht="37.5" customHeight="1">
      <c r="A20" s="222">
        <v>17</v>
      </c>
      <c r="B20" s="287" t="s">
        <v>662</v>
      </c>
      <c r="C20" s="286" t="s">
        <v>253</v>
      </c>
      <c r="D20" s="288">
        <v>8</v>
      </c>
    </row>
    <row r="21" spans="1:4" ht="37.5" customHeight="1">
      <c r="A21" s="222">
        <v>18</v>
      </c>
      <c r="B21" s="396" t="s">
        <v>663</v>
      </c>
      <c r="C21" s="287" t="s">
        <v>532</v>
      </c>
      <c r="D21" s="288">
        <v>2</v>
      </c>
    </row>
    <row r="22" spans="1:4" ht="37.5" customHeight="1">
      <c r="A22" s="222">
        <v>19</v>
      </c>
      <c r="B22" s="396"/>
      <c r="C22" s="287" t="s">
        <v>535</v>
      </c>
      <c r="D22" s="288">
        <v>4</v>
      </c>
    </row>
    <row r="23" spans="1:4" ht="37.5" customHeight="1">
      <c r="A23" s="222">
        <v>20</v>
      </c>
      <c r="B23" s="396"/>
      <c r="C23" s="287" t="s">
        <v>538</v>
      </c>
      <c r="D23" s="288">
        <v>8</v>
      </c>
    </row>
    <row r="24" spans="1:4">
      <c r="A24" s="222">
        <v>21</v>
      </c>
      <c r="B24" s="397" t="s">
        <v>664</v>
      </c>
      <c r="C24" s="287" t="s">
        <v>541</v>
      </c>
      <c r="D24" s="288">
        <v>2</v>
      </c>
    </row>
    <row r="25" spans="1:4">
      <c r="A25" s="222">
        <v>22</v>
      </c>
      <c r="B25" s="398"/>
      <c r="C25" s="287" t="s">
        <v>544</v>
      </c>
      <c r="D25" s="288">
        <v>4</v>
      </c>
    </row>
    <row r="26" spans="1:4" ht="37.5" customHeight="1">
      <c r="A26" s="222">
        <v>23</v>
      </c>
      <c r="B26" s="399"/>
      <c r="C26" s="287" t="s">
        <v>547</v>
      </c>
      <c r="D26" s="288">
        <v>8</v>
      </c>
    </row>
    <row r="27" spans="1:4">
      <c r="A27" s="222"/>
      <c r="B27" s="222"/>
      <c r="C27" s="226"/>
      <c r="D27" s="228"/>
    </row>
    <row r="28" spans="1:4">
      <c r="A28" s="222"/>
      <c r="B28" s="222"/>
      <c r="C28" s="226"/>
      <c r="D28" s="228"/>
    </row>
    <row r="29" spans="1:4">
      <c r="A29" s="222"/>
      <c r="B29" s="222"/>
      <c r="C29" s="226"/>
      <c r="D29" s="228"/>
    </row>
    <row r="30" spans="1:4">
      <c r="A30" s="222"/>
      <c r="B30" s="222"/>
      <c r="C30" s="226"/>
      <c r="D30" s="228"/>
    </row>
    <row r="31" spans="1:4">
      <c r="A31" s="222"/>
      <c r="B31" s="222"/>
      <c r="C31" s="226"/>
      <c r="D31" s="228"/>
    </row>
    <row r="32" spans="1:4">
      <c r="A32" s="222"/>
      <c r="B32" s="222"/>
      <c r="C32" s="226"/>
      <c r="D32" s="228"/>
    </row>
    <row r="33" spans="1:4">
      <c r="A33" s="222"/>
      <c r="B33" s="222"/>
      <c r="C33" s="226"/>
      <c r="D33" s="228"/>
    </row>
    <row r="34" spans="1:4">
      <c r="A34" s="222"/>
      <c r="B34" s="222"/>
      <c r="C34" s="226"/>
      <c r="D34" s="228"/>
    </row>
    <row r="35" spans="1:4">
      <c r="A35" s="222"/>
      <c r="B35" s="222"/>
      <c r="C35" s="226"/>
      <c r="D35" s="228"/>
    </row>
    <row r="36" spans="1:4">
      <c r="A36" s="222"/>
      <c r="B36" s="222"/>
      <c r="C36" s="226"/>
      <c r="D36" s="228"/>
    </row>
    <row r="37" spans="1:4">
      <c r="A37" s="222"/>
      <c r="B37" s="222"/>
      <c r="C37" s="226"/>
      <c r="D37" s="228"/>
    </row>
    <row r="38" spans="1:4">
      <c r="A38" s="222"/>
      <c r="B38" s="222"/>
      <c r="C38" s="226"/>
      <c r="D38" s="228"/>
    </row>
    <row r="39" spans="1:4">
      <c r="A39" s="222"/>
      <c r="B39" s="222"/>
      <c r="C39" s="226"/>
      <c r="D39" s="228"/>
    </row>
    <row r="40" spans="1:4">
      <c r="A40" s="222"/>
      <c r="B40" s="222"/>
      <c r="C40" s="226"/>
      <c r="D40" s="228"/>
    </row>
    <row r="41" spans="1:4">
      <c r="A41" s="222"/>
      <c r="B41" s="222"/>
      <c r="C41" s="225"/>
      <c r="D41" s="227"/>
    </row>
    <row r="42" spans="1:4">
      <c r="A42" s="222"/>
      <c r="B42" s="222"/>
      <c r="C42" s="224"/>
      <c r="D42" s="227"/>
    </row>
  </sheetData>
  <mergeCells count="11">
    <mergeCell ref="B24:B26"/>
    <mergeCell ref="A1:D1"/>
    <mergeCell ref="A2:A3"/>
    <mergeCell ref="B2:B3"/>
    <mergeCell ref="D2:D3"/>
    <mergeCell ref="B4:B6"/>
    <mergeCell ref="B7:B9"/>
    <mergeCell ref="B11:B13"/>
    <mergeCell ref="B14:B16"/>
    <mergeCell ref="B17:B19"/>
    <mergeCell ref="B21:B23"/>
  </mergeCells>
  <pageMargins left="0.7" right="0.7" top="0.75" bottom="0.75" header="0.3" footer="0.3"/>
  <pageSetup scale="70"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L12"/>
  <sheetViews>
    <sheetView topLeftCell="A4" workbookViewId="0">
      <selection activeCell="G12" sqref="G12"/>
    </sheetView>
  </sheetViews>
  <sheetFormatPr defaultRowHeight="12.5"/>
  <cols>
    <col min="2" max="2" width="20" customWidth="1"/>
    <col min="4" max="4" width="22" customWidth="1"/>
    <col min="5" max="5" width="10" hidden="1" customWidth="1"/>
    <col min="9" max="9" width="12.54296875" customWidth="1"/>
  </cols>
  <sheetData>
    <row r="4" spans="1:12" ht="15.75" customHeight="1">
      <c r="A4" s="403" t="s">
        <v>665</v>
      </c>
      <c r="B4" s="404"/>
      <c r="C4" s="404"/>
      <c r="D4" s="404"/>
      <c r="E4" s="404"/>
      <c r="F4" s="404"/>
      <c r="G4" s="405"/>
      <c r="H4" s="159"/>
      <c r="I4" s="159"/>
      <c r="J4" s="119"/>
      <c r="K4" s="119"/>
      <c r="L4" s="119"/>
    </row>
    <row r="5" spans="1:12" ht="15.5">
      <c r="A5" s="338" t="s">
        <v>33</v>
      </c>
      <c r="B5" s="339"/>
      <c r="C5" s="339"/>
      <c r="D5" s="339"/>
      <c r="E5" s="339"/>
      <c r="F5" s="339"/>
      <c r="G5" s="340"/>
      <c r="H5" s="119"/>
      <c r="I5" s="119"/>
      <c r="J5" s="119"/>
      <c r="K5" s="119"/>
      <c r="L5" s="119"/>
    </row>
    <row r="6" spans="1:12" ht="31">
      <c r="A6" s="54" t="s">
        <v>34</v>
      </c>
      <c r="B6" s="55" t="s">
        <v>35</v>
      </c>
      <c r="C6" s="408" t="s">
        <v>36</v>
      </c>
      <c r="D6" s="409"/>
      <c r="E6" s="56" t="s">
        <v>244</v>
      </c>
      <c r="F6" s="160" t="s">
        <v>666</v>
      </c>
      <c r="G6" s="161" t="s">
        <v>667</v>
      </c>
    </row>
    <row r="7" spans="1:12" ht="48" customHeight="1">
      <c r="A7" s="50">
        <v>1</v>
      </c>
      <c r="B7" s="51" t="s">
        <v>668</v>
      </c>
      <c r="C7" s="406" t="s">
        <v>669</v>
      </c>
      <c r="D7" s="407"/>
      <c r="E7" s="52">
        <v>20.5</v>
      </c>
      <c r="F7" s="162">
        <f t="shared" ref="F7:F12" si="0">E7/E$12</f>
        <v>9.1517857142857137E-2</v>
      </c>
      <c r="G7" s="163" t="s">
        <v>237</v>
      </c>
    </row>
    <row r="8" spans="1:12" ht="105" customHeight="1">
      <c r="A8" s="50">
        <v>2</v>
      </c>
      <c r="B8" s="51" t="s">
        <v>670</v>
      </c>
      <c r="C8" s="406" t="s">
        <v>671</v>
      </c>
      <c r="D8" s="407"/>
      <c r="E8" s="52">
        <v>10</v>
      </c>
      <c r="F8" s="162">
        <f t="shared" si="0"/>
        <v>4.4642857142857144E-2</v>
      </c>
      <c r="G8" s="118" t="s">
        <v>237</v>
      </c>
    </row>
    <row r="9" spans="1:12" ht="44.25" customHeight="1">
      <c r="A9" s="50">
        <v>3</v>
      </c>
      <c r="B9" s="51" t="s">
        <v>672</v>
      </c>
      <c r="C9" s="406" t="s">
        <v>673</v>
      </c>
      <c r="D9" s="407"/>
      <c r="E9" s="52">
        <v>15</v>
      </c>
      <c r="F9" s="162">
        <f t="shared" si="0"/>
        <v>6.6964285714285712E-2</v>
      </c>
      <c r="G9" s="118" t="s">
        <v>237</v>
      </c>
    </row>
    <row r="10" spans="1:12" ht="31">
      <c r="A10" s="50">
        <v>4</v>
      </c>
      <c r="B10" s="51" t="s">
        <v>674</v>
      </c>
      <c r="C10" s="406" t="s">
        <v>675</v>
      </c>
      <c r="D10" s="407"/>
      <c r="E10" s="52">
        <v>98</v>
      </c>
      <c r="F10" s="162">
        <f t="shared" si="0"/>
        <v>0.4375</v>
      </c>
      <c r="G10" s="166" t="s">
        <v>237</v>
      </c>
    </row>
    <row r="11" spans="1:12" ht="65.25" customHeight="1">
      <c r="A11" s="50">
        <v>5</v>
      </c>
      <c r="B11" s="57" t="s">
        <v>676</v>
      </c>
      <c r="C11" s="406" t="s">
        <v>677</v>
      </c>
      <c r="D11" s="407"/>
      <c r="E11" s="52">
        <v>80.5</v>
      </c>
      <c r="F11" s="162">
        <f t="shared" si="0"/>
        <v>0.359375</v>
      </c>
      <c r="G11" s="167" t="s">
        <v>237</v>
      </c>
    </row>
    <row r="12" spans="1:12" ht="37">
      <c r="A12" s="56">
        <v>7</v>
      </c>
      <c r="B12" s="58" t="s">
        <v>64</v>
      </c>
      <c r="C12" s="401" t="s">
        <v>678</v>
      </c>
      <c r="D12" s="402"/>
      <c r="E12" s="164">
        <f>SUM(E7:E11)</f>
        <v>224</v>
      </c>
      <c r="F12" s="162">
        <f t="shared" si="0"/>
        <v>1</v>
      </c>
      <c r="G12" s="165"/>
    </row>
  </sheetData>
  <mergeCells count="9">
    <mergeCell ref="C12:D12"/>
    <mergeCell ref="A4:G4"/>
    <mergeCell ref="C11:D11"/>
    <mergeCell ref="C9:D9"/>
    <mergeCell ref="C10:D10"/>
    <mergeCell ref="A5:G5"/>
    <mergeCell ref="C6:D6"/>
    <mergeCell ref="C7:D7"/>
    <mergeCell ref="C8:D8"/>
  </mergeCells>
  <dataValidations count="1">
    <dataValidation type="list" allowBlank="1" showInputMessage="1" showErrorMessage="1" sqref="G8:G9 G11" xr:uid="{00000000-0002-0000-0C00-000000000000}">
      <formula1>"Có,Không"</formula1>
    </dataValidation>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H12"/>
  <sheetViews>
    <sheetView zoomScaleNormal="100" zoomScaleSheetLayoutView="80" workbookViewId="0">
      <selection activeCell="J9" sqref="J9"/>
    </sheetView>
  </sheetViews>
  <sheetFormatPr defaultColWidth="9.1796875" defaultRowHeight="15.5"/>
  <cols>
    <col min="1" max="1" width="6.81640625" style="182" customWidth="1"/>
    <col min="2" max="2" width="16.453125" style="182" customWidth="1"/>
    <col min="3" max="3" width="38.26953125" style="182" customWidth="1"/>
    <col min="4" max="4" width="10.1796875" style="182" customWidth="1"/>
    <col min="5" max="5" width="15.54296875" style="182" customWidth="1"/>
    <col min="6" max="6" width="37.453125" style="182" customWidth="1"/>
    <col min="7" max="7" width="12.26953125" style="182" customWidth="1"/>
    <col min="8" max="8" width="14.1796875" style="182" customWidth="1"/>
    <col min="9" max="16384" width="9.1796875" style="182"/>
  </cols>
  <sheetData>
    <row r="1" spans="1:8" ht="35.25" customHeight="1">
      <c r="A1" s="418" t="s">
        <v>679</v>
      </c>
      <c r="B1" s="418"/>
      <c r="C1" s="418"/>
      <c r="D1" s="418"/>
      <c r="E1" s="418"/>
      <c r="F1" s="418"/>
      <c r="G1" s="418"/>
      <c r="H1" s="418"/>
    </row>
    <row r="2" spans="1:8">
      <c r="A2" s="419" t="s">
        <v>680</v>
      </c>
      <c r="B2" s="419"/>
      <c r="C2" s="419"/>
      <c r="D2" s="419"/>
      <c r="E2" s="419"/>
      <c r="F2" s="419"/>
      <c r="G2" s="419"/>
      <c r="H2" s="419"/>
    </row>
    <row r="3" spans="1:8">
      <c r="A3" s="183"/>
      <c r="B3" s="420" t="s">
        <v>681</v>
      </c>
      <c r="C3" s="420"/>
      <c r="D3" s="420"/>
      <c r="E3" s="420"/>
      <c r="F3" s="420"/>
      <c r="G3" s="420"/>
      <c r="H3" s="420"/>
    </row>
    <row r="4" spans="1:8">
      <c r="A4" s="185"/>
      <c r="B4" s="186" t="s">
        <v>682</v>
      </c>
      <c r="C4" s="186"/>
      <c r="D4" s="186"/>
      <c r="E4" s="186"/>
      <c r="F4" s="185"/>
      <c r="G4" s="185"/>
      <c r="H4" s="185"/>
    </row>
    <row r="5" spans="1:8">
      <c r="A5" s="419" t="s">
        <v>683</v>
      </c>
      <c r="B5" s="419"/>
      <c r="C5" s="419"/>
      <c r="D5" s="419"/>
      <c r="E5" s="419"/>
      <c r="F5" s="419"/>
      <c r="G5" s="419"/>
      <c r="H5" s="419"/>
    </row>
    <row r="6" spans="1:8" s="184" customFormat="1" ht="82.5" customHeight="1">
      <c r="A6" s="168" t="s">
        <v>684</v>
      </c>
      <c r="B6" s="411"/>
      <c r="C6" s="412"/>
      <c r="D6" s="416" t="s">
        <v>685</v>
      </c>
      <c r="E6" s="416"/>
      <c r="F6" s="416"/>
      <c r="G6" s="416"/>
      <c r="H6" s="416"/>
    </row>
    <row r="7" spans="1:8" s="184" customFormat="1" ht="87.75" customHeight="1">
      <c r="A7" s="168" t="s">
        <v>686</v>
      </c>
      <c r="B7" s="411"/>
      <c r="C7" s="412"/>
      <c r="D7" s="410" t="s">
        <v>687</v>
      </c>
      <c r="E7" s="410"/>
      <c r="F7" s="410"/>
      <c r="G7" s="410"/>
      <c r="H7" s="410"/>
    </row>
    <row r="8" spans="1:8" s="184" customFormat="1" ht="113.25" customHeight="1">
      <c r="A8" s="168" t="s">
        <v>688</v>
      </c>
      <c r="B8" s="411"/>
      <c r="C8" s="412"/>
      <c r="D8" s="413" t="s">
        <v>689</v>
      </c>
      <c r="E8" s="414"/>
      <c r="F8" s="414"/>
      <c r="G8" s="414"/>
      <c r="H8" s="415"/>
    </row>
    <row r="9" spans="1:8" s="184" customFormat="1" ht="82.5" customHeight="1">
      <c r="A9" s="168" t="s">
        <v>690</v>
      </c>
      <c r="B9" s="411"/>
      <c r="C9" s="412"/>
      <c r="D9" s="416" t="s">
        <v>691</v>
      </c>
      <c r="E9" s="416"/>
      <c r="F9" s="416"/>
      <c r="G9" s="416"/>
      <c r="H9" s="416"/>
    </row>
    <row r="10" spans="1:8" s="184" customFormat="1" ht="82.5" customHeight="1">
      <c r="A10" s="168" t="s">
        <v>692</v>
      </c>
      <c r="B10" s="411"/>
      <c r="C10" s="412"/>
      <c r="D10" s="416" t="s">
        <v>693</v>
      </c>
      <c r="E10" s="416"/>
      <c r="F10" s="416"/>
      <c r="G10" s="416"/>
      <c r="H10" s="416"/>
    </row>
    <row r="12" spans="1:8">
      <c r="B12" s="417"/>
      <c r="C12" s="417"/>
      <c r="D12" s="417"/>
      <c r="E12" s="417"/>
      <c r="F12" s="417"/>
      <c r="G12" s="417"/>
      <c r="H12" s="417"/>
    </row>
  </sheetData>
  <mergeCells count="15">
    <mergeCell ref="A1:H1"/>
    <mergeCell ref="A2:H2"/>
    <mergeCell ref="B3:H3"/>
    <mergeCell ref="A5:H5"/>
    <mergeCell ref="D6:H6"/>
    <mergeCell ref="B6:C6"/>
    <mergeCell ref="D7:H7"/>
    <mergeCell ref="B8:C8"/>
    <mergeCell ref="D8:H8"/>
    <mergeCell ref="D9:H9"/>
    <mergeCell ref="B12:H12"/>
    <mergeCell ref="B7:C7"/>
    <mergeCell ref="B9:C9"/>
    <mergeCell ref="B10:C10"/>
    <mergeCell ref="D10:H10"/>
  </mergeCells>
  <pageMargins left="0.7" right="0.7" top="0.75" bottom="0.75" header="0.3" footer="0.3"/>
  <pageSetup paperSize="9" scale="5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F15"/>
  <sheetViews>
    <sheetView topLeftCell="A4" zoomScale="85" zoomScaleNormal="85" workbookViewId="0">
      <selection activeCell="C11" sqref="C11:F11"/>
    </sheetView>
  </sheetViews>
  <sheetFormatPr defaultColWidth="9.1796875" defaultRowHeight="13"/>
  <cols>
    <col min="1" max="1" width="9.81640625" style="192" customWidth="1"/>
    <col min="2" max="2" width="38.26953125" style="192" customWidth="1"/>
    <col min="3" max="3" width="10.1796875" style="192" customWidth="1"/>
    <col min="4" max="4" width="15.54296875" style="192" customWidth="1"/>
    <col min="5" max="5" width="12.26953125" style="192" customWidth="1"/>
    <col min="6" max="6" width="65.1796875" style="192" customWidth="1"/>
    <col min="7" max="16384" width="9.1796875" style="192"/>
  </cols>
  <sheetData>
    <row r="1" spans="1:6" ht="35.25" customHeight="1">
      <c r="A1" s="423" t="s">
        <v>694</v>
      </c>
      <c r="B1" s="423"/>
      <c r="C1" s="423"/>
      <c r="D1" s="423"/>
      <c r="E1" s="423"/>
      <c r="F1" s="423"/>
    </row>
    <row r="2" spans="1:6" ht="45.75" customHeight="1">
      <c r="A2" s="424" t="s">
        <v>695</v>
      </c>
      <c r="B2" s="424"/>
      <c r="C2" s="424"/>
      <c r="D2" s="424"/>
      <c r="E2" s="424"/>
      <c r="F2" s="424"/>
    </row>
    <row r="3" spans="1:6" ht="17.5">
      <c r="A3" s="424" t="s">
        <v>696</v>
      </c>
      <c r="B3" s="424"/>
      <c r="C3" s="424"/>
      <c r="D3" s="424"/>
      <c r="E3" s="424"/>
      <c r="F3" s="424"/>
    </row>
    <row r="4" spans="1:6" ht="17.5">
      <c r="A4" s="193"/>
      <c r="B4" s="193"/>
      <c r="C4" s="193"/>
      <c r="D4" s="193"/>
      <c r="E4" s="193"/>
      <c r="F4" s="193"/>
    </row>
    <row r="5" spans="1:6" s="196" customFormat="1" ht="30">
      <c r="A5" s="194" t="s">
        <v>34</v>
      </c>
      <c r="B5" s="195" t="s">
        <v>697</v>
      </c>
      <c r="C5" s="195" t="s">
        <v>698</v>
      </c>
      <c r="D5" s="195" t="s">
        <v>699</v>
      </c>
      <c r="E5" s="195" t="s">
        <v>698</v>
      </c>
      <c r="F5" s="195" t="s">
        <v>699</v>
      </c>
    </row>
    <row r="6" spans="1:6" s="196" customFormat="1" ht="213" customHeight="1">
      <c r="A6" s="197">
        <v>1</v>
      </c>
      <c r="B6" s="198" t="s">
        <v>700</v>
      </c>
      <c r="C6" s="199" t="s">
        <v>701</v>
      </c>
      <c r="D6" s="200" t="s">
        <v>702</v>
      </c>
      <c r="E6" s="199" t="s">
        <v>703</v>
      </c>
      <c r="F6" s="200" t="s">
        <v>704</v>
      </c>
    </row>
    <row r="7" spans="1:6" ht="16.5">
      <c r="A7" s="201"/>
      <c r="B7" s="202"/>
      <c r="C7" s="202"/>
      <c r="D7" s="202"/>
      <c r="E7" s="201"/>
      <c r="F7" s="201"/>
    </row>
    <row r="8" spans="1:6" ht="17.5">
      <c r="A8" s="424" t="s">
        <v>705</v>
      </c>
      <c r="B8" s="424"/>
      <c r="C8" s="424"/>
      <c r="D8" s="424"/>
      <c r="E8" s="424"/>
      <c r="F8" s="424"/>
    </row>
    <row r="9" spans="1:6" s="203" customFormat="1" ht="82.5" customHeight="1">
      <c r="A9" s="168" t="s">
        <v>684</v>
      </c>
      <c r="B9" s="191"/>
      <c r="C9" s="416" t="s">
        <v>706</v>
      </c>
      <c r="D9" s="416"/>
      <c r="E9" s="416"/>
      <c r="F9" s="416"/>
    </row>
    <row r="10" spans="1:6" s="203" customFormat="1" ht="87.75" customHeight="1">
      <c r="A10" s="168" t="s">
        <v>686</v>
      </c>
      <c r="B10" s="191"/>
      <c r="C10" s="410" t="s">
        <v>707</v>
      </c>
      <c r="D10" s="410"/>
      <c r="E10" s="410"/>
      <c r="F10" s="410"/>
    </row>
    <row r="11" spans="1:6" s="203" customFormat="1" ht="188.25" customHeight="1">
      <c r="A11" s="168" t="s">
        <v>688</v>
      </c>
      <c r="B11" s="191"/>
      <c r="C11" s="421" t="s">
        <v>708</v>
      </c>
      <c r="D11" s="414"/>
      <c r="E11" s="414"/>
      <c r="F11" s="415"/>
    </row>
    <row r="12" spans="1:6" s="203" customFormat="1" ht="82.5" customHeight="1">
      <c r="A12" s="168" t="s">
        <v>690</v>
      </c>
      <c r="B12" s="191"/>
      <c r="C12" s="416" t="s">
        <v>709</v>
      </c>
      <c r="D12" s="416"/>
      <c r="E12" s="416"/>
      <c r="F12" s="416"/>
    </row>
    <row r="13" spans="1:6" s="203" customFormat="1" ht="82.5" customHeight="1">
      <c r="A13" s="168" t="s">
        <v>692</v>
      </c>
      <c r="B13" s="191"/>
      <c r="C13" s="416" t="s">
        <v>710</v>
      </c>
      <c r="D13" s="416"/>
      <c r="E13" s="416"/>
      <c r="F13" s="416"/>
    </row>
    <row r="15" spans="1:6">
      <c r="B15" s="422"/>
      <c r="C15" s="422"/>
      <c r="D15" s="422"/>
      <c r="E15" s="422"/>
      <c r="F15" s="422"/>
    </row>
  </sheetData>
  <mergeCells count="10">
    <mergeCell ref="C11:F11"/>
    <mergeCell ref="C12:F12"/>
    <mergeCell ref="C13:F13"/>
    <mergeCell ref="B15:F15"/>
    <mergeCell ref="A1:F1"/>
    <mergeCell ref="A2:F2"/>
    <mergeCell ref="A3:F3"/>
    <mergeCell ref="A8:F8"/>
    <mergeCell ref="C9:F9"/>
    <mergeCell ref="C10:F1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59"/>
  <sheetViews>
    <sheetView topLeftCell="A247" workbookViewId="0">
      <selection activeCell="H259" sqref="H259"/>
    </sheetView>
  </sheetViews>
  <sheetFormatPr defaultRowHeight="12.5"/>
  <cols>
    <col min="1" max="1" width="6.7265625" customWidth="1"/>
    <col min="2" max="2" width="14.26953125" customWidth="1"/>
    <col min="3" max="3" width="15.453125" customWidth="1"/>
    <col min="4" max="4" width="37.54296875" customWidth="1"/>
    <col min="5" max="5" width="18" customWidth="1"/>
  </cols>
  <sheetData>
    <row r="1" spans="1:5" ht="49" customHeight="1">
      <c r="A1" s="341" t="s">
        <v>711</v>
      </c>
      <c r="B1" s="341"/>
      <c r="C1" s="341"/>
      <c r="D1" s="341"/>
      <c r="E1" s="341"/>
    </row>
    <row r="2" spans="1:5">
      <c r="A2" s="119"/>
      <c r="B2" s="119"/>
      <c r="C2" s="119"/>
      <c r="D2" s="119"/>
      <c r="E2" s="119"/>
    </row>
    <row r="3" spans="1:5">
      <c r="A3" s="370" t="s">
        <v>218</v>
      </c>
      <c r="B3" s="370" t="s">
        <v>258</v>
      </c>
      <c r="C3" s="370" t="s">
        <v>649</v>
      </c>
      <c r="D3" s="370" t="s">
        <v>35</v>
      </c>
      <c r="E3" s="370" t="s">
        <v>243</v>
      </c>
    </row>
    <row r="4" spans="1:5">
      <c r="A4" s="370"/>
      <c r="B4" s="370" t="s">
        <v>650</v>
      </c>
      <c r="C4" s="370"/>
      <c r="D4" s="370"/>
      <c r="E4" s="370" t="s">
        <v>651</v>
      </c>
    </row>
    <row r="5" spans="1:5" ht="15.5">
      <c r="A5" s="120">
        <v>1</v>
      </c>
      <c r="B5" s="121" t="s">
        <v>74</v>
      </c>
      <c r="C5" s="121" t="s">
        <v>712</v>
      </c>
      <c r="D5" s="121" t="str">
        <f>"Thực hiện "&amp;C5&amp;" cho "&amp;B5</f>
        <v>Thực hiện QTDA cho NVJ1-PTM</v>
      </c>
      <c r="E5" s="122">
        <v>3</v>
      </c>
    </row>
    <row r="6" spans="1:5" ht="15.5">
      <c r="A6" s="120">
        <v>2</v>
      </c>
      <c r="B6" s="121" t="s">
        <v>74</v>
      </c>
      <c r="C6" s="121" t="s">
        <v>713</v>
      </c>
      <c r="D6" s="121" t="str">
        <f t="shared" ref="D6:D31" si="0">"Thực hiện "&amp;C6&amp;" cho "&amp;B6</f>
        <v>Thực hiện tạo PTYC cho NVJ1-PTM</v>
      </c>
      <c r="E6" s="122">
        <v>2</v>
      </c>
    </row>
    <row r="7" spans="1:5" ht="15.5">
      <c r="A7" s="120">
        <v>3</v>
      </c>
      <c r="B7" s="121" t="s">
        <v>74</v>
      </c>
      <c r="C7" s="121" t="s">
        <v>714</v>
      </c>
      <c r="D7" s="121" t="str">
        <f t="shared" si="0"/>
        <v>Thực hiện TKCSDL cho NVJ1-PTM</v>
      </c>
      <c r="E7" s="122">
        <v>1</v>
      </c>
    </row>
    <row r="8" spans="1:5" ht="15.5">
      <c r="A8" s="120">
        <v>4</v>
      </c>
      <c r="B8" s="121" t="s">
        <v>74</v>
      </c>
      <c r="C8" s="121" t="s">
        <v>715</v>
      </c>
      <c r="D8" s="121" t="str">
        <f t="shared" si="0"/>
        <v>Thực hiện TKCT cho NVJ1-PTM</v>
      </c>
      <c r="E8" s="122">
        <v>1</v>
      </c>
    </row>
    <row r="9" spans="1:5" ht="15.5">
      <c r="A9" s="120">
        <v>5</v>
      </c>
      <c r="B9" s="121" t="s">
        <v>74</v>
      </c>
      <c r="C9" s="121" t="s">
        <v>716</v>
      </c>
      <c r="D9" s="121" t="str">
        <f t="shared" si="0"/>
        <v>Thực hiện Lập trình cho NVJ1-PTM</v>
      </c>
      <c r="E9" s="122">
        <v>10</v>
      </c>
    </row>
    <row r="10" spans="1:5" ht="15.5">
      <c r="A10" s="120">
        <v>6</v>
      </c>
      <c r="B10" s="121" t="s">
        <v>74</v>
      </c>
      <c r="C10" s="121" t="s">
        <v>717</v>
      </c>
      <c r="D10" s="121" t="str">
        <f t="shared" si="0"/>
        <v>Thực hiện viết Unit test cho NVJ1-PTM</v>
      </c>
      <c r="E10" s="122">
        <v>6</v>
      </c>
    </row>
    <row r="11" spans="1:5" ht="31">
      <c r="A11" s="120">
        <v>7</v>
      </c>
      <c r="B11" s="121" t="s">
        <v>74</v>
      </c>
      <c r="C11" s="121" t="s">
        <v>718</v>
      </c>
      <c r="D11" s="121" t="str">
        <f t="shared" si="0"/>
        <v>Thực hiện viết kịch bản kiểm thử cho NVJ1-PTM</v>
      </c>
      <c r="E11" s="122">
        <v>4</v>
      </c>
    </row>
    <row r="12" spans="1:5" ht="15.5">
      <c r="A12" s="120">
        <v>8</v>
      </c>
      <c r="B12" s="121" t="s">
        <v>74</v>
      </c>
      <c r="C12" s="121" t="s">
        <v>719</v>
      </c>
      <c r="D12" s="121" t="str">
        <f t="shared" si="0"/>
        <v>Thực hiện kiểm thử cho NVJ1-PTM</v>
      </c>
      <c r="E12" s="122">
        <v>4</v>
      </c>
    </row>
    <row r="13" spans="1:5" ht="15.5">
      <c r="A13" s="120">
        <v>9</v>
      </c>
      <c r="B13" s="121" t="s">
        <v>74</v>
      </c>
      <c r="C13" s="121" t="s">
        <v>720</v>
      </c>
      <c r="D13" s="121" t="str">
        <f t="shared" si="0"/>
        <v>Thực hiện viết HDSD cho NVJ1-PTM</v>
      </c>
      <c r="E13" s="122">
        <v>1</v>
      </c>
    </row>
    <row r="14" spans="1:5" ht="15.5">
      <c r="A14" s="120">
        <v>10</v>
      </c>
      <c r="B14" s="123" t="s">
        <v>79</v>
      </c>
      <c r="C14" s="123" t="s">
        <v>712</v>
      </c>
      <c r="D14" s="123" t="str">
        <f t="shared" si="0"/>
        <v>Thực hiện QTDA cho NVJ2-PTM</v>
      </c>
      <c r="E14" s="124">
        <v>5</v>
      </c>
    </row>
    <row r="15" spans="1:5" ht="15.5">
      <c r="A15" s="120">
        <v>11</v>
      </c>
      <c r="B15" s="123" t="s">
        <v>79</v>
      </c>
      <c r="C15" s="123" t="s">
        <v>713</v>
      </c>
      <c r="D15" s="123" t="str">
        <f t="shared" si="0"/>
        <v>Thực hiện tạo PTYC cho NVJ2-PTM</v>
      </c>
      <c r="E15" s="124">
        <v>4</v>
      </c>
    </row>
    <row r="16" spans="1:5" ht="15.5">
      <c r="A16" s="120">
        <v>12</v>
      </c>
      <c r="B16" s="123" t="s">
        <v>79</v>
      </c>
      <c r="C16" s="123" t="s">
        <v>714</v>
      </c>
      <c r="D16" s="123" t="str">
        <f t="shared" si="0"/>
        <v>Thực hiện TKCSDL cho NVJ2-PTM</v>
      </c>
      <c r="E16" s="124">
        <v>1</v>
      </c>
    </row>
    <row r="17" spans="1:5" ht="15.5">
      <c r="A17" s="120">
        <v>13</v>
      </c>
      <c r="B17" s="123" t="s">
        <v>79</v>
      </c>
      <c r="C17" s="123" t="s">
        <v>715</v>
      </c>
      <c r="D17" s="123" t="str">
        <f t="shared" si="0"/>
        <v>Thực hiện TKCT cho NVJ2-PTM</v>
      </c>
      <c r="E17" s="124">
        <v>2</v>
      </c>
    </row>
    <row r="18" spans="1:5" ht="15.5">
      <c r="A18" s="120">
        <v>14</v>
      </c>
      <c r="B18" s="123" t="s">
        <v>79</v>
      </c>
      <c r="C18" s="123" t="s">
        <v>716</v>
      </c>
      <c r="D18" s="123" t="str">
        <f t="shared" si="0"/>
        <v>Thực hiện Lập trình cho NVJ2-PTM</v>
      </c>
      <c r="E18" s="124">
        <v>14</v>
      </c>
    </row>
    <row r="19" spans="1:5" ht="15.5">
      <c r="A19" s="120">
        <v>15</v>
      </c>
      <c r="B19" s="123" t="s">
        <v>79</v>
      </c>
      <c r="C19" s="123" t="s">
        <v>717</v>
      </c>
      <c r="D19" s="123" t="str">
        <f t="shared" si="0"/>
        <v>Thực hiện viết Unit test cho NVJ2-PTM</v>
      </c>
      <c r="E19" s="124">
        <v>9</v>
      </c>
    </row>
    <row r="20" spans="1:5" ht="31">
      <c r="A20" s="120">
        <v>16</v>
      </c>
      <c r="B20" s="123" t="s">
        <v>79</v>
      </c>
      <c r="C20" s="123" t="s">
        <v>718</v>
      </c>
      <c r="D20" s="123" t="str">
        <f t="shared" si="0"/>
        <v>Thực hiện viết kịch bản kiểm thử cho NVJ2-PTM</v>
      </c>
      <c r="E20" s="124">
        <v>6</v>
      </c>
    </row>
    <row r="21" spans="1:5" ht="15.5">
      <c r="A21" s="120">
        <v>17</v>
      </c>
      <c r="B21" s="123" t="s">
        <v>79</v>
      </c>
      <c r="C21" s="123" t="s">
        <v>719</v>
      </c>
      <c r="D21" s="123" t="str">
        <f t="shared" si="0"/>
        <v>Thực hiện kiểm thử cho NVJ2-PTM</v>
      </c>
      <c r="E21" s="124">
        <v>6</v>
      </c>
    </row>
    <row r="22" spans="1:5" ht="15.5">
      <c r="A22" s="120">
        <v>18</v>
      </c>
      <c r="B22" s="123" t="s">
        <v>79</v>
      </c>
      <c r="C22" s="123" t="s">
        <v>720</v>
      </c>
      <c r="D22" s="123" t="str">
        <f t="shared" si="0"/>
        <v>Thực hiện viết HDSD cho NVJ2-PTM</v>
      </c>
      <c r="E22" s="124">
        <v>2</v>
      </c>
    </row>
    <row r="23" spans="1:5" ht="15.5">
      <c r="A23" s="120">
        <v>19</v>
      </c>
      <c r="B23" s="121" t="s">
        <v>83</v>
      </c>
      <c r="C23" s="121" t="s">
        <v>712</v>
      </c>
      <c r="D23" s="121" t="str">
        <f t="shared" si="0"/>
        <v>Thực hiện QTDA cho NVJ3-PTM</v>
      </c>
      <c r="E23" s="122">
        <v>8</v>
      </c>
    </row>
    <row r="24" spans="1:5" ht="15.5">
      <c r="A24" s="120">
        <v>20</v>
      </c>
      <c r="B24" s="121" t="s">
        <v>83</v>
      </c>
      <c r="C24" s="121" t="s">
        <v>713</v>
      </c>
      <c r="D24" s="121" t="str">
        <f t="shared" si="0"/>
        <v>Thực hiện tạo PTYC cho NVJ3-PTM</v>
      </c>
      <c r="E24" s="122">
        <v>8</v>
      </c>
    </row>
    <row r="25" spans="1:5" ht="15.5">
      <c r="A25" s="120">
        <v>21</v>
      </c>
      <c r="B25" s="121" t="s">
        <v>83</v>
      </c>
      <c r="C25" s="121" t="s">
        <v>714</v>
      </c>
      <c r="D25" s="121" t="str">
        <f t="shared" si="0"/>
        <v>Thực hiện TKCSDL cho NVJ3-PTM</v>
      </c>
      <c r="E25" s="122">
        <v>2</v>
      </c>
    </row>
    <row r="26" spans="1:5" ht="15.5">
      <c r="A26" s="120">
        <v>22</v>
      </c>
      <c r="B26" s="121" t="s">
        <v>83</v>
      </c>
      <c r="C26" s="121" t="s">
        <v>715</v>
      </c>
      <c r="D26" s="121" t="str">
        <f t="shared" si="0"/>
        <v>Thực hiện TKCT cho NVJ3-PTM</v>
      </c>
      <c r="E26" s="122">
        <v>2</v>
      </c>
    </row>
    <row r="27" spans="1:5" ht="15.5">
      <c r="A27" s="120">
        <v>23</v>
      </c>
      <c r="B27" s="121" t="s">
        <v>83</v>
      </c>
      <c r="C27" s="121" t="s">
        <v>716</v>
      </c>
      <c r="D27" s="121" t="str">
        <f t="shared" si="0"/>
        <v>Thực hiện Lập trình cho NVJ3-PTM</v>
      </c>
      <c r="E27" s="122">
        <v>18</v>
      </c>
    </row>
    <row r="28" spans="1:5" ht="15.5">
      <c r="A28" s="120">
        <v>24</v>
      </c>
      <c r="B28" s="121" t="s">
        <v>83</v>
      </c>
      <c r="C28" s="121" t="s">
        <v>717</v>
      </c>
      <c r="D28" s="121" t="str">
        <f t="shared" si="0"/>
        <v>Thực hiện viết Unit test cho NVJ3-PTM</v>
      </c>
      <c r="E28" s="122">
        <v>12</v>
      </c>
    </row>
    <row r="29" spans="1:5" ht="31">
      <c r="A29" s="120">
        <v>25</v>
      </c>
      <c r="B29" s="121" t="s">
        <v>83</v>
      </c>
      <c r="C29" s="121" t="s">
        <v>718</v>
      </c>
      <c r="D29" s="121" t="str">
        <f t="shared" si="0"/>
        <v>Thực hiện viết kịch bản kiểm thử cho NVJ3-PTM</v>
      </c>
      <c r="E29" s="122">
        <v>10</v>
      </c>
    </row>
    <row r="30" spans="1:5" ht="15.5">
      <c r="A30" s="120">
        <v>26</v>
      </c>
      <c r="B30" s="121" t="s">
        <v>83</v>
      </c>
      <c r="C30" s="121" t="s">
        <v>719</v>
      </c>
      <c r="D30" s="121" t="str">
        <f t="shared" si="0"/>
        <v>Thực hiện kiểm thử cho NVJ3-PTM</v>
      </c>
      <c r="E30" s="122">
        <v>10</v>
      </c>
    </row>
    <row r="31" spans="1:5" ht="15.5">
      <c r="A31" s="120">
        <v>27</v>
      </c>
      <c r="B31" s="121" t="s">
        <v>83</v>
      </c>
      <c r="C31" s="121" t="s">
        <v>720</v>
      </c>
      <c r="D31" s="121" t="str">
        <f t="shared" si="0"/>
        <v>Thực hiện viết HDSD cho NVJ3-PTM</v>
      </c>
      <c r="E31" s="122">
        <v>3</v>
      </c>
    </row>
    <row r="32" spans="1:5" ht="15.5">
      <c r="A32" s="120">
        <v>28</v>
      </c>
      <c r="B32" s="123" t="s">
        <v>91</v>
      </c>
      <c r="C32" s="123" t="s">
        <v>712</v>
      </c>
      <c r="D32" s="123" t="str">
        <f>"Thực hiện "&amp;C32&amp;" cho "&amp;B32</f>
        <v>Thực hiện QTDA cho GD_WEB1</v>
      </c>
      <c r="E32" s="124">
        <v>3</v>
      </c>
    </row>
    <row r="33" spans="1:5" ht="15.5">
      <c r="A33" s="120">
        <v>29</v>
      </c>
      <c r="B33" s="123" t="s">
        <v>91</v>
      </c>
      <c r="C33" s="123" t="s">
        <v>713</v>
      </c>
      <c r="D33" s="123" t="str">
        <f t="shared" ref="D33:D96" si="1">"Thực hiện "&amp;C33&amp;" cho "&amp;B33</f>
        <v>Thực hiện tạo PTYC cho GD_WEB1</v>
      </c>
      <c r="E33" s="124">
        <v>2</v>
      </c>
    </row>
    <row r="34" spans="1:5" ht="15.5">
      <c r="A34" s="120">
        <v>30</v>
      </c>
      <c r="B34" s="123" t="s">
        <v>91</v>
      </c>
      <c r="C34" s="123" t="s">
        <v>715</v>
      </c>
      <c r="D34" s="123" t="str">
        <f t="shared" si="1"/>
        <v>Thực hiện TKCT cho GD_WEB1</v>
      </c>
      <c r="E34" s="124">
        <v>1</v>
      </c>
    </row>
    <row r="35" spans="1:5" ht="15.5">
      <c r="A35" s="120">
        <v>31</v>
      </c>
      <c r="B35" s="123" t="s">
        <v>91</v>
      </c>
      <c r="C35" s="123" t="s">
        <v>716</v>
      </c>
      <c r="D35" s="123" t="str">
        <f t="shared" si="1"/>
        <v>Thực hiện Lập trình cho GD_WEB1</v>
      </c>
      <c r="E35" s="124">
        <v>8</v>
      </c>
    </row>
    <row r="36" spans="1:5" ht="31">
      <c r="A36" s="120">
        <v>32</v>
      </c>
      <c r="B36" s="123" t="s">
        <v>91</v>
      </c>
      <c r="C36" s="123" t="s">
        <v>718</v>
      </c>
      <c r="D36" s="123" t="str">
        <f t="shared" si="1"/>
        <v>Thực hiện viết kịch bản kiểm thử cho GD_WEB1</v>
      </c>
      <c r="E36" s="124">
        <v>4</v>
      </c>
    </row>
    <row r="37" spans="1:5" ht="15.5">
      <c r="A37" s="120">
        <v>33</v>
      </c>
      <c r="B37" s="123" t="s">
        <v>91</v>
      </c>
      <c r="C37" s="123" t="s">
        <v>719</v>
      </c>
      <c r="D37" s="123" t="str">
        <f t="shared" si="1"/>
        <v>Thực hiện kiểm thử cho GD_WEB1</v>
      </c>
      <c r="E37" s="124">
        <v>4</v>
      </c>
    </row>
    <row r="38" spans="1:5" ht="46.5">
      <c r="A38" s="120">
        <v>34</v>
      </c>
      <c r="B38" s="123" t="s">
        <v>91</v>
      </c>
      <c r="C38" s="123" t="s">
        <v>721</v>
      </c>
      <c r="D38" s="123" t="str">
        <f t="shared" si="1"/>
        <v>Thực hiện viết kịch bản kiểm thử tự động cho GD_WEB1</v>
      </c>
      <c r="E38" s="124">
        <v>6</v>
      </c>
    </row>
    <row r="39" spans="1:5" ht="15.5">
      <c r="A39" s="120">
        <v>35</v>
      </c>
      <c r="B39" s="123" t="s">
        <v>91</v>
      </c>
      <c r="C39" s="123" t="s">
        <v>720</v>
      </c>
      <c r="D39" s="123" t="str">
        <f t="shared" si="1"/>
        <v>Thực hiện viết HDSD cho GD_WEB1</v>
      </c>
      <c r="E39" s="124">
        <v>1</v>
      </c>
    </row>
    <row r="40" spans="1:5" ht="15.5">
      <c r="A40" s="120">
        <v>36</v>
      </c>
      <c r="B40" s="70" t="s">
        <v>94</v>
      </c>
      <c r="C40" s="121" t="s">
        <v>712</v>
      </c>
      <c r="D40" s="121" t="str">
        <f t="shared" si="1"/>
        <v>Thực hiện QTDA cho GD_WEB2</v>
      </c>
      <c r="E40" s="122">
        <v>5</v>
      </c>
    </row>
    <row r="41" spans="1:5" ht="15.5">
      <c r="A41" s="120">
        <v>37</v>
      </c>
      <c r="B41" s="70" t="s">
        <v>94</v>
      </c>
      <c r="C41" s="121" t="s">
        <v>713</v>
      </c>
      <c r="D41" s="121" t="str">
        <f t="shared" si="1"/>
        <v>Thực hiện tạo PTYC cho GD_WEB2</v>
      </c>
      <c r="E41" s="122">
        <v>2</v>
      </c>
    </row>
    <row r="42" spans="1:5" ht="15.5">
      <c r="A42" s="120">
        <v>38</v>
      </c>
      <c r="B42" s="70" t="s">
        <v>94</v>
      </c>
      <c r="C42" s="121" t="s">
        <v>715</v>
      </c>
      <c r="D42" s="121" t="str">
        <f t="shared" si="1"/>
        <v>Thực hiện TKCT cho GD_WEB2</v>
      </c>
      <c r="E42" s="122">
        <v>2</v>
      </c>
    </row>
    <row r="43" spans="1:5" ht="15.5">
      <c r="A43" s="120">
        <v>39</v>
      </c>
      <c r="B43" s="70" t="s">
        <v>94</v>
      </c>
      <c r="C43" s="121" t="s">
        <v>716</v>
      </c>
      <c r="D43" s="121" t="str">
        <f t="shared" si="1"/>
        <v>Thực hiện Lập trình cho GD_WEB2</v>
      </c>
      <c r="E43" s="122">
        <v>12</v>
      </c>
    </row>
    <row r="44" spans="1:5" ht="31">
      <c r="A44" s="120">
        <v>40</v>
      </c>
      <c r="B44" s="70" t="s">
        <v>94</v>
      </c>
      <c r="C44" s="121" t="s">
        <v>718</v>
      </c>
      <c r="D44" s="121" t="str">
        <f t="shared" si="1"/>
        <v>Thực hiện viết kịch bản kiểm thử cho GD_WEB2</v>
      </c>
      <c r="E44" s="122">
        <v>6</v>
      </c>
    </row>
    <row r="45" spans="1:5" ht="15.5">
      <c r="A45" s="120">
        <v>41</v>
      </c>
      <c r="B45" s="70" t="s">
        <v>94</v>
      </c>
      <c r="C45" s="121" t="s">
        <v>719</v>
      </c>
      <c r="D45" s="121" t="str">
        <f t="shared" si="1"/>
        <v>Thực hiện kiểm thử cho GD_WEB2</v>
      </c>
      <c r="E45" s="122">
        <v>6</v>
      </c>
    </row>
    <row r="46" spans="1:5" ht="46.5">
      <c r="A46" s="120">
        <v>42</v>
      </c>
      <c r="B46" s="70" t="s">
        <v>94</v>
      </c>
      <c r="C46" s="121" t="s">
        <v>721</v>
      </c>
      <c r="D46" s="121" t="str">
        <f t="shared" si="1"/>
        <v>Thực hiện viết kịch bản kiểm thử tự động cho GD_WEB2</v>
      </c>
      <c r="E46" s="122">
        <v>9</v>
      </c>
    </row>
    <row r="47" spans="1:5" ht="15.5">
      <c r="A47" s="120">
        <v>43</v>
      </c>
      <c r="B47" s="70" t="s">
        <v>94</v>
      </c>
      <c r="C47" s="121" t="s">
        <v>720</v>
      </c>
      <c r="D47" s="121" t="str">
        <f t="shared" si="1"/>
        <v>Thực hiện viết HDSD cho GD_WEB2</v>
      </c>
      <c r="E47" s="122">
        <v>2</v>
      </c>
    </row>
    <row r="48" spans="1:5" ht="15.5">
      <c r="A48" s="120">
        <v>44</v>
      </c>
      <c r="B48" s="125" t="s">
        <v>98</v>
      </c>
      <c r="C48" s="123" t="s">
        <v>712</v>
      </c>
      <c r="D48" s="123" t="str">
        <f t="shared" si="1"/>
        <v>Thực hiện QTDA cho GD_WEB3</v>
      </c>
      <c r="E48" s="124">
        <v>8</v>
      </c>
    </row>
    <row r="49" spans="1:5" ht="15.5">
      <c r="A49" s="120">
        <v>45</v>
      </c>
      <c r="B49" s="125" t="s">
        <v>98</v>
      </c>
      <c r="C49" s="123" t="s">
        <v>713</v>
      </c>
      <c r="D49" s="123" t="str">
        <f t="shared" si="1"/>
        <v>Thực hiện tạo PTYC cho GD_WEB3</v>
      </c>
      <c r="E49" s="124">
        <v>2</v>
      </c>
    </row>
    <row r="50" spans="1:5" ht="15.5">
      <c r="A50" s="120">
        <v>46</v>
      </c>
      <c r="B50" s="125" t="s">
        <v>98</v>
      </c>
      <c r="C50" s="123" t="s">
        <v>715</v>
      </c>
      <c r="D50" s="123" t="str">
        <f t="shared" si="1"/>
        <v>Thực hiện TKCT cho GD_WEB3</v>
      </c>
      <c r="E50" s="124">
        <v>4</v>
      </c>
    </row>
    <row r="51" spans="1:5" ht="15.5">
      <c r="A51" s="120">
        <v>47</v>
      </c>
      <c r="B51" s="125" t="s">
        <v>98</v>
      </c>
      <c r="C51" s="123" t="s">
        <v>716</v>
      </c>
      <c r="D51" s="123" t="str">
        <f t="shared" si="1"/>
        <v>Thực hiện Lập trình cho GD_WEB3</v>
      </c>
      <c r="E51" s="124">
        <v>16</v>
      </c>
    </row>
    <row r="52" spans="1:5" ht="31">
      <c r="A52" s="120">
        <v>48</v>
      </c>
      <c r="B52" s="125" t="s">
        <v>98</v>
      </c>
      <c r="C52" s="123" t="s">
        <v>718</v>
      </c>
      <c r="D52" s="123" t="str">
        <f t="shared" si="1"/>
        <v>Thực hiện viết kịch bản kiểm thử cho GD_WEB3</v>
      </c>
      <c r="E52" s="124">
        <v>8</v>
      </c>
    </row>
    <row r="53" spans="1:5" ht="15.5">
      <c r="A53" s="120">
        <v>49</v>
      </c>
      <c r="B53" s="125" t="s">
        <v>98</v>
      </c>
      <c r="C53" s="123" t="s">
        <v>719</v>
      </c>
      <c r="D53" s="123" t="str">
        <f t="shared" si="1"/>
        <v>Thực hiện kiểm thử cho GD_WEB3</v>
      </c>
      <c r="E53" s="124">
        <v>8</v>
      </c>
    </row>
    <row r="54" spans="1:5" ht="46.5">
      <c r="A54" s="120">
        <v>50</v>
      </c>
      <c r="B54" s="125" t="s">
        <v>98</v>
      </c>
      <c r="C54" s="123" t="s">
        <v>721</v>
      </c>
      <c r="D54" s="123" t="str">
        <f t="shared" si="1"/>
        <v>Thực hiện viết kịch bản kiểm thử tự động cho GD_WEB3</v>
      </c>
      <c r="E54" s="124">
        <v>12</v>
      </c>
    </row>
    <row r="55" spans="1:5" ht="15.5">
      <c r="A55" s="120">
        <v>51</v>
      </c>
      <c r="B55" s="125" t="s">
        <v>98</v>
      </c>
      <c r="C55" s="123" t="s">
        <v>720</v>
      </c>
      <c r="D55" s="123" t="str">
        <f t="shared" si="1"/>
        <v>Thực hiện viết HDSD cho GD_WEB3</v>
      </c>
      <c r="E55" s="124">
        <v>3</v>
      </c>
    </row>
    <row r="56" spans="1:5" ht="15.5">
      <c r="A56" s="120">
        <v>52</v>
      </c>
      <c r="B56" s="121" t="s">
        <v>102</v>
      </c>
      <c r="C56" s="121" t="s">
        <v>712</v>
      </c>
      <c r="D56" s="121" t="str">
        <f t="shared" si="1"/>
        <v>Thực hiện QTDA cho BC1</v>
      </c>
      <c r="E56" s="122">
        <v>2</v>
      </c>
    </row>
    <row r="57" spans="1:5" ht="15.5">
      <c r="A57" s="120">
        <v>53</v>
      </c>
      <c r="B57" s="121" t="s">
        <v>102</v>
      </c>
      <c r="C57" s="121" t="s">
        <v>713</v>
      </c>
      <c r="D57" s="121" t="str">
        <f t="shared" si="1"/>
        <v>Thực hiện tạo PTYC cho BC1</v>
      </c>
      <c r="E57" s="122">
        <v>2</v>
      </c>
    </row>
    <row r="58" spans="1:5" ht="15.5">
      <c r="A58" s="120">
        <v>54</v>
      </c>
      <c r="B58" s="121" t="s">
        <v>102</v>
      </c>
      <c r="C58" s="121" t="s">
        <v>714</v>
      </c>
      <c r="D58" s="121" t="str">
        <f t="shared" si="1"/>
        <v>Thực hiện TKCSDL cho BC1</v>
      </c>
      <c r="E58" s="122">
        <v>2</v>
      </c>
    </row>
    <row r="59" spans="1:5" ht="15.5">
      <c r="A59" s="120">
        <v>55</v>
      </c>
      <c r="B59" s="121" t="s">
        <v>102</v>
      </c>
      <c r="C59" s="121" t="s">
        <v>715</v>
      </c>
      <c r="D59" s="121" t="str">
        <f t="shared" si="1"/>
        <v>Thực hiện TKCT cho BC1</v>
      </c>
      <c r="E59" s="122">
        <v>2</v>
      </c>
    </row>
    <row r="60" spans="1:5" ht="31">
      <c r="A60" s="120">
        <v>56</v>
      </c>
      <c r="B60" s="121" t="s">
        <v>102</v>
      </c>
      <c r="C60" s="126" t="s">
        <v>722</v>
      </c>
      <c r="D60" s="121" t="str">
        <f t="shared" si="1"/>
        <v>Thực hiện Cấu hình tổng hợp ETL cho BC1</v>
      </c>
      <c r="E60" s="122">
        <v>4</v>
      </c>
    </row>
    <row r="61" spans="1:5" ht="15.5">
      <c r="A61" s="120">
        <v>57</v>
      </c>
      <c r="B61" s="121" t="s">
        <v>102</v>
      </c>
      <c r="C61" s="126" t="s">
        <v>723</v>
      </c>
      <c r="D61" s="121" t="str">
        <f t="shared" si="1"/>
        <v>Thực hiện Design file birt cho BC1</v>
      </c>
      <c r="E61" s="122">
        <v>3</v>
      </c>
    </row>
    <row r="62" spans="1:5" ht="31">
      <c r="A62" s="120">
        <v>58</v>
      </c>
      <c r="B62" s="121" t="s">
        <v>102</v>
      </c>
      <c r="C62" s="121" t="s">
        <v>718</v>
      </c>
      <c r="D62" s="121" t="str">
        <f t="shared" si="1"/>
        <v>Thực hiện viết kịch bản kiểm thử cho BC1</v>
      </c>
      <c r="E62" s="122">
        <v>2</v>
      </c>
    </row>
    <row r="63" spans="1:5" ht="15.5">
      <c r="A63" s="120">
        <v>59</v>
      </c>
      <c r="B63" s="121" t="s">
        <v>102</v>
      </c>
      <c r="C63" s="121" t="s">
        <v>719</v>
      </c>
      <c r="D63" s="121" t="str">
        <f t="shared" si="1"/>
        <v>Thực hiện kiểm thử cho BC1</v>
      </c>
      <c r="E63" s="122">
        <v>2</v>
      </c>
    </row>
    <row r="64" spans="1:5" ht="15.5">
      <c r="A64" s="120">
        <v>60</v>
      </c>
      <c r="B64" s="121" t="s">
        <v>102</v>
      </c>
      <c r="C64" s="121" t="s">
        <v>720</v>
      </c>
      <c r="D64" s="121" t="str">
        <f t="shared" si="1"/>
        <v>Thực hiện viết HDSD cho BC1</v>
      </c>
      <c r="E64" s="122">
        <v>2</v>
      </c>
    </row>
    <row r="65" spans="1:5" ht="15.5">
      <c r="A65" s="120">
        <v>61</v>
      </c>
      <c r="B65" s="123" t="s">
        <v>107</v>
      </c>
      <c r="C65" s="123" t="s">
        <v>712</v>
      </c>
      <c r="D65" s="123" t="str">
        <f t="shared" si="1"/>
        <v>Thực hiện QTDA cho BC2</v>
      </c>
      <c r="E65" s="124">
        <v>2</v>
      </c>
    </row>
    <row r="66" spans="1:5" ht="15.5">
      <c r="A66" s="120">
        <v>62</v>
      </c>
      <c r="B66" s="123" t="s">
        <v>107</v>
      </c>
      <c r="C66" s="123" t="s">
        <v>713</v>
      </c>
      <c r="D66" s="123" t="str">
        <f t="shared" si="1"/>
        <v>Thực hiện tạo PTYC cho BC2</v>
      </c>
      <c r="E66" s="124">
        <v>2</v>
      </c>
    </row>
    <row r="67" spans="1:5" ht="15.5">
      <c r="A67" s="120">
        <v>63</v>
      </c>
      <c r="B67" s="123" t="s">
        <v>107</v>
      </c>
      <c r="C67" s="123" t="s">
        <v>714</v>
      </c>
      <c r="D67" s="123" t="str">
        <f t="shared" si="1"/>
        <v>Thực hiện TKCSDL cho BC2</v>
      </c>
      <c r="E67" s="124">
        <v>4</v>
      </c>
    </row>
    <row r="68" spans="1:5" ht="15.5">
      <c r="A68" s="120">
        <v>64</v>
      </c>
      <c r="B68" s="123" t="s">
        <v>107</v>
      </c>
      <c r="C68" s="123" t="s">
        <v>715</v>
      </c>
      <c r="D68" s="123" t="str">
        <f t="shared" si="1"/>
        <v>Thực hiện TKCT cho BC2</v>
      </c>
      <c r="E68" s="124">
        <v>4</v>
      </c>
    </row>
    <row r="69" spans="1:5" ht="31">
      <c r="A69" s="120">
        <v>65</v>
      </c>
      <c r="B69" s="123" t="s">
        <v>107</v>
      </c>
      <c r="C69" s="127" t="s">
        <v>722</v>
      </c>
      <c r="D69" s="123" t="str">
        <f t="shared" si="1"/>
        <v>Thực hiện Cấu hình tổng hợp ETL cho BC2</v>
      </c>
      <c r="E69" s="124">
        <v>6</v>
      </c>
    </row>
    <row r="70" spans="1:5" ht="15.5">
      <c r="A70" s="120">
        <v>66</v>
      </c>
      <c r="B70" s="123" t="s">
        <v>107</v>
      </c>
      <c r="C70" s="127" t="s">
        <v>723</v>
      </c>
      <c r="D70" s="123" t="str">
        <f t="shared" si="1"/>
        <v>Thực hiện Design file birt cho BC2</v>
      </c>
      <c r="E70" s="124">
        <v>4</v>
      </c>
    </row>
    <row r="71" spans="1:5" ht="31">
      <c r="A71" s="120">
        <v>67</v>
      </c>
      <c r="B71" s="123" t="s">
        <v>107</v>
      </c>
      <c r="C71" s="123" t="s">
        <v>718</v>
      </c>
      <c r="D71" s="123" t="str">
        <f t="shared" si="1"/>
        <v>Thực hiện viết kịch bản kiểm thử cho BC2</v>
      </c>
      <c r="E71" s="124">
        <v>4</v>
      </c>
    </row>
    <row r="72" spans="1:5" ht="15.5">
      <c r="A72" s="120">
        <v>68</v>
      </c>
      <c r="B72" s="123" t="s">
        <v>107</v>
      </c>
      <c r="C72" s="123" t="s">
        <v>719</v>
      </c>
      <c r="D72" s="123" t="str">
        <f t="shared" si="1"/>
        <v>Thực hiện kiểm thử cho BC2</v>
      </c>
      <c r="E72" s="124">
        <v>6</v>
      </c>
    </row>
    <row r="73" spans="1:5" ht="15.5">
      <c r="A73" s="120">
        <v>69</v>
      </c>
      <c r="B73" s="123" t="s">
        <v>107</v>
      </c>
      <c r="C73" s="123" t="s">
        <v>720</v>
      </c>
      <c r="D73" s="123" t="str">
        <f t="shared" si="1"/>
        <v>Thực hiện viết HDSD cho BC2</v>
      </c>
      <c r="E73" s="124">
        <v>4</v>
      </c>
    </row>
    <row r="74" spans="1:5" ht="15.5">
      <c r="A74" s="120">
        <v>70</v>
      </c>
      <c r="B74" s="121" t="s">
        <v>119</v>
      </c>
      <c r="C74" s="121" t="s">
        <v>712</v>
      </c>
      <c r="D74" s="121" t="str">
        <f t="shared" si="1"/>
        <v>Thực hiện QTDA cho NVJ3-NC</v>
      </c>
      <c r="E74" s="122">
        <v>1.5</v>
      </c>
    </row>
    <row r="75" spans="1:5" ht="15.5">
      <c r="A75" s="120">
        <v>71</v>
      </c>
      <c r="B75" s="121" t="s">
        <v>119</v>
      </c>
      <c r="C75" s="121" t="s">
        <v>713</v>
      </c>
      <c r="D75" s="121" t="str">
        <f t="shared" si="1"/>
        <v>Thực hiện tạo PTYC cho NVJ3-NC</v>
      </c>
      <c r="E75" s="122">
        <v>2</v>
      </c>
    </row>
    <row r="76" spans="1:5" ht="15.5">
      <c r="A76" s="120">
        <v>72</v>
      </c>
      <c r="B76" s="121" t="s">
        <v>119</v>
      </c>
      <c r="C76" s="121" t="s">
        <v>715</v>
      </c>
      <c r="D76" s="121" t="str">
        <f t="shared" si="1"/>
        <v>Thực hiện TKCT cho NVJ3-NC</v>
      </c>
      <c r="E76" s="122">
        <v>1.5</v>
      </c>
    </row>
    <row r="77" spans="1:5" ht="15.5">
      <c r="A77" s="120">
        <v>73</v>
      </c>
      <c r="B77" s="121" t="s">
        <v>119</v>
      </c>
      <c r="C77" s="121" t="s">
        <v>716</v>
      </c>
      <c r="D77" s="121" t="str">
        <f t="shared" si="1"/>
        <v>Thực hiện Lập trình cho NVJ3-NC</v>
      </c>
      <c r="E77" s="122">
        <v>7</v>
      </c>
    </row>
    <row r="78" spans="1:5" ht="31">
      <c r="A78" s="120">
        <v>74</v>
      </c>
      <c r="B78" s="121" t="s">
        <v>119</v>
      </c>
      <c r="C78" s="121" t="s">
        <v>718</v>
      </c>
      <c r="D78" s="121" t="str">
        <f t="shared" si="1"/>
        <v>Thực hiện viết kịch bản kiểm thử cho NVJ3-NC</v>
      </c>
      <c r="E78" s="122">
        <v>1</v>
      </c>
    </row>
    <row r="79" spans="1:5" ht="15.5">
      <c r="A79" s="120">
        <v>75</v>
      </c>
      <c r="B79" s="121" t="s">
        <v>119</v>
      </c>
      <c r="C79" s="121" t="s">
        <v>719</v>
      </c>
      <c r="D79" s="121" t="str">
        <f t="shared" si="1"/>
        <v>Thực hiện kiểm thử cho NVJ3-NC</v>
      </c>
      <c r="E79" s="122">
        <v>4</v>
      </c>
    </row>
    <row r="80" spans="1:5" ht="15.5">
      <c r="A80" s="120">
        <v>76</v>
      </c>
      <c r="B80" s="121" t="s">
        <v>119</v>
      </c>
      <c r="C80" s="121" t="s">
        <v>720</v>
      </c>
      <c r="D80" s="121" t="str">
        <f t="shared" si="1"/>
        <v>Thực hiện viết HDSD cho NVJ3-NC</v>
      </c>
      <c r="E80" s="122">
        <v>1</v>
      </c>
    </row>
    <row r="81" spans="1:5" ht="15.5">
      <c r="A81" s="120">
        <v>77</v>
      </c>
      <c r="B81" s="123" t="s">
        <v>116</v>
      </c>
      <c r="C81" s="123" t="s">
        <v>712</v>
      </c>
      <c r="D81" s="123" t="str">
        <f t="shared" si="1"/>
        <v>Thực hiện QTDA cho NVJ2-NC</v>
      </c>
      <c r="E81" s="124">
        <v>0.75</v>
      </c>
    </row>
    <row r="82" spans="1:5" ht="15.5">
      <c r="A82" s="120">
        <v>78</v>
      </c>
      <c r="B82" s="123" t="s">
        <v>116</v>
      </c>
      <c r="C82" s="123" t="s">
        <v>713</v>
      </c>
      <c r="D82" s="123" t="str">
        <f t="shared" si="1"/>
        <v>Thực hiện tạo PTYC cho NVJ2-NC</v>
      </c>
      <c r="E82" s="124">
        <v>1</v>
      </c>
    </row>
    <row r="83" spans="1:5" ht="15.5">
      <c r="A83" s="120">
        <v>79</v>
      </c>
      <c r="B83" s="123" t="s">
        <v>116</v>
      </c>
      <c r="C83" s="123" t="s">
        <v>715</v>
      </c>
      <c r="D83" s="123" t="str">
        <f t="shared" si="1"/>
        <v>Thực hiện TKCT cho NVJ2-NC</v>
      </c>
      <c r="E83" s="124">
        <v>0.75</v>
      </c>
    </row>
    <row r="84" spans="1:5" ht="15.5">
      <c r="A84" s="120">
        <v>80</v>
      </c>
      <c r="B84" s="123" t="s">
        <v>116</v>
      </c>
      <c r="C84" s="123" t="s">
        <v>716</v>
      </c>
      <c r="D84" s="123" t="str">
        <f t="shared" si="1"/>
        <v>Thực hiện Lập trình cho NVJ2-NC</v>
      </c>
      <c r="E84" s="124">
        <v>3</v>
      </c>
    </row>
    <row r="85" spans="1:5" ht="31">
      <c r="A85" s="120">
        <v>81</v>
      </c>
      <c r="B85" s="123" t="s">
        <v>116</v>
      </c>
      <c r="C85" s="123" t="s">
        <v>718</v>
      </c>
      <c r="D85" s="123" t="str">
        <f t="shared" si="1"/>
        <v>Thực hiện viết kịch bản kiểm thử cho NVJ2-NC</v>
      </c>
      <c r="E85" s="124">
        <v>0.5</v>
      </c>
    </row>
    <row r="86" spans="1:5" ht="15.5">
      <c r="A86" s="120">
        <v>82</v>
      </c>
      <c r="B86" s="123" t="s">
        <v>116</v>
      </c>
      <c r="C86" s="123" t="s">
        <v>719</v>
      </c>
      <c r="D86" s="123" t="str">
        <f t="shared" si="1"/>
        <v>Thực hiện kiểm thử cho NVJ2-NC</v>
      </c>
      <c r="E86" s="124">
        <v>1.5</v>
      </c>
    </row>
    <row r="87" spans="1:5" ht="15.5">
      <c r="A87" s="120">
        <v>83</v>
      </c>
      <c r="B87" s="123" t="s">
        <v>116</v>
      </c>
      <c r="C87" s="123" t="s">
        <v>720</v>
      </c>
      <c r="D87" s="123" t="str">
        <f t="shared" si="1"/>
        <v>Thực hiện viết HDSD cho NVJ2-NC</v>
      </c>
      <c r="E87" s="124">
        <v>0.5</v>
      </c>
    </row>
    <row r="88" spans="1:5" ht="15.5">
      <c r="A88" s="120">
        <v>84</v>
      </c>
      <c r="B88" s="121" t="s">
        <v>113</v>
      </c>
      <c r="C88" s="121" t="s">
        <v>712</v>
      </c>
      <c r="D88" s="121" t="str">
        <f t="shared" si="1"/>
        <v>Thực hiện QTDA cho NVJ1-NC</v>
      </c>
      <c r="E88" s="122">
        <v>0.5</v>
      </c>
    </row>
    <row r="89" spans="1:5" ht="15.5">
      <c r="A89" s="120">
        <v>85</v>
      </c>
      <c r="B89" s="121" t="s">
        <v>113</v>
      </c>
      <c r="C89" s="121" t="s">
        <v>713</v>
      </c>
      <c r="D89" s="121" t="str">
        <f t="shared" si="1"/>
        <v>Thực hiện tạo PTYC cho NVJ1-NC</v>
      </c>
      <c r="E89" s="122">
        <v>0.5</v>
      </c>
    </row>
    <row r="90" spans="1:5" ht="15.5">
      <c r="A90" s="120">
        <v>86</v>
      </c>
      <c r="B90" s="121" t="s">
        <v>113</v>
      </c>
      <c r="C90" s="121" t="s">
        <v>715</v>
      </c>
      <c r="D90" s="121" t="str">
        <f t="shared" si="1"/>
        <v>Thực hiện TKCT cho NVJ1-NC</v>
      </c>
      <c r="E90" s="122">
        <v>0.25</v>
      </c>
    </row>
    <row r="91" spans="1:5" ht="15.5">
      <c r="A91" s="120">
        <v>87</v>
      </c>
      <c r="B91" s="121" t="s">
        <v>113</v>
      </c>
      <c r="C91" s="121" t="s">
        <v>716</v>
      </c>
      <c r="D91" s="121" t="str">
        <f t="shared" si="1"/>
        <v>Thực hiện Lập trình cho NVJ1-NC</v>
      </c>
      <c r="E91" s="122">
        <v>1.5</v>
      </c>
    </row>
    <row r="92" spans="1:5" ht="31">
      <c r="A92" s="120">
        <v>88</v>
      </c>
      <c r="B92" s="121" t="s">
        <v>113</v>
      </c>
      <c r="C92" s="121" t="s">
        <v>718</v>
      </c>
      <c r="D92" s="121" t="str">
        <f t="shared" si="1"/>
        <v>Thực hiện viết kịch bản kiểm thử cho NVJ1-NC</v>
      </c>
      <c r="E92" s="122">
        <v>0.25</v>
      </c>
    </row>
    <row r="93" spans="1:5" ht="15.5">
      <c r="A93" s="120">
        <v>89</v>
      </c>
      <c r="B93" s="121" t="s">
        <v>113</v>
      </c>
      <c r="C93" s="121" t="s">
        <v>719</v>
      </c>
      <c r="D93" s="121" t="str">
        <f t="shared" si="1"/>
        <v>Thực hiện kiểm thử cho NVJ1-NC</v>
      </c>
      <c r="E93" s="122">
        <v>1</v>
      </c>
    </row>
    <row r="94" spans="1:5" ht="15.5">
      <c r="A94" s="120">
        <v>90</v>
      </c>
      <c r="B94" s="121" t="s">
        <v>113</v>
      </c>
      <c r="C94" s="121" t="s">
        <v>720</v>
      </c>
      <c r="D94" s="121" t="str">
        <f t="shared" si="1"/>
        <v>Thực hiện viết HDSD cho NVJ1-NC</v>
      </c>
      <c r="E94" s="122">
        <v>0.75</v>
      </c>
    </row>
    <row r="95" spans="1:5" ht="15.5">
      <c r="A95" s="120">
        <v>91</v>
      </c>
      <c r="B95" s="128" t="s">
        <v>124</v>
      </c>
      <c r="C95" s="123" t="s">
        <v>712</v>
      </c>
      <c r="D95" s="123" t="str">
        <f t="shared" si="1"/>
        <v>Thực hiện QTDA cho DM2</v>
      </c>
      <c r="E95" s="124">
        <v>1.5</v>
      </c>
    </row>
    <row r="96" spans="1:5" ht="15.5">
      <c r="A96" s="120">
        <v>92</v>
      </c>
      <c r="B96" s="128" t="s">
        <v>124</v>
      </c>
      <c r="C96" s="123" t="s">
        <v>713</v>
      </c>
      <c r="D96" s="123" t="str">
        <f t="shared" si="1"/>
        <v>Thực hiện tạo PTYC cho DM2</v>
      </c>
      <c r="E96" s="124">
        <v>2.5</v>
      </c>
    </row>
    <row r="97" spans="1:5" ht="15.5">
      <c r="A97" s="120">
        <v>93</v>
      </c>
      <c r="B97" s="128" t="s">
        <v>124</v>
      </c>
      <c r="C97" s="123" t="s">
        <v>715</v>
      </c>
      <c r="D97" s="123" t="str">
        <f t="shared" ref="D97:D129" si="2">"Thực hiện "&amp;C97&amp;" cho "&amp;B97</f>
        <v>Thực hiện TKCT cho DM2</v>
      </c>
      <c r="E97" s="124">
        <v>2</v>
      </c>
    </row>
    <row r="98" spans="1:5" ht="15.5">
      <c r="A98" s="120">
        <v>94</v>
      </c>
      <c r="B98" s="128" t="s">
        <v>124</v>
      </c>
      <c r="C98" s="123" t="s">
        <v>716</v>
      </c>
      <c r="D98" s="123" t="str">
        <f t="shared" si="2"/>
        <v>Thực hiện Lập trình cho DM2</v>
      </c>
      <c r="E98" s="124">
        <v>9</v>
      </c>
    </row>
    <row r="99" spans="1:5" ht="31">
      <c r="A99" s="120">
        <v>95</v>
      </c>
      <c r="B99" s="128" t="s">
        <v>124</v>
      </c>
      <c r="C99" s="123" t="s">
        <v>718</v>
      </c>
      <c r="D99" s="123" t="str">
        <f t="shared" si="2"/>
        <v>Thực hiện viết kịch bản kiểm thử cho DM2</v>
      </c>
      <c r="E99" s="124">
        <v>2</v>
      </c>
    </row>
    <row r="100" spans="1:5" ht="15.5">
      <c r="A100" s="120">
        <v>96</v>
      </c>
      <c r="B100" s="128" t="s">
        <v>124</v>
      </c>
      <c r="C100" s="123" t="s">
        <v>719</v>
      </c>
      <c r="D100" s="123" t="str">
        <f t="shared" si="2"/>
        <v>Thực hiện kiểm thử cho DM2</v>
      </c>
      <c r="E100" s="124">
        <v>4.5</v>
      </c>
    </row>
    <row r="101" spans="1:5" ht="15.5">
      <c r="A101" s="120">
        <v>97</v>
      </c>
      <c r="B101" s="128" t="s">
        <v>124</v>
      </c>
      <c r="C101" s="123" t="s">
        <v>720</v>
      </c>
      <c r="D101" s="123" t="str">
        <f t="shared" si="2"/>
        <v>Thực hiện viết HDSD cho DM2</v>
      </c>
      <c r="E101" s="124">
        <v>1</v>
      </c>
    </row>
    <row r="102" spans="1:5" ht="31">
      <c r="A102" s="120">
        <v>98</v>
      </c>
      <c r="B102" s="129" t="s">
        <v>129</v>
      </c>
      <c r="C102" s="121" t="s">
        <v>712</v>
      </c>
      <c r="D102" s="121" t="str">
        <f t="shared" si="2"/>
        <v>Thực hiện QTDA cho GD_MOBILE1</v>
      </c>
      <c r="E102" s="122">
        <v>0.75</v>
      </c>
    </row>
    <row r="103" spans="1:5" ht="31">
      <c r="A103" s="120">
        <v>99</v>
      </c>
      <c r="B103" s="129" t="s">
        <v>129</v>
      </c>
      <c r="C103" s="121" t="s">
        <v>713</v>
      </c>
      <c r="D103" s="121" t="str">
        <f t="shared" si="2"/>
        <v>Thực hiện tạo PTYC cho GD_MOBILE1</v>
      </c>
      <c r="E103" s="122">
        <v>1.25</v>
      </c>
    </row>
    <row r="104" spans="1:5" ht="31">
      <c r="A104" s="120">
        <v>100</v>
      </c>
      <c r="B104" s="129" t="s">
        <v>129</v>
      </c>
      <c r="C104" s="121" t="s">
        <v>715</v>
      </c>
      <c r="D104" s="121" t="str">
        <f t="shared" si="2"/>
        <v>Thực hiện TKCT cho GD_MOBILE1</v>
      </c>
      <c r="E104" s="122">
        <v>1</v>
      </c>
    </row>
    <row r="105" spans="1:5" ht="31">
      <c r="A105" s="120">
        <v>101</v>
      </c>
      <c r="B105" s="129" t="s">
        <v>129</v>
      </c>
      <c r="C105" s="121" t="s">
        <v>716</v>
      </c>
      <c r="D105" s="121" t="str">
        <f t="shared" si="2"/>
        <v>Thực hiện Lập trình cho GD_MOBILE1</v>
      </c>
      <c r="E105" s="122">
        <v>4</v>
      </c>
    </row>
    <row r="106" spans="1:5" ht="31">
      <c r="A106" s="120">
        <v>102</v>
      </c>
      <c r="B106" s="129" t="s">
        <v>129</v>
      </c>
      <c r="C106" s="121" t="s">
        <v>718</v>
      </c>
      <c r="D106" s="121" t="str">
        <f t="shared" si="2"/>
        <v>Thực hiện viết kịch bản kiểm thử cho GD_MOBILE1</v>
      </c>
      <c r="E106" s="122">
        <v>1</v>
      </c>
    </row>
    <row r="107" spans="1:5" ht="31">
      <c r="A107" s="120">
        <v>103</v>
      </c>
      <c r="B107" s="129" t="s">
        <v>129</v>
      </c>
      <c r="C107" s="121" t="s">
        <v>719</v>
      </c>
      <c r="D107" s="121" t="str">
        <f t="shared" si="2"/>
        <v>Thực hiện kiểm thử cho GD_MOBILE1</v>
      </c>
      <c r="E107" s="122">
        <v>2</v>
      </c>
    </row>
    <row r="108" spans="1:5" ht="31">
      <c r="A108" s="120">
        <v>104</v>
      </c>
      <c r="B108" s="129" t="s">
        <v>129</v>
      </c>
      <c r="C108" s="121" t="s">
        <v>720</v>
      </c>
      <c r="D108" s="121" t="str">
        <f t="shared" si="2"/>
        <v>Thực hiện viết HDSD cho GD_MOBILE1</v>
      </c>
      <c r="E108" s="122">
        <v>0.5</v>
      </c>
    </row>
    <row r="109" spans="1:5" ht="31">
      <c r="A109" s="120">
        <v>105</v>
      </c>
      <c r="B109" s="128" t="s">
        <v>133</v>
      </c>
      <c r="C109" s="123" t="s">
        <v>712</v>
      </c>
      <c r="D109" s="123" t="str">
        <f t="shared" si="2"/>
        <v>Thực hiện QTDA cho GD_MOBILE2</v>
      </c>
      <c r="E109" s="124">
        <v>1.5</v>
      </c>
    </row>
    <row r="110" spans="1:5" ht="31">
      <c r="A110" s="120">
        <v>106</v>
      </c>
      <c r="B110" s="128" t="s">
        <v>133</v>
      </c>
      <c r="C110" s="123" t="s">
        <v>713</v>
      </c>
      <c r="D110" s="123" t="str">
        <f t="shared" si="2"/>
        <v>Thực hiện tạo PTYC cho GD_MOBILE2</v>
      </c>
      <c r="E110" s="124">
        <v>2.5</v>
      </c>
    </row>
    <row r="111" spans="1:5" ht="31">
      <c r="A111" s="120">
        <v>107</v>
      </c>
      <c r="B111" s="128" t="s">
        <v>133</v>
      </c>
      <c r="C111" s="123" t="s">
        <v>715</v>
      </c>
      <c r="D111" s="123" t="str">
        <f t="shared" si="2"/>
        <v>Thực hiện TKCT cho GD_MOBILE2</v>
      </c>
      <c r="E111" s="124">
        <v>4</v>
      </c>
    </row>
    <row r="112" spans="1:5" ht="31">
      <c r="A112" s="120">
        <v>108</v>
      </c>
      <c r="B112" s="128" t="s">
        <v>133</v>
      </c>
      <c r="C112" s="123" t="s">
        <v>716</v>
      </c>
      <c r="D112" s="123" t="str">
        <f t="shared" si="2"/>
        <v>Thực hiện Lập trình cho GD_MOBILE2</v>
      </c>
      <c r="E112" s="124">
        <v>8</v>
      </c>
    </row>
    <row r="113" spans="1:5" ht="31">
      <c r="A113" s="120">
        <v>109</v>
      </c>
      <c r="B113" s="128" t="s">
        <v>133</v>
      </c>
      <c r="C113" s="123" t="s">
        <v>718</v>
      </c>
      <c r="D113" s="123" t="str">
        <f t="shared" si="2"/>
        <v>Thực hiện viết kịch bản kiểm thử cho GD_MOBILE2</v>
      </c>
      <c r="E113" s="124">
        <v>3</v>
      </c>
    </row>
    <row r="114" spans="1:5" ht="31">
      <c r="A114" s="120">
        <v>110</v>
      </c>
      <c r="B114" s="128" t="s">
        <v>133</v>
      </c>
      <c r="C114" s="123" t="s">
        <v>719</v>
      </c>
      <c r="D114" s="123" t="str">
        <f t="shared" si="2"/>
        <v>Thực hiện kiểm thử cho GD_MOBILE2</v>
      </c>
      <c r="E114" s="124">
        <v>4</v>
      </c>
    </row>
    <row r="115" spans="1:5" ht="31">
      <c r="A115" s="120">
        <v>111</v>
      </c>
      <c r="B115" s="128" t="s">
        <v>133</v>
      </c>
      <c r="C115" s="123" t="s">
        <v>720</v>
      </c>
      <c r="D115" s="123" t="str">
        <f t="shared" si="2"/>
        <v>Thực hiện viết HDSD cho GD_MOBILE2</v>
      </c>
      <c r="E115" s="124">
        <v>2</v>
      </c>
    </row>
    <row r="116" spans="1:5" ht="31">
      <c r="A116" s="120">
        <v>112</v>
      </c>
      <c r="B116" s="129" t="s">
        <v>136</v>
      </c>
      <c r="C116" s="121" t="s">
        <v>712</v>
      </c>
      <c r="D116" s="121" t="str">
        <f t="shared" si="2"/>
        <v>Thực hiện QTDA cho GD_MOBILE3</v>
      </c>
      <c r="E116" s="122">
        <v>3</v>
      </c>
    </row>
    <row r="117" spans="1:5" ht="31">
      <c r="A117" s="120">
        <v>113</v>
      </c>
      <c r="B117" s="129" t="s">
        <v>136</v>
      </c>
      <c r="C117" s="121" t="s">
        <v>713</v>
      </c>
      <c r="D117" s="121" t="str">
        <f t="shared" si="2"/>
        <v>Thực hiện tạo PTYC cho GD_MOBILE3</v>
      </c>
      <c r="E117" s="122">
        <v>5</v>
      </c>
    </row>
    <row r="118" spans="1:5" ht="31">
      <c r="A118" s="120">
        <v>114</v>
      </c>
      <c r="B118" s="129" t="s">
        <v>136</v>
      </c>
      <c r="C118" s="121" t="s">
        <v>715</v>
      </c>
      <c r="D118" s="121" t="str">
        <f t="shared" si="2"/>
        <v>Thực hiện TKCT cho GD_MOBILE3</v>
      </c>
      <c r="E118" s="122">
        <v>7</v>
      </c>
    </row>
    <row r="119" spans="1:5" ht="31">
      <c r="A119" s="120">
        <v>115</v>
      </c>
      <c r="B119" s="129" t="s">
        <v>136</v>
      </c>
      <c r="C119" s="121" t="s">
        <v>716</v>
      </c>
      <c r="D119" s="121" t="str">
        <f t="shared" si="2"/>
        <v>Thực hiện Lập trình cho GD_MOBILE3</v>
      </c>
      <c r="E119" s="122">
        <v>17</v>
      </c>
    </row>
    <row r="120" spans="1:5" ht="31">
      <c r="A120" s="120">
        <v>116</v>
      </c>
      <c r="B120" s="129" t="s">
        <v>136</v>
      </c>
      <c r="C120" s="121" t="s">
        <v>718</v>
      </c>
      <c r="D120" s="121" t="str">
        <f t="shared" si="2"/>
        <v>Thực hiện viết kịch bản kiểm thử cho GD_MOBILE3</v>
      </c>
      <c r="E120" s="122">
        <v>5</v>
      </c>
    </row>
    <row r="121" spans="1:5" ht="31">
      <c r="A121" s="120">
        <v>117</v>
      </c>
      <c r="B121" s="129" t="s">
        <v>136</v>
      </c>
      <c r="C121" s="121" t="s">
        <v>719</v>
      </c>
      <c r="D121" s="121" t="str">
        <f t="shared" si="2"/>
        <v>Thực hiện kiểm thử cho GD_MOBILE3</v>
      </c>
      <c r="E121" s="122">
        <v>9</v>
      </c>
    </row>
    <row r="122" spans="1:5" ht="31">
      <c r="A122" s="120">
        <v>118</v>
      </c>
      <c r="B122" s="129" t="s">
        <v>136</v>
      </c>
      <c r="C122" s="121" t="s">
        <v>720</v>
      </c>
      <c r="D122" s="121" t="str">
        <f t="shared" si="2"/>
        <v>Thực hiện viết HDSD cho GD_MOBILE3</v>
      </c>
      <c r="E122" s="122">
        <v>2.5</v>
      </c>
    </row>
    <row r="123" spans="1:5" ht="15.5">
      <c r="A123" s="120">
        <v>119</v>
      </c>
      <c r="B123" s="128" t="s">
        <v>121</v>
      </c>
      <c r="C123" s="123" t="s">
        <v>712</v>
      </c>
      <c r="D123" s="123" t="str">
        <f t="shared" si="2"/>
        <v>Thực hiện QTDA cho DM1</v>
      </c>
      <c r="E123" s="124">
        <v>1</v>
      </c>
    </row>
    <row r="124" spans="1:5" ht="15.5">
      <c r="A124" s="120">
        <v>120</v>
      </c>
      <c r="B124" s="128" t="s">
        <v>121</v>
      </c>
      <c r="C124" s="123" t="s">
        <v>713</v>
      </c>
      <c r="D124" s="123" t="str">
        <f t="shared" si="2"/>
        <v>Thực hiện tạo PTYC cho DM1</v>
      </c>
      <c r="E124" s="124">
        <v>1</v>
      </c>
    </row>
    <row r="125" spans="1:5" ht="15.5">
      <c r="A125" s="120">
        <v>121</v>
      </c>
      <c r="B125" s="128" t="s">
        <v>121</v>
      </c>
      <c r="C125" s="123" t="s">
        <v>715</v>
      </c>
      <c r="D125" s="123" t="str">
        <f t="shared" si="2"/>
        <v>Thực hiện TKCT cho DM1</v>
      </c>
      <c r="E125" s="124">
        <v>0.5</v>
      </c>
    </row>
    <row r="126" spans="1:5" ht="15.5">
      <c r="A126" s="120">
        <v>122</v>
      </c>
      <c r="B126" s="128" t="s">
        <v>121</v>
      </c>
      <c r="C126" s="123" t="s">
        <v>716</v>
      </c>
      <c r="D126" s="123" t="str">
        <f t="shared" si="2"/>
        <v>Thực hiện Lập trình cho DM1</v>
      </c>
      <c r="E126" s="124">
        <v>3</v>
      </c>
    </row>
    <row r="127" spans="1:5" ht="31">
      <c r="A127" s="120">
        <v>123</v>
      </c>
      <c r="B127" s="128" t="s">
        <v>121</v>
      </c>
      <c r="C127" s="123" t="s">
        <v>718</v>
      </c>
      <c r="D127" s="123" t="str">
        <f t="shared" si="2"/>
        <v>Thực hiện viết kịch bản kiểm thử cho DM1</v>
      </c>
      <c r="E127" s="124">
        <v>0.5</v>
      </c>
    </row>
    <row r="128" spans="1:5" ht="15.5">
      <c r="A128" s="120">
        <v>124</v>
      </c>
      <c r="B128" s="128" t="s">
        <v>121</v>
      </c>
      <c r="C128" s="123" t="s">
        <v>719</v>
      </c>
      <c r="D128" s="123" t="str">
        <f t="shared" si="2"/>
        <v>Thực hiện kiểm thử cho DM1</v>
      </c>
      <c r="E128" s="124">
        <v>2</v>
      </c>
    </row>
    <row r="129" spans="1:5" ht="15.5">
      <c r="A129" s="120">
        <v>125</v>
      </c>
      <c r="B129" s="128" t="s">
        <v>121</v>
      </c>
      <c r="C129" s="123" t="s">
        <v>720</v>
      </c>
      <c r="D129" s="123" t="str">
        <f t="shared" si="2"/>
        <v>Thực hiện viết HDSD cho DM1</v>
      </c>
      <c r="E129" s="124">
        <v>1</v>
      </c>
    </row>
    <row r="130" spans="1:5" ht="15.5">
      <c r="A130" s="120">
        <v>126</v>
      </c>
      <c r="B130" s="130" t="s">
        <v>87</v>
      </c>
      <c r="C130" s="121" t="s">
        <v>712</v>
      </c>
      <c r="D130" s="121" t="str">
        <f t="shared" ref="D130:D135" si="3">"Thực hiện "&amp;C130&amp;" cho "&amp;B130</f>
        <v>Thực hiện QTDA cho CN_WEB_KT</v>
      </c>
      <c r="E130" s="122">
        <v>8</v>
      </c>
    </row>
    <row r="131" spans="1:5" ht="15.5">
      <c r="A131" s="120">
        <v>127</v>
      </c>
      <c r="B131" s="130" t="s">
        <v>87</v>
      </c>
      <c r="C131" s="121" t="s">
        <v>715</v>
      </c>
      <c r="D131" s="121" t="str">
        <f t="shared" si="3"/>
        <v>Thực hiện TKCT cho CN_WEB_KT</v>
      </c>
      <c r="E131" s="122">
        <v>8</v>
      </c>
    </row>
    <row r="132" spans="1:5" ht="15.5">
      <c r="A132" s="120">
        <v>128</v>
      </c>
      <c r="B132" s="130" t="s">
        <v>87</v>
      </c>
      <c r="C132" s="121" t="s">
        <v>716</v>
      </c>
      <c r="D132" s="121" t="str">
        <f t="shared" si="3"/>
        <v>Thực hiện Lập trình cho CN_WEB_KT</v>
      </c>
      <c r="E132" s="122">
        <v>32</v>
      </c>
    </row>
    <row r="133" spans="1:5" ht="31">
      <c r="A133" s="120">
        <v>129</v>
      </c>
      <c r="B133" s="130" t="s">
        <v>87</v>
      </c>
      <c r="C133" s="126" t="s">
        <v>717</v>
      </c>
      <c r="D133" s="121" t="str">
        <f t="shared" si="3"/>
        <v>Thực hiện viết Unit test cho CN_WEB_KT</v>
      </c>
      <c r="E133" s="122">
        <v>16</v>
      </c>
    </row>
    <row r="134" spans="1:5" ht="31">
      <c r="A134" s="120">
        <v>130</v>
      </c>
      <c r="B134" s="130" t="s">
        <v>87</v>
      </c>
      <c r="C134" s="126" t="s">
        <v>718</v>
      </c>
      <c r="D134" s="121" t="str">
        <f t="shared" si="3"/>
        <v>Thực hiện viết kịch bản kiểm thử cho CN_WEB_KT</v>
      </c>
      <c r="E134" s="122">
        <v>8</v>
      </c>
    </row>
    <row r="135" spans="1:5" ht="15.5">
      <c r="A135" s="120">
        <v>131</v>
      </c>
      <c r="B135" s="130" t="s">
        <v>87</v>
      </c>
      <c r="C135" s="126" t="s">
        <v>719</v>
      </c>
      <c r="D135" s="121" t="str">
        <f t="shared" si="3"/>
        <v>Thực hiện kiểm thử cho CN_WEB_KT</v>
      </c>
      <c r="E135" s="122">
        <v>8</v>
      </c>
    </row>
    <row r="136" spans="1:5" ht="31">
      <c r="A136" s="120">
        <v>132</v>
      </c>
      <c r="B136" s="131" t="s">
        <v>152</v>
      </c>
      <c r="C136" s="123" t="s">
        <v>724</v>
      </c>
      <c r="D136" s="123" t="s">
        <v>725</v>
      </c>
      <c r="E136" s="124">
        <v>1.2</v>
      </c>
    </row>
    <row r="137" spans="1:5" ht="31">
      <c r="A137" s="120">
        <v>133</v>
      </c>
      <c r="B137" s="131" t="s">
        <v>152</v>
      </c>
      <c r="C137" s="123" t="s">
        <v>719</v>
      </c>
      <c r="D137" s="123" t="s">
        <v>726</v>
      </c>
      <c r="E137" s="124">
        <v>0.8</v>
      </c>
    </row>
    <row r="138" spans="1:5" ht="31">
      <c r="A138" s="120">
        <v>134</v>
      </c>
      <c r="B138" s="132" t="s">
        <v>157</v>
      </c>
      <c r="C138" s="121" t="s">
        <v>724</v>
      </c>
      <c r="D138" s="121" t="s">
        <v>725</v>
      </c>
      <c r="E138" s="122">
        <v>4</v>
      </c>
    </row>
    <row r="139" spans="1:5" ht="31">
      <c r="A139" s="120">
        <v>135</v>
      </c>
      <c r="B139" s="132" t="s">
        <v>157</v>
      </c>
      <c r="C139" s="121" t="s">
        <v>719</v>
      </c>
      <c r="D139" s="121" t="s">
        <v>726</v>
      </c>
      <c r="E139" s="122">
        <v>2</v>
      </c>
    </row>
    <row r="140" spans="1:5" ht="15.5">
      <c r="A140" s="120">
        <v>136</v>
      </c>
      <c r="B140" s="133" t="s">
        <v>161</v>
      </c>
      <c r="C140" s="134" t="s">
        <v>712</v>
      </c>
      <c r="D140" s="134" t="s">
        <v>727</v>
      </c>
      <c r="E140" s="135">
        <v>1.5</v>
      </c>
    </row>
    <row r="141" spans="1:5" ht="15.5">
      <c r="A141" s="120">
        <v>137</v>
      </c>
      <c r="B141" s="133" t="s">
        <v>161</v>
      </c>
      <c r="C141" s="134" t="s">
        <v>713</v>
      </c>
      <c r="D141" s="134" t="s">
        <v>728</v>
      </c>
      <c r="E141" s="135">
        <v>1</v>
      </c>
    </row>
    <row r="142" spans="1:5" ht="15.5">
      <c r="A142" s="120">
        <v>138</v>
      </c>
      <c r="B142" s="133" t="s">
        <v>161</v>
      </c>
      <c r="C142" s="134" t="s">
        <v>714</v>
      </c>
      <c r="D142" s="134" t="s">
        <v>729</v>
      </c>
      <c r="E142" s="135">
        <v>0.5</v>
      </c>
    </row>
    <row r="143" spans="1:5" ht="15.5">
      <c r="A143" s="120">
        <v>139</v>
      </c>
      <c r="B143" s="133" t="s">
        <v>161</v>
      </c>
      <c r="C143" s="134" t="s">
        <v>715</v>
      </c>
      <c r="D143" s="134" t="s">
        <v>730</v>
      </c>
      <c r="E143" s="135">
        <v>2</v>
      </c>
    </row>
    <row r="144" spans="1:5" ht="15.5">
      <c r="A144" s="120">
        <v>140</v>
      </c>
      <c r="B144" s="133" t="s">
        <v>161</v>
      </c>
      <c r="C144" s="134" t="s">
        <v>716</v>
      </c>
      <c r="D144" s="134" t="s">
        <v>731</v>
      </c>
      <c r="E144" s="135">
        <v>8</v>
      </c>
    </row>
    <row r="145" spans="1:5" ht="15.5">
      <c r="A145" s="120">
        <v>141</v>
      </c>
      <c r="B145" s="133" t="s">
        <v>161</v>
      </c>
      <c r="C145" s="134" t="s">
        <v>717</v>
      </c>
      <c r="D145" s="134" t="s">
        <v>732</v>
      </c>
      <c r="E145" s="135">
        <v>6</v>
      </c>
    </row>
    <row r="146" spans="1:5" ht="31">
      <c r="A146" s="120">
        <v>142</v>
      </c>
      <c r="B146" s="133" t="s">
        <v>161</v>
      </c>
      <c r="C146" s="134" t="s">
        <v>718</v>
      </c>
      <c r="D146" s="134" t="s">
        <v>733</v>
      </c>
      <c r="E146" s="135">
        <v>2</v>
      </c>
    </row>
    <row r="147" spans="1:5" ht="15.5">
      <c r="A147" s="120">
        <v>143</v>
      </c>
      <c r="B147" s="133" t="s">
        <v>161</v>
      </c>
      <c r="C147" s="134" t="s">
        <v>719</v>
      </c>
      <c r="D147" s="134" t="s">
        <v>734</v>
      </c>
      <c r="E147" s="135">
        <v>6</v>
      </c>
    </row>
    <row r="148" spans="1:5" ht="15.5">
      <c r="A148" s="120">
        <v>144</v>
      </c>
      <c r="B148" s="133" t="s">
        <v>161</v>
      </c>
      <c r="C148" s="134" t="s">
        <v>720</v>
      </c>
      <c r="D148" s="134" t="s">
        <v>735</v>
      </c>
      <c r="E148" s="135">
        <v>1</v>
      </c>
    </row>
    <row r="149" spans="1:5" ht="15.5">
      <c r="A149" s="120">
        <v>145</v>
      </c>
      <c r="B149" s="136" t="s">
        <v>164</v>
      </c>
      <c r="C149" s="137" t="s">
        <v>712</v>
      </c>
      <c r="D149" s="137" t="s">
        <v>736</v>
      </c>
      <c r="E149" s="138">
        <v>1.5</v>
      </c>
    </row>
    <row r="150" spans="1:5" ht="15.5">
      <c r="A150" s="120">
        <v>146</v>
      </c>
      <c r="B150" s="136" t="s">
        <v>164</v>
      </c>
      <c r="C150" s="137" t="s">
        <v>713</v>
      </c>
      <c r="D150" s="137" t="s">
        <v>737</v>
      </c>
      <c r="E150" s="138">
        <v>1</v>
      </c>
    </row>
    <row r="151" spans="1:5" ht="15.5">
      <c r="A151" s="120">
        <v>147</v>
      </c>
      <c r="B151" s="136" t="s">
        <v>164</v>
      </c>
      <c r="C151" s="137" t="s">
        <v>714</v>
      </c>
      <c r="D151" s="137" t="s">
        <v>738</v>
      </c>
      <c r="E151" s="138">
        <v>0.5</v>
      </c>
    </row>
    <row r="152" spans="1:5" ht="15.5">
      <c r="A152" s="120">
        <v>148</v>
      </c>
      <c r="B152" s="136" t="s">
        <v>164</v>
      </c>
      <c r="C152" s="137" t="s">
        <v>715</v>
      </c>
      <c r="D152" s="137" t="s">
        <v>739</v>
      </c>
      <c r="E152" s="138">
        <v>2</v>
      </c>
    </row>
    <row r="153" spans="1:5" ht="15.5">
      <c r="A153" s="120">
        <v>149</v>
      </c>
      <c r="B153" s="136" t="s">
        <v>164</v>
      </c>
      <c r="C153" s="137" t="s">
        <v>716</v>
      </c>
      <c r="D153" s="137" t="s">
        <v>740</v>
      </c>
      <c r="E153" s="138">
        <v>12</v>
      </c>
    </row>
    <row r="154" spans="1:5" ht="15.5">
      <c r="A154" s="120">
        <v>150</v>
      </c>
      <c r="B154" s="136" t="s">
        <v>164</v>
      </c>
      <c r="C154" s="137" t="s">
        <v>717</v>
      </c>
      <c r="D154" s="137" t="s">
        <v>741</v>
      </c>
      <c r="E154" s="138">
        <v>8</v>
      </c>
    </row>
    <row r="155" spans="1:5" ht="31">
      <c r="A155" s="120">
        <v>151</v>
      </c>
      <c r="B155" s="136" t="s">
        <v>164</v>
      </c>
      <c r="C155" s="137" t="s">
        <v>718</v>
      </c>
      <c r="D155" s="137" t="s">
        <v>742</v>
      </c>
      <c r="E155" s="138">
        <v>2</v>
      </c>
    </row>
    <row r="156" spans="1:5" ht="15.5">
      <c r="A156" s="120">
        <v>152</v>
      </c>
      <c r="B156" s="136" t="s">
        <v>164</v>
      </c>
      <c r="C156" s="137" t="s">
        <v>719</v>
      </c>
      <c r="D156" s="137" t="s">
        <v>743</v>
      </c>
      <c r="E156" s="138">
        <v>8</v>
      </c>
    </row>
    <row r="157" spans="1:5" ht="15.5">
      <c r="A157" s="120">
        <v>153</v>
      </c>
      <c r="B157" s="136" t="s">
        <v>164</v>
      </c>
      <c r="C157" s="137" t="s">
        <v>720</v>
      </c>
      <c r="D157" s="137" t="s">
        <v>744</v>
      </c>
      <c r="E157" s="138">
        <v>1.5</v>
      </c>
    </row>
    <row r="158" spans="1:5" ht="15.5">
      <c r="A158" s="120">
        <v>154</v>
      </c>
      <c r="B158" s="133" t="s">
        <v>166</v>
      </c>
      <c r="C158" s="134" t="s">
        <v>712</v>
      </c>
      <c r="D158" s="134" t="s">
        <v>745</v>
      </c>
      <c r="E158" s="135">
        <v>1.5</v>
      </c>
    </row>
    <row r="159" spans="1:5" ht="15.5">
      <c r="A159" s="120">
        <v>155</v>
      </c>
      <c r="B159" s="133" t="s">
        <v>166</v>
      </c>
      <c r="C159" s="134" t="s">
        <v>713</v>
      </c>
      <c r="D159" s="134" t="s">
        <v>746</v>
      </c>
      <c r="E159" s="135">
        <v>2</v>
      </c>
    </row>
    <row r="160" spans="1:5" ht="15.5">
      <c r="A160" s="120">
        <v>156</v>
      </c>
      <c r="B160" s="133" t="s">
        <v>166</v>
      </c>
      <c r="C160" s="134" t="s">
        <v>714</v>
      </c>
      <c r="D160" s="134" t="s">
        <v>747</v>
      </c>
      <c r="E160" s="135">
        <v>1</v>
      </c>
    </row>
    <row r="161" spans="1:5" ht="15.5">
      <c r="A161" s="120">
        <v>157</v>
      </c>
      <c r="B161" s="133" t="s">
        <v>166</v>
      </c>
      <c r="C161" s="134" t="s">
        <v>715</v>
      </c>
      <c r="D161" s="134" t="s">
        <v>748</v>
      </c>
      <c r="E161" s="135">
        <v>2</v>
      </c>
    </row>
    <row r="162" spans="1:5" ht="15.5">
      <c r="A162" s="120">
        <v>158</v>
      </c>
      <c r="B162" s="133" t="s">
        <v>166</v>
      </c>
      <c r="C162" s="134" t="s">
        <v>716</v>
      </c>
      <c r="D162" s="134" t="s">
        <v>749</v>
      </c>
      <c r="E162" s="135">
        <v>16</v>
      </c>
    </row>
    <row r="163" spans="1:5" ht="15.5">
      <c r="A163" s="120">
        <v>159</v>
      </c>
      <c r="B163" s="133" t="s">
        <v>166</v>
      </c>
      <c r="C163" s="134" t="s">
        <v>717</v>
      </c>
      <c r="D163" s="134" t="s">
        <v>750</v>
      </c>
      <c r="E163" s="135">
        <v>12</v>
      </c>
    </row>
    <row r="164" spans="1:5" ht="31">
      <c r="A164" s="120">
        <v>160</v>
      </c>
      <c r="B164" s="133" t="s">
        <v>166</v>
      </c>
      <c r="C164" s="134" t="s">
        <v>718</v>
      </c>
      <c r="D164" s="134" t="s">
        <v>751</v>
      </c>
      <c r="E164" s="135">
        <v>4</v>
      </c>
    </row>
    <row r="165" spans="1:5" ht="15.5">
      <c r="A165" s="120">
        <v>161</v>
      </c>
      <c r="B165" s="133" t="s">
        <v>166</v>
      </c>
      <c r="C165" s="134" t="s">
        <v>719</v>
      </c>
      <c r="D165" s="134" t="s">
        <v>752</v>
      </c>
      <c r="E165" s="135">
        <v>12</v>
      </c>
    </row>
    <row r="166" spans="1:5" ht="15.5">
      <c r="A166" s="120">
        <v>162</v>
      </c>
      <c r="B166" s="133" t="s">
        <v>166</v>
      </c>
      <c r="C166" s="134" t="s">
        <v>720</v>
      </c>
      <c r="D166" s="134" t="s">
        <v>753</v>
      </c>
      <c r="E166" s="135">
        <v>2</v>
      </c>
    </row>
    <row r="167" spans="1:5" ht="26">
      <c r="A167" s="120">
        <v>163</v>
      </c>
      <c r="B167" s="139" t="s">
        <v>139</v>
      </c>
      <c r="C167" s="140" t="s">
        <v>41</v>
      </c>
      <c r="D167" s="141" t="s">
        <v>754</v>
      </c>
      <c r="E167" s="141">
        <f>0.44*8</f>
        <v>3.52</v>
      </c>
    </row>
    <row r="168" spans="1:5" ht="26">
      <c r="A168" s="120">
        <v>164</v>
      </c>
      <c r="B168" s="139" t="s">
        <v>139</v>
      </c>
      <c r="C168" s="140" t="s">
        <v>43</v>
      </c>
      <c r="D168" s="141" t="s">
        <v>755</v>
      </c>
      <c r="E168" s="141">
        <f>0.5*8</f>
        <v>4</v>
      </c>
    </row>
    <row r="169" spans="1:5" ht="26">
      <c r="A169" s="120">
        <v>165</v>
      </c>
      <c r="B169" s="139" t="s">
        <v>139</v>
      </c>
      <c r="C169" s="140" t="s">
        <v>719</v>
      </c>
      <c r="D169" s="141" t="s">
        <v>756</v>
      </c>
      <c r="E169" s="141">
        <f>E167</f>
        <v>3.52</v>
      </c>
    </row>
    <row r="170" spans="1:5" ht="26">
      <c r="A170" s="120">
        <v>166</v>
      </c>
      <c r="B170" s="139" t="s">
        <v>142</v>
      </c>
      <c r="C170" s="140" t="s">
        <v>41</v>
      </c>
      <c r="D170" s="141" t="s">
        <v>757</v>
      </c>
      <c r="E170" s="141">
        <f>0.88*8</f>
        <v>7.04</v>
      </c>
    </row>
    <row r="171" spans="1:5" ht="26">
      <c r="A171" s="120">
        <v>167</v>
      </c>
      <c r="B171" s="139" t="s">
        <v>142</v>
      </c>
      <c r="C171" s="140" t="s">
        <v>43</v>
      </c>
      <c r="D171" s="141" t="s">
        <v>758</v>
      </c>
      <c r="E171" s="141">
        <f>1.5*8</f>
        <v>12</v>
      </c>
    </row>
    <row r="172" spans="1:5" ht="26">
      <c r="A172" s="120">
        <v>168</v>
      </c>
      <c r="B172" s="139" t="s">
        <v>142</v>
      </c>
      <c r="C172" s="140" t="s">
        <v>719</v>
      </c>
      <c r="D172" s="141" t="s">
        <v>759</v>
      </c>
      <c r="E172" s="141">
        <f>0.86*8</f>
        <v>6.88</v>
      </c>
    </row>
    <row r="173" spans="1:5" ht="26">
      <c r="A173" s="120">
        <v>169</v>
      </c>
      <c r="B173" s="139" t="s">
        <v>144</v>
      </c>
      <c r="C173" s="140" t="s">
        <v>41</v>
      </c>
      <c r="D173" s="141" t="s">
        <v>760</v>
      </c>
      <c r="E173" s="141">
        <f>1.76*8</f>
        <v>14.08</v>
      </c>
    </row>
    <row r="174" spans="1:5" ht="26">
      <c r="A174" s="120">
        <v>170</v>
      </c>
      <c r="B174" s="139" t="s">
        <v>144</v>
      </c>
      <c r="C174" s="140" t="s">
        <v>43</v>
      </c>
      <c r="D174" s="141" t="s">
        <v>761</v>
      </c>
      <c r="E174" s="141">
        <f>2.5*8</f>
        <v>20</v>
      </c>
    </row>
    <row r="175" spans="1:5" ht="26">
      <c r="A175" s="120">
        <v>171</v>
      </c>
      <c r="B175" s="139" t="s">
        <v>144</v>
      </c>
      <c r="C175" s="140" t="s">
        <v>719</v>
      </c>
      <c r="D175" s="141" t="s">
        <v>762</v>
      </c>
      <c r="E175" s="141">
        <f>1.73*8</f>
        <v>13.84</v>
      </c>
    </row>
    <row r="176" spans="1:5" ht="26">
      <c r="A176" s="120">
        <v>172</v>
      </c>
      <c r="B176" s="139" t="s">
        <v>146</v>
      </c>
      <c r="C176" s="140" t="s">
        <v>41</v>
      </c>
      <c r="D176" s="141" t="s">
        <v>763</v>
      </c>
      <c r="E176" s="141">
        <f>0.44*8</f>
        <v>3.52</v>
      </c>
    </row>
    <row r="177" spans="1:5" ht="26">
      <c r="A177" s="120">
        <v>173</v>
      </c>
      <c r="B177" s="139" t="s">
        <v>146</v>
      </c>
      <c r="C177" s="140" t="s">
        <v>43</v>
      </c>
      <c r="D177" s="141" t="s">
        <v>764</v>
      </c>
      <c r="E177" s="141">
        <f>0.25*8</f>
        <v>2</v>
      </c>
    </row>
    <row r="178" spans="1:5" ht="26">
      <c r="A178" s="120">
        <v>174</v>
      </c>
      <c r="B178" s="139" t="s">
        <v>146</v>
      </c>
      <c r="C178" s="140" t="s">
        <v>719</v>
      </c>
      <c r="D178" s="141" t="s">
        <v>765</v>
      </c>
      <c r="E178" s="141">
        <f>0.44*8</f>
        <v>3.52</v>
      </c>
    </row>
    <row r="179" spans="1:5" ht="26">
      <c r="A179" s="120">
        <v>175</v>
      </c>
      <c r="B179" s="139" t="s">
        <v>142</v>
      </c>
      <c r="C179" s="140" t="s">
        <v>41</v>
      </c>
      <c r="D179" s="141" t="s">
        <v>766</v>
      </c>
      <c r="E179" s="141">
        <f>0.88*8</f>
        <v>7.04</v>
      </c>
    </row>
    <row r="180" spans="1:5" ht="26">
      <c r="A180" s="120">
        <v>176</v>
      </c>
      <c r="B180" s="139" t="s">
        <v>142</v>
      </c>
      <c r="C180" s="140" t="s">
        <v>43</v>
      </c>
      <c r="D180" s="141" t="s">
        <v>767</v>
      </c>
      <c r="E180" s="141">
        <f>0.75*8</f>
        <v>6</v>
      </c>
    </row>
    <row r="181" spans="1:5" ht="26">
      <c r="A181" s="120">
        <v>177</v>
      </c>
      <c r="B181" s="139" t="s">
        <v>142</v>
      </c>
      <c r="C181" s="140" t="s">
        <v>719</v>
      </c>
      <c r="D181" s="141" t="s">
        <v>768</v>
      </c>
      <c r="E181" s="141">
        <f>0.86*8</f>
        <v>6.88</v>
      </c>
    </row>
    <row r="182" spans="1:5" ht="26">
      <c r="A182" s="120">
        <v>178</v>
      </c>
      <c r="B182" s="139" t="s">
        <v>144</v>
      </c>
      <c r="C182" s="140" t="s">
        <v>41</v>
      </c>
      <c r="D182" s="141" t="s">
        <v>769</v>
      </c>
      <c r="E182" s="141">
        <f>1.76*8</f>
        <v>14.08</v>
      </c>
    </row>
    <row r="183" spans="1:5" ht="26">
      <c r="A183" s="120">
        <v>179</v>
      </c>
      <c r="B183" s="139" t="s">
        <v>144</v>
      </c>
      <c r="C183" s="140" t="s">
        <v>43</v>
      </c>
      <c r="D183" s="141" t="s">
        <v>770</v>
      </c>
      <c r="E183" s="141">
        <f>0.75*8</f>
        <v>6</v>
      </c>
    </row>
    <row r="184" spans="1:5" ht="26">
      <c r="A184" s="120">
        <v>180</v>
      </c>
      <c r="B184" s="139" t="s">
        <v>144</v>
      </c>
      <c r="C184" s="140" t="s">
        <v>719</v>
      </c>
      <c r="D184" s="141" t="s">
        <v>771</v>
      </c>
      <c r="E184" s="141">
        <f>1.73*8</f>
        <v>13.84</v>
      </c>
    </row>
    <row r="185" spans="1:5" ht="15.5">
      <c r="A185" s="120">
        <v>181</v>
      </c>
      <c r="B185" s="142" t="s">
        <v>169</v>
      </c>
      <c r="C185" s="140" t="s">
        <v>41</v>
      </c>
      <c r="D185" s="141" t="s">
        <v>772</v>
      </c>
      <c r="E185" s="141">
        <f>0.46*8</f>
        <v>3.68</v>
      </c>
    </row>
    <row r="186" spans="1:5" ht="15.5">
      <c r="A186" s="120">
        <v>182</v>
      </c>
      <c r="B186" s="142" t="s">
        <v>169</v>
      </c>
      <c r="C186" s="140" t="s">
        <v>43</v>
      </c>
      <c r="D186" s="141" t="s">
        <v>773</v>
      </c>
      <c r="E186" s="141">
        <f>0.25*8</f>
        <v>2</v>
      </c>
    </row>
    <row r="187" spans="1:5" ht="15.5">
      <c r="A187" s="120">
        <v>183</v>
      </c>
      <c r="B187" s="142" t="s">
        <v>169</v>
      </c>
      <c r="C187" s="140" t="s">
        <v>719</v>
      </c>
      <c r="D187" s="141" t="s">
        <v>774</v>
      </c>
      <c r="E187" s="141">
        <f>0.44*8</f>
        <v>3.52</v>
      </c>
    </row>
    <row r="188" spans="1:5" ht="15.5">
      <c r="A188" s="120">
        <v>184</v>
      </c>
      <c r="B188" s="142" t="s">
        <v>172</v>
      </c>
      <c r="C188" s="140" t="s">
        <v>41</v>
      </c>
      <c r="D188" s="141" t="s">
        <v>775</v>
      </c>
      <c r="E188" s="141">
        <f>0.7*8</f>
        <v>5.6</v>
      </c>
    </row>
    <row r="189" spans="1:5" ht="15.5">
      <c r="A189" s="120">
        <v>185</v>
      </c>
      <c r="B189" s="142" t="s">
        <v>172</v>
      </c>
      <c r="C189" s="140" t="s">
        <v>43</v>
      </c>
      <c r="D189" s="141" t="s">
        <v>776</v>
      </c>
      <c r="E189" s="141">
        <f>0.25*8</f>
        <v>2</v>
      </c>
    </row>
    <row r="190" spans="1:5" ht="15.5">
      <c r="A190" s="120">
        <v>186</v>
      </c>
      <c r="B190" s="142" t="s">
        <v>172</v>
      </c>
      <c r="C190" s="140" t="s">
        <v>719</v>
      </c>
      <c r="D190" s="141" t="s">
        <v>777</v>
      </c>
      <c r="E190" s="141">
        <f>0.65*8</f>
        <v>5.2</v>
      </c>
    </row>
    <row r="191" spans="1:5" ht="15.5">
      <c r="A191" s="120">
        <v>187</v>
      </c>
      <c r="B191" s="142" t="s">
        <v>174</v>
      </c>
      <c r="C191" s="140" t="s">
        <v>41</v>
      </c>
      <c r="D191" s="141" t="s">
        <v>778</v>
      </c>
      <c r="E191" s="141">
        <f>0.92*8</f>
        <v>7.36</v>
      </c>
    </row>
    <row r="192" spans="1:5" ht="15.5">
      <c r="A192" s="120">
        <v>188</v>
      </c>
      <c r="B192" s="142" t="s">
        <v>174</v>
      </c>
      <c r="C192" s="140" t="s">
        <v>43</v>
      </c>
      <c r="D192" s="141" t="s">
        <v>779</v>
      </c>
      <c r="E192" s="141">
        <f>0.25*8</f>
        <v>2</v>
      </c>
    </row>
    <row r="193" spans="1:5" ht="15.5">
      <c r="A193" s="120">
        <v>189</v>
      </c>
      <c r="B193" s="142" t="s">
        <v>174</v>
      </c>
      <c r="C193" s="140" t="s">
        <v>719</v>
      </c>
      <c r="D193" s="141" t="s">
        <v>780</v>
      </c>
      <c r="E193" s="141">
        <f>0.86*8</f>
        <v>6.88</v>
      </c>
    </row>
    <row r="194" spans="1:5" ht="15.5">
      <c r="A194" s="120">
        <v>190</v>
      </c>
      <c r="B194" s="142" t="s">
        <v>176</v>
      </c>
      <c r="C194" s="140" t="s">
        <v>41</v>
      </c>
      <c r="D194" s="141" t="s">
        <v>781</v>
      </c>
      <c r="E194" s="143">
        <f>0.7*8</f>
        <v>5.6</v>
      </c>
    </row>
    <row r="195" spans="1:5" ht="15.5">
      <c r="A195" s="120">
        <v>191</v>
      </c>
      <c r="B195" s="142" t="s">
        <v>176</v>
      </c>
      <c r="C195" s="140" t="s">
        <v>43</v>
      </c>
      <c r="D195" s="141" t="s">
        <v>782</v>
      </c>
      <c r="E195" s="143">
        <f>0.5*8</f>
        <v>4</v>
      </c>
    </row>
    <row r="196" spans="1:5" ht="15.5">
      <c r="A196" s="120">
        <v>192</v>
      </c>
      <c r="B196" s="142" t="s">
        <v>176</v>
      </c>
      <c r="C196" s="140" t="s">
        <v>719</v>
      </c>
      <c r="D196" s="141" t="s">
        <v>783</v>
      </c>
      <c r="E196" s="141">
        <f>0.65*8</f>
        <v>5.2</v>
      </c>
    </row>
    <row r="197" spans="1:5" ht="15.5">
      <c r="A197" s="120">
        <v>193</v>
      </c>
      <c r="B197" s="142" t="s">
        <v>178</v>
      </c>
      <c r="C197" s="140" t="s">
        <v>41</v>
      </c>
      <c r="D197" s="141" t="s">
        <v>784</v>
      </c>
      <c r="E197" s="141">
        <f>0.92*8</f>
        <v>7.36</v>
      </c>
    </row>
    <row r="198" spans="1:5" ht="15.5">
      <c r="A198" s="120">
        <v>194</v>
      </c>
      <c r="B198" s="142" t="s">
        <v>178</v>
      </c>
      <c r="C198" s="140" t="s">
        <v>43</v>
      </c>
      <c r="D198" s="141" t="s">
        <v>785</v>
      </c>
      <c r="E198" s="141">
        <f>0.75*8</f>
        <v>6</v>
      </c>
    </row>
    <row r="199" spans="1:5" ht="15.5">
      <c r="A199" s="120">
        <v>195</v>
      </c>
      <c r="B199" s="142" t="s">
        <v>178</v>
      </c>
      <c r="C199" s="140" t="s">
        <v>719</v>
      </c>
      <c r="D199" s="141" t="s">
        <v>786</v>
      </c>
      <c r="E199" s="141">
        <f>0.86*8</f>
        <v>6.88</v>
      </c>
    </row>
    <row r="200" spans="1:5" ht="15.5">
      <c r="A200" s="120">
        <v>196</v>
      </c>
      <c r="B200" s="142" t="s">
        <v>180</v>
      </c>
      <c r="C200" s="140" t="s">
        <v>41</v>
      </c>
      <c r="D200" s="141" t="s">
        <v>787</v>
      </c>
      <c r="E200" s="141">
        <f>1.38*8</f>
        <v>11.04</v>
      </c>
    </row>
    <row r="201" spans="1:5" ht="15.5">
      <c r="A201" s="120">
        <v>197</v>
      </c>
      <c r="B201" s="142" t="s">
        <v>180</v>
      </c>
      <c r="C201" s="140" t="s">
        <v>43</v>
      </c>
      <c r="D201" s="141" t="s">
        <v>788</v>
      </c>
      <c r="E201" s="141">
        <f>1*8</f>
        <v>8</v>
      </c>
    </row>
    <row r="202" spans="1:5" ht="15.5">
      <c r="A202" s="120">
        <v>198</v>
      </c>
      <c r="B202" s="142" t="s">
        <v>180</v>
      </c>
      <c r="C202" s="140" t="s">
        <v>719</v>
      </c>
      <c r="D202" s="141" t="s">
        <v>789</v>
      </c>
      <c r="E202" s="141">
        <f>1.3*8</f>
        <v>10.4</v>
      </c>
    </row>
    <row r="203" spans="1:5" ht="15.5">
      <c r="A203" s="120">
        <v>199</v>
      </c>
      <c r="B203" s="142" t="s">
        <v>182</v>
      </c>
      <c r="C203" s="140" t="s">
        <v>41</v>
      </c>
      <c r="D203" s="141" t="s">
        <v>790</v>
      </c>
      <c r="E203" s="141">
        <f>0.23*8</f>
        <v>1.84</v>
      </c>
    </row>
    <row r="204" spans="1:5" ht="15.5">
      <c r="A204" s="120">
        <v>200</v>
      </c>
      <c r="B204" s="142" t="s">
        <v>182</v>
      </c>
      <c r="C204" s="140" t="s">
        <v>43</v>
      </c>
      <c r="D204" s="141" t="s">
        <v>791</v>
      </c>
      <c r="E204" s="141">
        <f>0.25*8</f>
        <v>2</v>
      </c>
    </row>
    <row r="205" spans="1:5" ht="15.5">
      <c r="A205" s="120">
        <v>201</v>
      </c>
      <c r="B205" s="142" t="s">
        <v>182</v>
      </c>
      <c r="C205" s="140" t="s">
        <v>719</v>
      </c>
      <c r="D205" s="141" t="s">
        <v>792</v>
      </c>
      <c r="E205" s="141">
        <f>0.21*8</f>
        <v>1.68</v>
      </c>
    </row>
    <row r="206" spans="1:5" ht="15.5">
      <c r="A206" s="120"/>
      <c r="B206" s="142" t="s">
        <v>182</v>
      </c>
      <c r="C206" s="140" t="s">
        <v>793</v>
      </c>
      <c r="D206" s="141" t="s">
        <v>794</v>
      </c>
      <c r="E206" s="141">
        <f>0.96*8</f>
        <v>7.68</v>
      </c>
    </row>
    <row r="207" spans="1:5" ht="15.5">
      <c r="A207" s="120">
        <v>202</v>
      </c>
      <c r="B207" s="142" t="s">
        <v>184</v>
      </c>
      <c r="C207" s="140" t="s">
        <v>41</v>
      </c>
      <c r="D207" s="141" t="s">
        <v>795</v>
      </c>
      <c r="E207" s="141">
        <f>0.46*8</f>
        <v>3.68</v>
      </c>
    </row>
    <row r="208" spans="1:5" ht="15.5">
      <c r="A208" s="120">
        <v>203</v>
      </c>
      <c r="B208" s="142" t="s">
        <v>184</v>
      </c>
      <c r="C208" s="140" t="s">
        <v>43</v>
      </c>
      <c r="D208" s="141" t="s">
        <v>796</v>
      </c>
      <c r="E208" s="141">
        <f>0.5*8</f>
        <v>4</v>
      </c>
    </row>
    <row r="209" spans="1:5" ht="15.5">
      <c r="A209" s="120">
        <v>204</v>
      </c>
      <c r="B209" s="142" t="s">
        <v>184</v>
      </c>
      <c r="C209" s="140" t="s">
        <v>719</v>
      </c>
      <c r="D209" s="141" t="s">
        <v>797</v>
      </c>
      <c r="E209" s="141">
        <f>0.44*8</f>
        <v>3.52</v>
      </c>
    </row>
    <row r="210" spans="1:5" ht="15.5">
      <c r="A210" s="120"/>
      <c r="B210" s="142" t="s">
        <v>184</v>
      </c>
      <c r="C210" s="140" t="s">
        <v>793</v>
      </c>
      <c r="D210" s="141" t="s">
        <v>798</v>
      </c>
      <c r="E210" s="141">
        <f>2.78*8</f>
        <v>22.24</v>
      </c>
    </row>
    <row r="211" spans="1:5" ht="15.5">
      <c r="A211" s="120">
        <v>205</v>
      </c>
      <c r="B211" s="142" t="s">
        <v>186</v>
      </c>
      <c r="C211" s="140" t="s">
        <v>41</v>
      </c>
      <c r="D211" s="141" t="s">
        <v>799</v>
      </c>
      <c r="E211" s="141">
        <f>0.7*8</f>
        <v>5.6</v>
      </c>
    </row>
    <row r="212" spans="1:5" ht="15.5">
      <c r="A212" s="120">
        <v>206</v>
      </c>
      <c r="B212" s="142" t="s">
        <v>186</v>
      </c>
      <c r="C212" s="140" t="s">
        <v>43</v>
      </c>
      <c r="D212" s="141" t="s">
        <v>800</v>
      </c>
      <c r="E212" s="141">
        <f>0.75*8</f>
        <v>6</v>
      </c>
    </row>
    <row r="213" spans="1:5" ht="15.5">
      <c r="A213" s="120">
        <v>207</v>
      </c>
      <c r="B213" s="142" t="s">
        <v>186</v>
      </c>
      <c r="C213" s="140" t="s">
        <v>719</v>
      </c>
      <c r="D213" s="141" t="s">
        <v>801</v>
      </c>
      <c r="E213" s="141">
        <f>0.65*8</f>
        <v>5.2</v>
      </c>
    </row>
    <row r="214" spans="1:5" ht="15.5">
      <c r="A214" s="120"/>
      <c r="B214" s="142" t="s">
        <v>186</v>
      </c>
      <c r="C214" s="140" t="s">
        <v>793</v>
      </c>
      <c r="D214" s="141" t="s">
        <v>802</v>
      </c>
      <c r="E214" s="141">
        <f>3.68*8</f>
        <v>29.44</v>
      </c>
    </row>
    <row r="215" spans="1:5" ht="15.5">
      <c r="A215" s="120">
        <v>208</v>
      </c>
      <c r="B215" s="142" t="s">
        <v>188</v>
      </c>
      <c r="C215" s="140" t="s">
        <v>41</v>
      </c>
      <c r="D215" s="141" t="s">
        <v>803</v>
      </c>
      <c r="E215" s="141">
        <f>0.46*8</f>
        <v>3.68</v>
      </c>
    </row>
    <row r="216" spans="1:5" ht="15.5">
      <c r="A216" s="120">
        <v>209</v>
      </c>
      <c r="B216" s="142" t="s">
        <v>188</v>
      </c>
      <c r="C216" s="140" t="s">
        <v>43</v>
      </c>
      <c r="D216" s="141" t="s">
        <v>804</v>
      </c>
      <c r="E216" s="141">
        <f>0.25*8</f>
        <v>2</v>
      </c>
    </row>
    <row r="217" spans="1:5" ht="15.5">
      <c r="A217" s="120">
        <v>210</v>
      </c>
      <c r="B217" s="142" t="s">
        <v>188</v>
      </c>
      <c r="C217" s="140" t="s">
        <v>719</v>
      </c>
      <c r="D217" s="141" t="s">
        <v>805</v>
      </c>
      <c r="E217" s="141">
        <f>0.44*8</f>
        <v>3.52</v>
      </c>
    </row>
    <row r="218" spans="1:5" ht="15.5">
      <c r="A218" s="120">
        <v>211</v>
      </c>
      <c r="B218" s="142" t="s">
        <v>189</v>
      </c>
      <c r="C218" s="140" t="s">
        <v>41</v>
      </c>
      <c r="D218" s="141" t="s">
        <v>806</v>
      </c>
      <c r="E218" s="141">
        <f>0.92*8</f>
        <v>7.36</v>
      </c>
    </row>
    <row r="219" spans="1:5" ht="15.5">
      <c r="A219" s="120">
        <v>212</v>
      </c>
      <c r="B219" s="142" t="s">
        <v>189</v>
      </c>
      <c r="C219" s="140" t="s">
        <v>43</v>
      </c>
      <c r="D219" s="141" t="s">
        <v>807</v>
      </c>
      <c r="E219" s="141">
        <f>0.5*8</f>
        <v>4</v>
      </c>
    </row>
    <row r="220" spans="1:5" ht="15.5">
      <c r="A220" s="120">
        <v>213</v>
      </c>
      <c r="B220" s="142" t="s">
        <v>189</v>
      </c>
      <c r="C220" s="140" t="s">
        <v>719</v>
      </c>
      <c r="D220" s="141" t="s">
        <v>808</v>
      </c>
      <c r="E220" s="141">
        <f>0.86*8</f>
        <v>6.88</v>
      </c>
    </row>
    <row r="221" spans="1:5" ht="15.5">
      <c r="A221" s="120">
        <v>214</v>
      </c>
      <c r="B221" s="142" t="s">
        <v>190</v>
      </c>
      <c r="C221" s="140" t="s">
        <v>41</v>
      </c>
      <c r="D221" s="141" t="s">
        <v>809</v>
      </c>
      <c r="E221" s="141">
        <f>1.38*8</f>
        <v>11.04</v>
      </c>
    </row>
    <row r="222" spans="1:5" ht="15.5">
      <c r="A222" s="120">
        <v>215</v>
      </c>
      <c r="B222" s="142" t="s">
        <v>190</v>
      </c>
      <c r="C222" s="140" t="s">
        <v>43</v>
      </c>
      <c r="D222" s="141" t="s">
        <v>810</v>
      </c>
      <c r="E222" s="141">
        <f>0.75*8</f>
        <v>6</v>
      </c>
    </row>
    <row r="223" spans="1:5" ht="15.5">
      <c r="A223" s="120">
        <v>216</v>
      </c>
      <c r="B223" s="142" t="s">
        <v>190</v>
      </c>
      <c r="C223" s="140" t="s">
        <v>719</v>
      </c>
      <c r="D223" s="141" t="s">
        <v>811</v>
      </c>
      <c r="E223" s="141">
        <f>1.3*8</f>
        <v>10.4</v>
      </c>
    </row>
    <row r="224" spans="1:5" ht="15.5">
      <c r="A224" s="120">
        <v>217</v>
      </c>
      <c r="B224" s="142" t="s">
        <v>191</v>
      </c>
      <c r="C224" s="140" t="s">
        <v>41</v>
      </c>
      <c r="D224" s="141" t="s">
        <v>812</v>
      </c>
      <c r="E224" s="141">
        <f>0.46*8</f>
        <v>3.68</v>
      </c>
    </row>
    <row r="225" spans="1:5" ht="15.5">
      <c r="A225" s="120">
        <v>218</v>
      </c>
      <c r="B225" s="142" t="s">
        <v>191</v>
      </c>
      <c r="C225" s="140" t="s">
        <v>43</v>
      </c>
      <c r="D225" s="141" t="s">
        <v>813</v>
      </c>
      <c r="E225" s="141">
        <f>0.25*8</f>
        <v>2</v>
      </c>
    </row>
    <row r="226" spans="1:5" ht="15.5">
      <c r="A226" s="120">
        <v>219</v>
      </c>
      <c r="B226" s="142" t="s">
        <v>191</v>
      </c>
      <c r="C226" s="140" t="s">
        <v>719</v>
      </c>
      <c r="D226" s="141" t="s">
        <v>814</v>
      </c>
      <c r="E226" s="141">
        <f>0.44*8</f>
        <v>3.52</v>
      </c>
    </row>
    <row r="227" spans="1:5" ht="15.5">
      <c r="A227" s="120">
        <v>220</v>
      </c>
      <c r="B227" s="142" t="s">
        <v>193</v>
      </c>
      <c r="C227" s="140" t="s">
        <v>41</v>
      </c>
      <c r="D227" s="141" t="s">
        <v>815</v>
      </c>
      <c r="E227" s="141">
        <f>0.92*8</f>
        <v>7.36</v>
      </c>
    </row>
    <row r="228" spans="1:5" ht="15.5">
      <c r="A228" s="120">
        <v>221</v>
      </c>
      <c r="B228" s="142" t="s">
        <v>193</v>
      </c>
      <c r="C228" s="140" t="s">
        <v>43</v>
      </c>
      <c r="D228" s="141" t="s">
        <v>816</v>
      </c>
      <c r="E228" s="141">
        <f>0.5*8</f>
        <v>4</v>
      </c>
    </row>
    <row r="229" spans="1:5" ht="15.5">
      <c r="A229" s="120">
        <v>222</v>
      </c>
      <c r="B229" s="142" t="s">
        <v>193</v>
      </c>
      <c r="C229" s="140" t="s">
        <v>719</v>
      </c>
      <c r="D229" s="141" t="s">
        <v>817</v>
      </c>
      <c r="E229" s="141">
        <f>0.86*8</f>
        <v>6.88</v>
      </c>
    </row>
    <row r="230" spans="1:5" ht="15.5">
      <c r="A230" s="120">
        <v>223</v>
      </c>
      <c r="B230" s="142" t="s">
        <v>195</v>
      </c>
      <c r="C230" s="140" t="s">
        <v>41</v>
      </c>
      <c r="D230" s="141" t="s">
        <v>818</v>
      </c>
      <c r="E230" s="141">
        <f>1.38*8</f>
        <v>11.04</v>
      </c>
    </row>
    <row r="231" spans="1:5" ht="15.5">
      <c r="A231" s="120">
        <v>224</v>
      </c>
      <c r="B231" s="142" t="s">
        <v>195</v>
      </c>
      <c r="C231" s="140" t="s">
        <v>43</v>
      </c>
      <c r="D231" s="141" t="s">
        <v>819</v>
      </c>
      <c r="E231" s="141">
        <f>0.75*8</f>
        <v>6</v>
      </c>
    </row>
    <row r="232" spans="1:5" ht="15.5">
      <c r="A232" s="120">
        <v>225</v>
      </c>
      <c r="B232" s="142" t="s">
        <v>195</v>
      </c>
      <c r="C232" s="140" t="s">
        <v>719</v>
      </c>
      <c r="D232" s="141" t="s">
        <v>820</v>
      </c>
      <c r="E232" s="141">
        <f>1.3*8</f>
        <v>10.4</v>
      </c>
    </row>
    <row r="233" spans="1:5" ht="15.5">
      <c r="A233" s="120">
        <v>226</v>
      </c>
      <c r="B233" s="142" t="s">
        <v>197</v>
      </c>
      <c r="C233" s="140" t="s">
        <v>41</v>
      </c>
      <c r="D233" s="141" t="s">
        <v>821</v>
      </c>
      <c r="E233" s="141">
        <f>0.92*8</f>
        <v>7.36</v>
      </c>
    </row>
    <row r="234" spans="1:5" ht="15.5">
      <c r="A234" s="120">
        <v>227</v>
      </c>
      <c r="B234" s="142" t="s">
        <v>197</v>
      </c>
      <c r="C234" s="140" t="s">
        <v>43</v>
      </c>
      <c r="D234" s="141" t="s">
        <v>822</v>
      </c>
      <c r="E234" s="141">
        <f>1*8</f>
        <v>8</v>
      </c>
    </row>
    <row r="235" spans="1:5" ht="15.5">
      <c r="A235" s="120">
        <v>228</v>
      </c>
      <c r="B235" s="142" t="s">
        <v>197</v>
      </c>
      <c r="C235" s="140" t="s">
        <v>719</v>
      </c>
      <c r="D235" s="141" t="s">
        <v>823</v>
      </c>
      <c r="E235" s="141">
        <f>0.86*8</f>
        <v>6.88</v>
      </c>
    </row>
    <row r="236" spans="1:5" ht="15.5">
      <c r="A236" s="120">
        <v>229</v>
      </c>
      <c r="B236" s="142" t="s">
        <v>199</v>
      </c>
      <c r="C236" s="140" t="s">
        <v>41</v>
      </c>
      <c r="D236" s="141" t="s">
        <v>824</v>
      </c>
      <c r="E236" s="141">
        <f>1.38*8</f>
        <v>11.04</v>
      </c>
    </row>
    <row r="237" spans="1:5" ht="15.5">
      <c r="A237" s="120">
        <v>230</v>
      </c>
      <c r="B237" s="142" t="s">
        <v>199</v>
      </c>
      <c r="C237" s="140" t="s">
        <v>43</v>
      </c>
      <c r="D237" s="141" t="s">
        <v>825</v>
      </c>
      <c r="E237" s="141">
        <f>1.5*8</f>
        <v>12</v>
      </c>
    </row>
    <row r="238" spans="1:5" ht="15.5">
      <c r="A238" s="120">
        <v>231</v>
      </c>
      <c r="B238" s="142" t="s">
        <v>199</v>
      </c>
      <c r="C238" s="140" t="s">
        <v>719</v>
      </c>
      <c r="D238" s="141" t="s">
        <v>826</v>
      </c>
      <c r="E238" s="141">
        <f>1.3*8</f>
        <v>10.4</v>
      </c>
    </row>
    <row r="239" spans="1:5" ht="15.5">
      <c r="A239" s="120">
        <v>232</v>
      </c>
      <c r="B239" s="142" t="s">
        <v>201</v>
      </c>
      <c r="C239" s="140" t="s">
        <v>41</v>
      </c>
      <c r="D239" s="141" t="s">
        <v>827</v>
      </c>
      <c r="E239" s="141">
        <f>1.84*8</f>
        <v>14.72</v>
      </c>
    </row>
    <row r="240" spans="1:5" ht="15.5">
      <c r="A240" s="120">
        <v>233</v>
      </c>
      <c r="B240" s="142" t="s">
        <v>201</v>
      </c>
      <c r="C240" s="140" t="s">
        <v>43</v>
      </c>
      <c r="D240" s="141" t="s">
        <v>828</v>
      </c>
      <c r="E240" s="141">
        <f>2*8</f>
        <v>16</v>
      </c>
    </row>
    <row r="241" spans="1:5" ht="15.5">
      <c r="A241" s="120">
        <v>234</v>
      </c>
      <c r="B241" s="142" t="s">
        <v>201</v>
      </c>
      <c r="C241" s="140" t="s">
        <v>719</v>
      </c>
      <c r="D241" s="141" t="s">
        <v>829</v>
      </c>
      <c r="E241" s="141">
        <f>1.73*8</f>
        <v>13.84</v>
      </c>
    </row>
    <row r="242" spans="1:5" ht="15.5">
      <c r="A242" s="120">
        <v>235</v>
      </c>
      <c r="B242" s="142" t="s">
        <v>203</v>
      </c>
      <c r="C242" s="140" t="s">
        <v>41</v>
      </c>
      <c r="D242" s="141" t="s">
        <v>830</v>
      </c>
      <c r="E242" s="141">
        <f>0.92*8</f>
        <v>7.36</v>
      </c>
    </row>
    <row r="243" spans="1:5" ht="15.5">
      <c r="A243" s="120">
        <v>236</v>
      </c>
      <c r="B243" s="142" t="s">
        <v>203</v>
      </c>
      <c r="C243" s="140" t="s">
        <v>43</v>
      </c>
      <c r="D243" s="141" t="s">
        <v>831</v>
      </c>
      <c r="E243" s="141">
        <f>1*8</f>
        <v>8</v>
      </c>
    </row>
    <row r="244" spans="1:5" ht="15.5">
      <c r="A244" s="120">
        <v>237</v>
      </c>
      <c r="B244" s="142" t="s">
        <v>203</v>
      </c>
      <c r="C244" s="140" t="s">
        <v>719</v>
      </c>
      <c r="D244" s="141" t="s">
        <v>832</v>
      </c>
      <c r="E244" s="141">
        <f>0.86*8</f>
        <v>6.88</v>
      </c>
    </row>
    <row r="245" spans="1:5" ht="25">
      <c r="A245" s="120">
        <v>238</v>
      </c>
      <c r="B245" s="142" t="s">
        <v>205</v>
      </c>
      <c r="C245" s="140" t="s">
        <v>41</v>
      </c>
      <c r="D245" s="141" t="s">
        <v>833</v>
      </c>
      <c r="E245" s="141">
        <f>1.38*8</f>
        <v>11.04</v>
      </c>
    </row>
    <row r="246" spans="1:5" ht="25">
      <c r="A246" s="120">
        <v>239</v>
      </c>
      <c r="B246" s="142" t="s">
        <v>205</v>
      </c>
      <c r="C246" s="140" t="s">
        <v>43</v>
      </c>
      <c r="D246" s="141" t="s">
        <v>834</v>
      </c>
      <c r="E246" s="141">
        <f>1.5*8</f>
        <v>12</v>
      </c>
    </row>
    <row r="247" spans="1:5" ht="15.5">
      <c r="A247" s="120">
        <v>240</v>
      </c>
      <c r="B247" s="142" t="s">
        <v>205</v>
      </c>
      <c r="C247" s="140" t="s">
        <v>719</v>
      </c>
      <c r="D247" s="141" t="s">
        <v>835</v>
      </c>
      <c r="E247" s="141">
        <f>1.3*8</f>
        <v>10.4</v>
      </c>
    </row>
    <row r="248" spans="1:5" ht="15.5">
      <c r="A248" s="120">
        <v>241</v>
      </c>
      <c r="B248" s="142" t="s">
        <v>207</v>
      </c>
      <c r="C248" s="140" t="s">
        <v>41</v>
      </c>
      <c r="D248" s="141" t="s">
        <v>836</v>
      </c>
      <c r="E248" s="141">
        <f>1.84*8</f>
        <v>14.72</v>
      </c>
    </row>
    <row r="249" spans="1:5" ht="15.5">
      <c r="A249" s="120">
        <v>242</v>
      </c>
      <c r="B249" s="142" t="s">
        <v>207</v>
      </c>
      <c r="C249" s="140" t="s">
        <v>43</v>
      </c>
      <c r="D249" s="141" t="s">
        <v>837</v>
      </c>
      <c r="E249" s="141">
        <f>2*8</f>
        <v>16</v>
      </c>
    </row>
    <row r="250" spans="1:5" ht="15.5">
      <c r="A250" s="120">
        <v>243</v>
      </c>
      <c r="B250" s="142" t="s">
        <v>207</v>
      </c>
      <c r="C250" s="140" t="s">
        <v>719</v>
      </c>
      <c r="D250" s="141" t="s">
        <v>838</v>
      </c>
      <c r="E250" s="141">
        <f>1.73*8</f>
        <v>13.84</v>
      </c>
    </row>
    <row r="251" spans="1:5" ht="25">
      <c r="A251" s="120">
        <v>244</v>
      </c>
      <c r="B251" s="144" t="s">
        <v>209</v>
      </c>
      <c r="C251" s="140" t="s">
        <v>41</v>
      </c>
      <c r="D251" s="141" t="s">
        <v>839</v>
      </c>
      <c r="E251" s="141">
        <f>0.92*8</f>
        <v>7.36</v>
      </c>
    </row>
    <row r="252" spans="1:5" ht="25">
      <c r="A252" s="120">
        <v>245</v>
      </c>
      <c r="B252" s="144" t="s">
        <v>209</v>
      </c>
      <c r="C252" s="140" t="s">
        <v>43</v>
      </c>
      <c r="D252" s="141" t="s">
        <v>840</v>
      </c>
      <c r="E252" s="141">
        <f>1*8</f>
        <v>8</v>
      </c>
    </row>
    <row r="253" spans="1:5" ht="25">
      <c r="A253" s="120">
        <v>246</v>
      </c>
      <c r="B253" s="144" t="s">
        <v>209</v>
      </c>
      <c r="C253" s="140" t="s">
        <v>719</v>
      </c>
      <c r="D253" s="141" t="s">
        <v>841</v>
      </c>
      <c r="E253" s="141">
        <f>0.86*8</f>
        <v>6.88</v>
      </c>
    </row>
    <row r="254" spans="1:5" ht="25">
      <c r="A254" s="120">
        <v>247</v>
      </c>
      <c r="B254" s="144" t="s">
        <v>211</v>
      </c>
      <c r="C254" s="140" t="s">
        <v>41</v>
      </c>
      <c r="D254" s="141" t="s">
        <v>842</v>
      </c>
      <c r="E254" s="141">
        <f>1.38*8</f>
        <v>11.04</v>
      </c>
    </row>
    <row r="255" spans="1:5" ht="25">
      <c r="A255" s="120">
        <v>248</v>
      </c>
      <c r="B255" s="144" t="s">
        <v>211</v>
      </c>
      <c r="C255" s="140" t="s">
        <v>43</v>
      </c>
      <c r="D255" s="141" t="s">
        <v>843</v>
      </c>
      <c r="E255" s="141">
        <f>1.5*8</f>
        <v>12</v>
      </c>
    </row>
    <row r="256" spans="1:5" ht="25">
      <c r="A256" s="120">
        <v>249</v>
      </c>
      <c r="B256" s="144" t="s">
        <v>211</v>
      </c>
      <c r="C256" s="140" t="s">
        <v>719</v>
      </c>
      <c r="D256" s="141" t="s">
        <v>844</v>
      </c>
      <c r="E256" s="141">
        <f>1.3*8</f>
        <v>10.4</v>
      </c>
    </row>
    <row r="257" spans="1:5" ht="25">
      <c r="A257" s="120">
        <v>250</v>
      </c>
      <c r="B257" s="144" t="s">
        <v>213</v>
      </c>
      <c r="C257" s="140" t="s">
        <v>41</v>
      </c>
      <c r="D257" s="141" t="s">
        <v>845</v>
      </c>
      <c r="E257" s="141">
        <f>1.84*8</f>
        <v>14.72</v>
      </c>
    </row>
    <row r="258" spans="1:5" ht="25">
      <c r="A258" s="120">
        <v>251</v>
      </c>
      <c r="B258" s="144" t="s">
        <v>213</v>
      </c>
      <c r="C258" s="140" t="s">
        <v>43</v>
      </c>
      <c r="D258" s="141" t="s">
        <v>846</v>
      </c>
      <c r="E258" s="141">
        <f>2*8</f>
        <v>16</v>
      </c>
    </row>
    <row r="259" spans="1:5" ht="25">
      <c r="A259" s="120">
        <v>252</v>
      </c>
      <c r="B259" s="144" t="s">
        <v>213</v>
      </c>
      <c r="C259" s="140" t="s">
        <v>719</v>
      </c>
      <c r="D259" s="141" t="s">
        <v>847</v>
      </c>
      <c r="E259" s="141">
        <f>1.73*8</f>
        <v>13.84</v>
      </c>
    </row>
  </sheetData>
  <mergeCells count="6">
    <mergeCell ref="A1:E1"/>
    <mergeCell ref="A3:A4"/>
    <mergeCell ref="B3:B4"/>
    <mergeCell ref="C3:C4"/>
    <mergeCell ref="D3:D4"/>
    <mergeCell ref="E3:E4"/>
  </mergeCell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1:C89"/>
  <sheetViews>
    <sheetView topLeftCell="A28" workbookViewId="0">
      <selection activeCell="B14" sqref="B14:C14"/>
    </sheetView>
  </sheetViews>
  <sheetFormatPr defaultColWidth="9.1796875" defaultRowHeight="12.5"/>
  <cols>
    <col min="1" max="1" width="36" style="98" customWidth="1"/>
    <col min="2" max="2" width="36.7265625" style="103" customWidth="1"/>
    <col min="3" max="3" width="58.1796875" style="98" customWidth="1"/>
    <col min="4" max="4" width="25.54296875" style="98" customWidth="1"/>
    <col min="5" max="5" width="18.7265625" style="98" customWidth="1"/>
    <col min="6" max="6" width="14.7265625" style="98" bestFit="1" customWidth="1"/>
    <col min="7" max="16384" width="9.1796875" style="98"/>
  </cols>
  <sheetData>
    <row r="1" spans="1:3" ht="13">
      <c r="A1" s="97" t="s">
        <v>362</v>
      </c>
      <c r="B1" s="426"/>
      <c r="C1" s="426"/>
    </row>
    <row r="2" spans="1:3">
      <c r="A2" s="99" t="s">
        <v>848</v>
      </c>
      <c r="B2" s="425"/>
      <c r="C2" s="425"/>
    </row>
    <row r="3" spans="1:3">
      <c r="A3" s="112" t="s">
        <v>849</v>
      </c>
      <c r="B3" s="111"/>
      <c r="C3" s="111"/>
    </row>
    <row r="4" spans="1:3">
      <c r="A4" s="99" t="s">
        <v>850</v>
      </c>
      <c r="B4" s="425"/>
      <c r="C4" s="425"/>
    </row>
    <row r="5" spans="1:3">
      <c r="A5" s="99" t="s">
        <v>337</v>
      </c>
      <c r="B5" s="425"/>
      <c r="C5" s="425"/>
    </row>
    <row r="6" spans="1:3">
      <c r="A6" s="99" t="s">
        <v>307</v>
      </c>
      <c r="B6" s="425"/>
      <c r="C6" s="425"/>
    </row>
    <row r="7" spans="1:3">
      <c r="A7" s="99" t="s">
        <v>327</v>
      </c>
      <c r="B7" s="425"/>
      <c r="C7" s="425"/>
    </row>
    <row r="8" spans="1:3">
      <c r="A8" s="99" t="s">
        <v>851</v>
      </c>
      <c r="B8" s="425"/>
      <c r="C8" s="425"/>
    </row>
    <row r="9" spans="1:3">
      <c r="A9" s="99" t="s">
        <v>852</v>
      </c>
      <c r="B9" s="425"/>
      <c r="C9" s="425"/>
    </row>
    <row r="10" spans="1:3">
      <c r="A10" s="99" t="s">
        <v>853</v>
      </c>
      <c r="B10" s="425"/>
      <c r="C10" s="425"/>
    </row>
    <row r="11" spans="1:3">
      <c r="A11" s="99" t="s">
        <v>854</v>
      </c>
      <c r="B11" s="425"/>
      <c r="C11" s="425"/>
    </row>
    <row r="12" spans="1:3">
      <c r="A12" s="112" t="s">
        <v>855</v>
      </c>
      <c r="B12" s="111"/>
      <c r="C12" s="111"/>
    </row>
    <row r="13" spans="1:3">
      <c r="A13" s="99" t="s">
        <v>856</v>
      </c>
      <c r="B13" s="425"/>
      <c r="C13" s="425"/>
    </row>
    <row r="14" spans="1:3">
      <c r="A14" s="99" t="s">
        <v>857</v>
      </c>
      <c r="B14" s="425"/>
      <c r="C14" s="425"/>
    </row>
    <row r="15" spans="1:3">
      <c r="A15" s="99" t="s">
        <v>858</v>
      </c>
      <c r="B15" s="425"/>
      <c r="C15" s="425"/>
    </row>
    <row r="16" spans="1:3">
      <c r="A16" s="99" t="s">
        <v>859</v>
      </c>
      <c r="B16" s="425"/>
      <c r="C16" s="425"/>
    </row>
    <row r="21" spans="1:3" ht="26">
      <c r="A21" s="100" t="s">
        <v>362</v>
      </c>
      <c r="B21" s="101" t="s">
        <v>860</v>
      </c>
    </row>
    <row r="22" spans="1:3">
      <c r="A22" s="99" t="s">
        <v>848</v>
      </c>
      <c r="B22" s="102">
        <v>0.28999999999999998</v>
      </c>
    </row>
    <row r="23" spans="1:3">
      <c r="A23" s="115" t="s">
        <v>849</v>
      </c>
      <c r="B23" s="114">
        <v>0.1</v>
      </c>
    </row>
    <row r="24" spans="1:3">
      <c r="A24" s="99" t="s">
        <v>850</v>
      </c>
      <c r="B24" s="102">
        <v>0.28999999999999998</v>
      </c>
    </row>
    <row r="25" spans="1:3">
      <c r="A25" s="99" t="s">
        <v>337</v>
      </c>
      <c r="B25" s="102">
        <v>0.20300000000000001</v>
      </c>
    </row>
    <row r="26" spans="1:3">
      <c r="A26" s="99" t="s">
        <v>307</v>
      </c>
      <c r="B26" s="102">
        <v>0.14740000000000003</v>
      </c>
    </row>
    <row r="27" spans="1:3">
      <c r="A27" s="99" t="s">
        <v>327</v>
      </c>
      <c r="B27" s="102">
        <v>0.19162000000000004</v>
      </c>
    </row>
    <row r="28" spans="1:3">
      <c r="A28" s="99" t="s">
        <v>851</v>
      </c>
      <c r="B28" s="102">
        <v>0.15329600000000002</v>
      </c>
    </row>
    <row r="29" spans="1:3">
      <c r="A29" s="99" t="s">
        <v>852</v>
      </c>
      <c r="B29" s="102">
        <v>0.24615800000000007</v>
      </c>
    </row>
    <row r="30" spans="1:3">
      <c r="A30" s="99" t="s">
        <v>853</v>
      </c>
      <c r="B30" s="102">
        <v>0.10863380000000004</v>
      </c>
    </row>
    <row r="31" spans="1:3">
      <c r="A31" s="99" t="s">
        <v>854</v>
      </c>
      <c r="B31" s="102">
        <v>0.16214000000000003</v>
      </c>
    </row>
    <row r="32" spans="1:3" s="117" customFormat="1" ht="15.5">
      <c r="A32" s="115" t="s">
        <v>855</v>
      </c>
      <c r="B32" s="114">
        <v>0.15</v>
      </c>
      <c r="C32" s="103"/>
    </row>
    <row r="33" spans="1:2">
      <c r="A33" s="99" t="s">
        <v>856</v>
      </c>
      <c r="B33" s="102">
        <v>0.19692640000000006</v>
      </c>
    </row>
    <row r="34" spans="1:2">
      <c r="A34" s="99" t="s">
        <v>857</v>
      </c>
      <c r="B34" s="102">
        <v>0.31484640000000008</v>
      </c>
    </row>
    <row r="35" spans="1:2">
      <c r="A35" s="99" t="s">
        <v>858</v>
      </c>
      <c r="B35" s="102">
        <v>7.3700000000000015E-2</v>
      </c>
    </row>
    <row r="36" spans="1:2">
      <c r="A36" s="99" t="s">
        <v>859</v>
      </c>
      <c r="B36" s="102">
        <v>0.28999999999999998</v>
      </c>
    </row>
    <row r="38" spans="1:2" ht="13">
      <c r="A38" s="100" t="s">
        <v>362</v>
      </c>
      <c r="B38" s="101" t="s">
        <v>861</v>
      </c>
    </row>
    <row r="39" spans="1:2">
      <c r="A39" s="99" t="s">
        <v>848</v>
      </c>
      <c r="B39" s="102">
        <f>B22*1.4</f>
        <v>0.40599999999999997</v>
      </c>
    </row>
    <row r="40" spans="1:2">
      <c r="A40" s="115" t="s">
        <v>849</v>
      </c>
      <c r="B40" s="114">
        <v>0.14000000000000001</v>
      </c>
    </row>
    <row r="41" spans="1:2">
      <c r="A41" s="99" t="s">
        <v>850</v>
      </c>
      <c r="B41" s="102">
        <f>B24*1.4</f>
        <v>0.40599999999999997</v>
      </c>
    </row>
    <row r="42" spans="1:2">
      <c r="A42" s="99" t="s">
        <v>337</v>
      </c>
      <c r="B42" s="102">
        <v>0.23616000000000006</v>
      </c>
    </row>
    <row r="43" spans="1:2">
      <c r="A43" s="99" t="s">
        <v>307</v>
      </c>
      <c r="B43" s="102">
        <v>0.19188000000000002</v>
      </c>
    </row>
    <row r="44" spans="1:2">
      <c r="A44" s="99" t="s">
        <v>327</v>
      </c>
      <c r="B44" s="102">
        <v>0.23985000000000001</v>
      </c>
    </row>
    <row r="45" spans="1:2">
      <c r="A45" s="99" t="s">
        <v>851</v>
      </c>
      <c r="B45" s="102">
        <v>0.23616000000000006</v>
      </c>
    </row>
    <row r="46" spans="1:2">
      <c r="A46" s="99" t="s">
        <v>852</v>
      </c>
      <c r="B46" s="102">
        <v>0.33948000000000006</v>
      </c>
    </row>
    <row r="47" spans="1:2">
      <c r="A47" s="99" t="s">
        <v>853</v>
      </c>
      <c r="B47" s="102">
        <v>0.16236000000000006</v>
      </c>
    </row>
    <row r="48" spans="1:2">
      <c r="A48" s="99" t="s">
        <v>854</v>
      </c>
      <c r="B48" s="102">
        <v>0.18450000000000005</v>
      </c>
    </row>
    <row r="49" spans="1:2">
      <c r="A49" s="115" t="s">
        <v>855</v>
      </c>
      <c r="B49" s="114">
        <v>0.4</v>
      </c>
    </row>
    <row r="50" spans="1:2">
      <c r="A50" s="99" t="s">
        <v>856</v>
      </c>
      <c r="B50" s="102">
        <v>0.19719360000000002</v>
      </c>
    </row>
    <row r="51" spans="1:2">
      <c r="A51" s="99" t="s">
        <v>857</v>
      </c>
      <c r="B51" s="102">
        <v>0.46936800000000001</v>
      </c>
    </row>
    <row r="52" spans="1:2">
      <c r="A52" s="99" t="s">
        <v>858</v>
      </c>
      <c r="B52" s="102">
        <v>8.8560000000000014E-2</v>
      </c>
    </row>
    <row r="53" spans="1:2">
      <c r="A53" s="99" t="s">
        <v>859</v>
      </c>
      <c r="B53" s="102">
        <v>0.40599999999999997</v>
      </c>
    </row>
    <row r="56" spans="1:2" ht="26">
      <c r="A56" s="100" t="s">
        <v>362</v>
      </c>
      <c r="B56" s="101" t="s">
        <v>862</v>
      </c>
    </row>
    <row r="57" spans="1:2">
      <c r="A57" s="99" t="s">
        <v>848</v>
      </c>
      <c r="B57" s="102">
        <v>0.89619200000000021</v>
      </c>
    </row>
    <row r="58" spans="1:2">
      <c r="A58" s="115" t="s">
        <v>849</v>
      </c>
      <c r="B58" s="114">
        <v>0.8</v>
      </c>
    </row>
    <row r="59" spans="1:2">
      <c r="A59" s="99" t="s">
        <v>850</v>
      </c>
      <c r="B59" s="102">
        <v>1.0418232000000001</v>
      </c>
    </row>
    <row r="60" spans="1:2">
      <c r="A60" s="99" t="s">
        <v>337</v>
      </c>
      <c r="B60" s="102">
        <v>0.30250000000000005</v>
      </c>
    </row>
    <row r="61" spans="1:2">
      <c r="A61" s="99" t="s">
        <v>307</v>
      </c>
      <c r="B61" s="102">
        <v>0.24200000000000005</v>
      </c>
    </row>
    <row r="62" spans="1:2">
      <c r="A62" s="99" t="s">
        <v>327</v>
      </c>
      <c r="B62" s="102">
        <v>0.31460000000000005</v>
      </c>
    </row>
    <row r="63" spans="1:2">
      <c r="A63" s="99" t="s">
        <v>851</v>
      </c>
      <c r="B63" s="102">
        <v>0.38720000000000016</v>
      </c>
    </row>
    <row r="64" spans="1:2">
      <c r="A64" s="99" t="s">
        <v>852</v>
      </c>
      <c r="B64" s="102">
        <v>0.4840000000000001</v>
      </c>
    </row>
    <row r="65" spans="1:2">
      <c r="A65" s="99" t="s">
        <v>853</v>
      </c>
      <c r="B65" s="102">
        <v>0.26620000000000005</v>
      </c>
    </row>
    <row r="66" spans="1:2">
      <c r="A66" s="99" t="s">
        <v>854</v>
      </c>
      <c r="B66" s="102">
        <v>0.26620000000000005</v>
      </c>
    </row>
    <row r="67" spans="1:2">
      <c r="A67" s="115" t="s">
        <v>855</v>
      </c>
      <c r="B67" s="114">
        <v>0.3</v>
      </c>
    </row>
    <row r="68" spans="1:2">
      <c r="A68" s="99" t="s">
        <v>856</v>
      </c>
      <c r="B68" s="102">
        <v>0.14520000000000002</v>
      </c>
    </row>
    <row r="69" spans="1:2">
      <c r="A69" s="99" t="s">
        <v>857</v>
      </c>
      <c r="B69" s="102">
        <v>0.3872000000000001</v>
      </c>
    </row>
    <row r="70" spans="1:2">
      <c r="A70" s="99" t="s">
        <v>858</v>
      </c>
      <c r="B70" s="102">
        <v>0.18150000000000002</v>
      </c>
    </row>
    <row r="71" spans="1:2">
      <c r="A71" s="99" t="s">
        <v>859</v>
      </c>
      <c r="B71" s="102">
        <v>0.89619200000000021</v>
      </c>
    </row>
    <row r="73" spans="1:2" ht="26">
      <c r="A73" s="100" t="s">
        <v>362</v>
      </c>
      <c r="B73" s="101" t="s">
        <v>863</v>
      </c>
    </row>
    <row r="74" spans="1:2">
      <c r="A74" s="99" t="s">
        <v>848</v>
      </c>
      <c r="B74" s="102">
        <v>0.89740800000000009</v>
      </c>
    </row>
    <row r="75" spans="1:2">
      <c r="A75" s="115" t="s">
        <v>849</v>
      </c>
      <c r="B75" s="114">
        <v>0.8</v>
      </c>
    </row>
    <row r="76" spans="1:2">
      <c r="A76" s="99" t="s">
        <v>850</v>
      </c>
      <c r="B76" s="102">
        <v>1.5827760000000002</v>
      </c>
    </row>
    <row r="77" spans="1:2">
      <c r="A77" s="99" t="s">
        <v>337</v>
      </c>
      <c r="B77" s="102">
        <v>0.63</v>
      </c>
    </row>
    <row r="78" spans="1:2">
      <c r="A78" s="99" t="s">
        <v>307</v>
      </c>
      <c r="B78" s="102">
        <v>0.378</v>
      </c>
    </row>
    <row r="79" spans="1:2">
      <c r="A79" s="99" t="s">
        <v>327</v>
      </c>
      <c r="B79" s="102">
        <v>0.47250000000000003</v>
      </c>
    </row>
    <row r="80" spans="1:2">
      <c r="A80" s="99" t="s">
        <v>851</v>
      </c>
      <c r="B80" s="102">
        <v>0.40319999999999995</v>
      </c>
    </row>
    <row r="81" spans="1:2">
      <c r="A81" s="99" t="s">
        <v>852</v>
      </c>
      <c r="B81" s="102">
        <v>0.63</v>
      </c>
    </row>
    <row r="82" spans="1:2">
      <c r="A82" s="99" t="s">
        <v>853</v>
      </c>
      <c r="B82" s="102">
        <v>0.4158</v>
      </c>
    </row>
    <row r="83" spans="1:2">
      <c r="A83" s="99" t="s">
        <v>854</v>
      </c>
      <c r="B83" s="102">
        <v>0.47250000000000003</v>
      </c>
    </row>
    <row r="84" spans="1:2">
      <c r="A84" s="115" t="s">
        <v>855</v>
      </c>
      <c r="B84" s="114">
        <v>0.5</v>
      </c>
    </row>
    <row r="85" spans="1:2">
      <c r="A85" s="99" t="s">
        <v>856</v>
      </c>
      <c r="B85" s="102">
        <v>0.1512</v>
      </c>
    </row>
    <row r="86" spans="1:2">
      <c r="A86" s="99" t="s">
        <v>857</v>
      </c>
      <c r="B86" s="102">
        <v>0.4536</v>
      </c>
    </row>
    <row r="87" spans="1:2">
      <c r="A87" s="99" t="s">
        <v>858</v>
      </c>
      <c r="B87" s="102">
        <v>0.2268</v>
      </c>
    </row>
    <row r="88" spans="1:2">
      <c r="A88" s="99" t="s">
        <v>859</v>
      </c>
      <c r="B88" s="102">
        <v>0.89740800000000009</v>
      </c>
    </row>
    <row r="89" spans="1:2">
      <c r="A89" s="99" t="s">
        <v>859</v>
      </c>
      <c r="B89" s="102">
        <v>0.89740800000000009</v>
      </c>
    </row>
  </sheetData>
  <mergeCells count="14">
    <mergeCell ref="B15:C15"/>
    <mergeCell ref="B16:C16"/>
    <mergeCell ref="B8:C8"/>
    <mergeCell ref="B9:C9"/>
    <mergeCell ref="B10:C10"/>
    <mergeCell ref="B11:C11"/>
    <mergeCell ref="B13:C13"/>
    <mergeCell ref="B14:C14"/>
    <mergeCell ref="B7:C7"/>
    <mergeCell ref="B1:C1"/>
    <mergeCell ref="B2:C2"/>
    <mergeCell ref="B4:C4"/>
    <mergeCell ref="B5:C5"/>
    <mergeCell ref="B6:C6"/>
  </mergeCells>
  <pageMargins left="0.7" right="0.7" top="0.75" bottom="0.75" header="0.3" footer="0.3"/>
  <pageSetup paperSize="9" scale="85"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C78"/>
  <sheetViews>
    <sheetView workbookViewId="0">
      <selection activeCell="C74" sqref="C74"/>
    </sheetView>
  </sheetViews>
  <sheetFormatPr defaultColWidth="9.1796875" defaultRowHeight="12.5"/>
  <cols>
    <col min="1" max="1" width="36" style="98" customWidth="1"/>
    <col min="2" max="2" width="36.7265625" style="103" customWidth="1"/>
    <col min="3" max="3" width="58.1796875" style="98" customWidth="1"/>
    <col min="4" max="4" width="25.54296875" style="98" customWidth="1"/>
    <col min="5" max="5" width="18.7265625" style="98" customWidth="1"/>
    <col min="6" max="6" width="14.7265625" style="98" bestFit="1" customWidth="1"/>
    <col min="7" max="16384" width="9.1796875" style="98"/>
  </cols>
  <sheetData>
    <row r="1" spans="1:3" ht="13">
      <c r="A1" s="97" t="s">
        <v>362</v>
      </c>
      <c r="B1" s="426"/>
      <c r="C1" s="426"/>
    </row>
    <row r="2" spans="1:3">
      <c r="A2" s="99" t="s">
        <v>848</v>
      </c>
      <c r="B2" s="425"/>
      <c r="C2" s="425"/>
    </row>
    <row r="3" spans="1:3">
      <c r="A3" s="112" t="s">
        <v>849</v>
      </c>
      <c r="B3" s="111"/>
      <c r="C3" s="111"/>
    </row>
    <row r="4" spans="1:3">
      <c r="A4" s="99" t="s">
        <v>850</v>
      </c>
      <c r="B4" s="425"/>
      <c r="C4" s="425"/>
    </row>
    <row r="5" spans="1:3">
      <c r="A5" s="99" t="s">
        <v>337</v>
      </c>
      <c r="B5" s="425"/>
      <c r="C5" s="425"/>
    </row>
    <row r="6" spans="1:3">
      <c r="A6" s="99" t="s">
        <v>307</v>
      </c>
      <c r="B6" s="425"/>
      <c r="C6" s="425"/>
    </row>
    <row r="7" spans="1:3">
      <c r="A7" s="99" t="s">
        <v>327</v>
      </c>
      <c r="B7" s="425"/>
      <c r="C7" s="425"/>
    </row>
    <row r="8" spans="1:3">
      <c r="A8" s="99" t="s">
        <v>851</v>
      </c>
      <c r="B8" s="425"/>
      <c r="C8" s="425"/>
    </row>
    <row r="9" spans="1:3">
      <c r="A9" s="99" t="s">
        <v>852</v>
      </c>
      <c r="B9" s="425"/>
      <c r="C9" s="425"/>
    </row>
    <row r="10" spans="1:3">
      <c r="A10" s="99" t="s">
        <v>854</v>
      </c>
      <c r="B10" s="425"/>
      <c r="C10" s="425"/>
    </row>
    <row r="11" spans="1:3">
      <c r="A11" s="112" t="s">
        <v>855</v>
      </c>
      <c r="B11" s="111"/>
      <c r="C11" s="111"/>
    </row>
    <row r="12" spans="1:3">
      <c r="A12" s="99" t="s">
        <v>856</v>
      </c>
      <c r="B12" s="425"/>
      <c r="C12" s="425"/>
    </row>
    <row r="13" spans="1:3">
      <c r="A13" s="99" t="s">
        <v>857</v>
      </c>
      <c r="B13" s="425"/>
      <c r="C13" s="425"/>
    </row>
    <row r="14" spans="1:3">
      <c r="A14" s="99" t="s">
        <v>859</v>
      </c>
      <c r="B14" s="425"/>
      <c r="C14" s="425"/>
    </row>
    <row r="19" spans="1:3" ht="26">
      <c r="A19" s="100" t="s">
        <v>362</v>
      </c>
      <c r="B19" s="101" t="s">
        <v>860</v>
      </c>
    </row>
    <row r="20" spans="1:3">
      <c r="A20" s="113" t="s">
        <v>848</v>
      </c>
      <c r="B20" s="114">
        <v>0.1</v>
      </c>
    </row>
    <row r="21" spans="1:3">
      <c r="A21" s="115" t="s">
        <v>849</v>
      </c>
      <c r="B21" s="114">
        <v>0.1</v>
      </c>
    </row>
    <row r="22" spans="1:3">
      <c r="A22" s="113" t="s">
        <v>850</v>
      </c>
      <c r="B22" s="114">
        <v>0.1</v>
      </c>
    </row>
    <row r="23" spans="1:3">
      <c r="A23" s="113" t="s">
        <v>337</v>
      </c>
      <c r="B23" s="116">
        <v>0.20300000000000001</v>
      </c>
    </row>
    <row r="24" spans="1:3">
      <c r="A24" s="113" t="s">
        <v>307</v>
      </c>
      <c r="B24" s="114">
        <v>0.15</v>
      </c>
    </row>
    <row r="25" spans="1:3">
      <c r="A25" s="113" t="s">
        <v>327</v>
      </c>
      <c r="B25" s="116">
        <v>0.1</v>
      </c>
    </row>
    <row r="26" spans="1:3">
      <c r="A26" s="113" t="s">
        <v>851</v>
      </c>
      <c r="B26" s="116">
        <v>0.15329600000000002</v>
      </c>
    </row>
    <row r="27" spans="1:3">
      <c r="A27" s="113" t="s">
        <v>852</v>
      </c>
      <c r="B27" s="116">
        <v>0.15</v>
      </c>
    </row>
    <row r="28" spans="1:3" s="117" customFormat="1" ht="15.5">
      <c r="A28" s="115" t="s">
        <v>854</v>
      </c>
      <c r="B28" s="114">
        <v>0.15</v>
      </c>
      <c r="C28" s="103"/>
    </row>
    <row r="29" spans="1:3" s="117" customFormat="1" ht="15.5">
      <c r="A29" s="115" t="s">
        <v>855</v>
      </c>
      <c r="B29" s="114">
        <v>0.15</v>
      </c>
      <c r="C29" s="103"/>
    </row>
    <row r="30" spans="1:3">
      <c r="A30" s="113" t="s">
        <v>856</v>
      </c>
      <c r="B30" s="116">
        <v>0.19692640000000006</v>
      </c>
    </row>
    <row r="31" spans="1:3">
      <c r="A31" s="113" t="s">
        <v>857</v>
      </c>
      <c r="B31" s="116">
        <v>0.31484640000000008</v>
      </c>
    </row>
    <row r="32" spans="1:3">
      <c r="A32" s="113" t="s">
        <v>859</v>
      </c>
      <c r="B32" s="116">
        <v>0.28999999999999998</v>
      </c>
    </row>
    <row r="34" spans="1:2" ht="13">
      <c r="A34" s="100" t="s">
        <v>362</v>
      </c>
      <c r="B34" s="101" t="s">
        <v>861</v>
      </c>
    </row>
    <row r="35" spans="1:2">
      <c r="A35" s="113" t="s">
        <v>848</v>
      </c>
      <c r="B35" s="116">
        <f>B20*1.4</f>
        <v>0.13999999999999999</v>
      </c>
    </row>
    <row r="36" spans="1:2">
      <c r="A36" s="115" t="s">
        <v>849</v>
      </c>
      <c r="B36" s="114">
        <v>0.14000000000000001</v>
      </c>
    </row>
    <row r="37" spans="1:2">
      <c r="A37" s="113" t="s">
        <v>850</v>
      </c>
      <c r="B37" s="116">
        <f>B22*1.4</f>
        <v>0.13999999999999999</v>
      </c>
    </row>
    <row r="38" spans="1:2">
      <c r="A38" s="113" t="s">
        <v>337</v>
      </c>
      <c r="B38" s="116">
        <v>0.23616000000000006</v>
      </c>
    </row>
    <row r="39" spans="1:2">
      <c r="A39" s="113" t="s">
        <v>307</v>
      </c>
      <c r="B39" s="116">
        <v>0.19188000000000002</v>
      </c>
    </row>
    <row r="40" spans="1:2">
      <c r="A40" s="113" t="s">
        <v>327</v>
      </c>
      <c r="B40" s="116">
        <v>0.23985000000000001</v>
      </c>
    </row>
    <row r="41" spans="1:2">
      <c r="A41" s="113" t="s">
        <v>851</v>
      </c>
      <c r="B41" s="116">
        <v>0.23616000000000006</v>
      </c>
    </row>
    <row r="42" spans="1:2">
      <c r="A42" s="113" t="s">
        <v>852</v>
      </c>
      <c r="B42" s="114">
        <v>0.5</v>
      </c>
    </row>
    <row r="43" spans="1:2">
      <c r="A43" s="115" t="s">
        <v>854</v>
      </c>
      <c r="B43" s="114">
        <v>0.2</v>
      </c>
    </row>
    <row r="44" spans="1:2">
      <c r="A44" s="115" t="s">
        <v>855</v>
      </c>
      <c r="B44" s="114">
        <v>0.4</v>
      </c>
    </row>
    <row r="45" spans="1:2">
      <c r="A45" s="113" t="s">
        <v>856</v>
      </c>
      <c r="B45" s="116">
        <v>0.19719360000000002</v>
      </c>
    </row>
    <row r="46" spans="1:2">
      <c r="A46" s="113" t="s">
        <v>857</v>
      </c>
      <c r="B46" s="116">
        <v>0.46936800000000001</v>
      </c>
    </row>
    <row r="47" spans="1:2">
      <c r="A47" s="113" t="s">
        <v>859</v>
      </c>
      <c r="B47" s="116">
        <v>0.40599999999999997</v>
      </c>
    </row>
    <row r="50" spans="1:2" ht="26">
      <c r="A50" s="100" t="s">
        <v>362</v>
      </c>
      <c r="B50" s="101" t="s">
        <v>862</v>
      </c>
    </row>
    <row r="51" spans="1:2">
      <c r="A51" s="113" t="s">
        <v>848</v>
      </c>
      <c r="B51" s="116">
        <v>0.89619200000000021</v>
      </c>
    </row>
    <row r="52" spans="1:2">
      <c r="A52" s="115" t="s">
        <v>849</v>
      </c>
      <c r="B52" s="114">
        <v>0.8</v>
      </c>
    </row>
    <row r="53" spans="1:2">
      <c r="A53" s="113" t="s">
        <v>850</v>
      </c>
      <c r="B53" s="116">
        <v>1.0418232000000001</v>
      </c>
    </row>
    <row r="54" spans="1:2">
      <c r="A54" s="113" t="s">
        <v>337</v>
      </c>
      <c r="B54" s="116">
        <v>0.30250000000000005</v>
      </c>
    </row>
    <row r="55" spans="1:2">
      <c r="A55" s="113" t="s">
        <v>307</v>
      </c>
      <c r="B55" s="116">
        <v>0.24200000000000005</v>
      </c>
    </row>
    <row r="56" spans="1:2">
      <c r="A56" s="113" t="s">
        <v>327</v>
      </c>
      <c r="B56" s="116">
        <v>0.31460000000000005</v>
      </c>
    </row>
    <row r="57" spans="1:2">
      <c r="A57" s="113" t="s">
        <v>851</v>
      </c>
      <c r="B57" s="116">
        <v>0.38720000000000016</v>
      </c>
    </row>
    <row r="58" spans="1:2">
      <c r="A58" s="113" t="s">
        <v>852</v>
      </c>
      <c r="B58" s="116">
        <v>0.4840000000000001</v>
      </c>
    </row>
    <row r="59" spans="1:2">
      <c r="A59" s="115" t="s">
        <v>854</v>
      </c>
      <c r="B59" s="114">
        <v>0.2</v>
      </c>
    </row>
    <row r="60" spans="1:2">
      <c r="A60" s="115" t="s">
        <v>855</v>
      </c>
      <c r="B60" s="114">
        <v>0.3</v>
      </c>
    </row>
    <row r="61" spans="1:2">
      <c r="A61" s="113" t="s">
        <v>856</v>
      </c>
      <c r="B61" s="116">
        <v>0.14520000000000002</v>
      </c>
    </row>
    <row r="62" spans="1:2">
      <c r="A62" s="113" t="s">
        <v>857</v>
      </c>
      <c r="B62" s="116">
        <v>0.3872000000000001</v>
      </c>
    </row>
    <row r="63" spans="1:2">
      <c r="A63" s="113" t="s">
        <v>859</v>
      </c>
      <c r="B63" s="116">
        <v>0.89619200000000021</v>
      </c>
    </row>
    <row r="65" spans="1:2" ht="26">
      <c r="A65" s="100" t="s">
        <v>362</v>
      </c>
      <c r="B65" s="101" t="s">
        <v>863</v>
      </c>
    </row>
    <row r="66" spans="1:2">
      <c r="A66" s="113" t="s">
        <v>848</v>
      </c>
      <c r="B66" s="116">
        <v>0.89740800000000009</v>
      </c>
    </row>
    <row r="67" spans="1:2">
      <c r="A67" s="115" t="s">
        <v>849</v>
      </c>
      <c r="B67" s="114">
        <v>0.8</v>
      </c>
    </row>
    <row r="68" spans="1:2">
      <c r="A68" s="113" t="s">
        <v>850</v>
      </c>
      <c r="B68" s="116">
        <v>1.5827760000000002</v>
      </c>
    </row>
    <row r="69" spans="1:2">
      <c r="A69" s="113" t="s">
        <v>337</v>
      </c>
      <c r="B69" s="116">
        <v>0.63</v>
      </c>
    </row>
    <row r="70" spans="1:2">
      <c r="A70" s="113" t="s">
        <v>307</v>
      </c>
      <c r="B70" s="116">
        <v>0.378</v>
      </c>
    </row>
    <row r="71" spans="1:2">
      <c r="A71" s="113" t="s">
        <v>327</v>
      </c>
      <c r="B71" s="116">
        <v>0.47250000000000003</v>
      </c>
    </row>
    <row r="72" spans="1:2">
      <c r="A72" s="113" t="s">
        <v>851</v>
      </c>
      <c r="B72" s="116">
        <v>0.40319999999999995</v>
      </c>
    </row>
    <row r="73" spans="1:2">
      <c r="A73" s="113" t="s">
        <v>852</v>
      </c>
      <c r="B73" s="116">
        <v>0.63</v>
      </c>
    </row>
    <row r="74" spans="1:2">
      <c r="A74" s="115" t="s">
        <v>854</v>
      </c>
      <c r="B74" s="114">
        <v>0.47250000000000003</v>
      </c>
    </row>
    <row r="75" spans="1:2">
      <c r="A75" s="115" t="s">
        <v>855</v>
      </c>
      <c r="B75" s="114">
        <v>0.5</v>
      </c>
    </row>
    <row r="76" spans="1:2">
      <c r="A76" s="113" t="s">
        <v>856</v>
      </c>
      <c r="B76" s="116">
        <v>0.1512</v>
      </c>
    </row>
    <row r="77" spans="1:2">
      <c r="A77" s="113" t="s">
        <v>857</v>
      </c>
      <c r="B77" s="116">
        <v>0.4536</v>
      </c>
    </row>
    <row r="78" spans="1:2">
      <c r="A78" s="113" t="s">
        <v>859</v>
      </c>
      <c r="B78" s="116">
        <v>0.89740800000000009</v>
      </c>
    </row>
  </sheetData>
  <mergeCells count="12">
    <mergeCell ref="B14:C14"/>
    <mergeCell ref="B1:C1"/>
    <mergeCell ref="B2:C2"/>
    <mergeCell ref="B4:C4"/>
    <mergeCell ref="B5:C5"/>
    <mergeCell ref="B6:C6"/>
    <mergeCell ref="B7:C7"/>
    <mergeCell ref="B8:C8"/>
    <mergeCell ref="B9:C9"/>
    <mergeCell ref="B10:C10"/>
    <mergeCell ref="B12:C12"/>
    <mergeCell ref="B13:C13"/>
  </mergeCells>
  <pageMargins left="0.7" right="0.7" top="0.75" bottom="0.75" header="0.3" footer="0.3"/>
  <pageSetup paperSize="9" scale="8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21</vt:i4>
      </vt:variant>
    </vt:vector>
  </HeadingPairs>
  <TitlesOfParts>
    <vt:vector size="39" baseType="lpstr">
      <vt:lpstr>Trang bia</vt:lpstr>
      <vt:lpstr>Bang ghi nhan thay doi</vt:lpstr>
      <vt:lpstr>Tong hop</vt:lpstr>
      <vt:lpstr>Sheet2</vt:lpstr>
      <vt:lpstr>NL Chuc nang</vt:lpstr>
      <vt:lpstr>NL Phi chuc nang</vt:lpstr>
      <vt:lpstr>BM_Kiem thu hieu nang</vt:lpstr>
      <vt:lpstr>HDKTHN</vt:lpstr>
      <vt:lpstr>Định nghĩa Loại Chức năng</vt:lpstr>
      <vt:lpstr>Định nghĩa loại công việc</vt:lpstr>
      <vt:lpstr>CSDL_CN</vt:lpstr>
      <vt:lpstr>CSDL Phi CN</vt:lpstr>
      <vt:lpstr>Ty le phan bo nguon luc du an</vt:lpstr>
      <vt:lpstr>HD ULNL </vt:lpstr>
      <vt:lpstr>HD Tái sử dụng PM</vt:lpstr>
      <vt:lpstr>CSDL CN</vt:lpstr>
      <vt:lpstr>Tham chiếu list</vt:lpstr>
      <vt:lpstr>Tham chiếu list2</vt:lpstr>
      <vt:lpstr>'Tham chiếu list2'!Chuc_nang</vt:lpstr>
      <vt:lpstr>Chuc_nang</vt:lpstr>
      <vt:lpstr>'Tham chiếu list2'!Chức_năng</vt:lpstr>
      <vt:lpstr>Chức_năng</vt:lpstr>
      <vt:lpstr>'Tham chiếu list'!Chuc_nang_moi</vt:lpstr>
      <vt:lpstr>'Tham chiếu list2'!Chuc_nang_moi</vt:lpstr>
      <vt:lpstr>Chuc_nang_moi</vt:lpstr>
      <vt:lpstr>'Tham chiếu list2'!Do_phuc_tap</vt:lpstr>
      <vt:lpstr>Do_phuc_tap</vt:lpstr>
      <vt:lpstr>Loai_CN2</vt:lpstr>
      <vt:lpstr>'Bang ghi nhan thay doi'!Print_Area</vt:lpstr>
      <vt:lpstr>'CSDL Phi CN'!Print_Area</vt:lpstr>
      <vt:lpstr>CSDL_CN!Print_Area</vt:lpstr>
      <vt:lpstr>'Định nghĩa Loại Chức năng'!Print_Area</vt:lpstr>
      <vt:lpstr>'NL Phi chuc nang'!Print_Area</vt:lpstr>
      <vt:lpstr>'Tong hop'!Print_Area</vt:lpstr>
      <vt:lpstr>'Trang bia'!Print_Area</vt:lpstr>
      <vt:lpstr>'CSDL Phi CN'!Print_Titles</vt:lpstr>
      <vt:lpstr>CSDL_CN!Print_Titles</vt:lpstr>
      <vt:lpstr>'NL Chuc nang'!Print_Titles</vt:lpstr>
      <vt:lpstr>'NL Phi chuc nang'!Print_Titles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Ngoc Lan - Trung Tam phan mem</dc:creator>
  <cp:keywords/>
  <dc:description/>
  <cp:lastModifiedBy>Nguyễn Hoàng Trung</cp:lastModifiedBy>
  <cp:revision/>
  <dcterms:created xsi:type="dcterms:W3CDTF">2008-12-01T04:35:49Z</dcterms:created>
  <dcterms:modified xsi:type="dcterms:W3CDTF">2025-10-06T02:25:56Z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