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Ex1.xml" ContentType="application/vnd.ms-office.chartex+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1.xml" ContentType="application/vnd.openxmlformats-officedocument.themeOverride+xml"/>
  <Override PartName="/xl/charts/chart31.xml" ContentType="application/vnd.openxmlformats-officedocument.drawingml.chart+xml"/>
  <Override PartName="/xl/charts/style33.xml" ContentType="application/vnd.ms-office.chartstyle+xml"/>
  <Override PartName="/xl/charts/colors33.xml" ContentType="application/vnd.ms-office.chartcolorstyle+xml"/>
  <Override PartName="/xl/charts/chart32.xml" ContentType="application/vnd.openxmlformats-officedocument.drawingml.chart+xml"/>
  <Override PartName="/xl/charts/style34.xml" ContentType="application/vnd.ms-office.chartstyle+xml"/>
  <Override PartName="/xl/charts/colors34.xml" ContentType="application/vnd.ms-office.chartcolorstyle+xml"/>
  <Override PartName="/xl/charts/chart33.xml" ContentType="application/vnd.openxmlformats-officedocument.drawingml.chart+xml"/>
  <Override PartName="/xl/charts/style35.xml" ContentType="application/vnd.ms-office.chartstyle+xml"/>
  <Override PartName="/xl/charts/colors35.xml" ContentType="application/vnd.ms-office.chartcolorstyle+xml"/>
  <Override PartName="/xl/charts/chart34.xml" ContentType="application/vnd.openxmlformats-officedocument.drawingml.chart+xml"/>
  <Override PartName="/xl/charts/style36.xml" ContentType="application/vnd.ms-office.chartstyle+xml"/>
  <Override PartName="/xl/charts/colors36.xml" ContentType="application/vnd.ms-office.chartcolorstyle+xml"/>
  <Override PartName="/xl/charts/chart35.xml" ContentType="application/vnd.openxmlformats-officedocument.drawingml.chart+xml"/>
  <Override PartName="/xl/charts/style37.xml" ContentType="application/vnd.ms-office.chartstyle+xml"/>
  <Override PartName="/xl/charts/colors37.xml" ContentType="application/vnd.ms-office.chartcolorstyle+xml"/>
  <Override PartName="/xl/charts/chart36.xml" ContentType="application/vnd.openxmlformats-officedocument.drawingml.chart+xml"/>
  <Override PartName="/xl/charts/style38.xml" ContentType="application/vnd.ms-office.chartstyle+xml"/>
  <Override PartName="/xl/charts/colors38.xml" ContentType="application/vnd.ms-office.chartcolorstyle+xml"/>
  <Override PartName="/xl/charts/chart37.xml" ContentType="application/vnd.openxmlformats-officedocument.drawingml.chart+xml"/>
  <Override PartName="/xl/charts/style39.xml" ContentType="application/vnd.ms-office.chartstyle+xml"/>
  <Override PartName="/xl/charts/colors39.xml" ContentType="application/vnd.ms-office.chartcolorstyle+xml"/>
  <Override PartName="/xl/charts/chart38.xml" ContentType="application/vnd.openxmlformats-officedocument.drawingml.chart+xml"/>
  <Override PartName="/xl/charts/style40.xml" ContentType="application/vnd.ms-office.chartstyle+xml"/>
  <Override PartName="/xl/charts/colors40.xml" ContentType="application/vnd.ms-office.chartcolorstyle+xml"/>
  <Override PartName="/xl/charts/chart39.xml" ContentType="application/vnd.openxmlformats-officedocument.drawingml.chart+xml"/>
  <Override PartName="/xl/charts/style41.xml" ContentType="application/vnd.ms-office.chartstyle+xml"/>
  <Override PartName="/xl/charts/colors41.xml" ContentType="application/vnd.ms-office.chartcolorstyle+xml"/>
  <Override PartName="/xl/charts/chart40.xml" ContentType="application/vnd.openxmlformats-officedocument.drawingml.chart+xml"/>
  <Override PartName="/xl/charts/style42.xml" ContentType="application/vnd.ms-office.chartstyle+xml"/>
  <Override PartName="/xl/charts/colors42.xml" ContentType="application/vnd.ms-office.chartcolorstyle+xml"/>
  <Override PartName="/xl/charts/chart41.xml" ContentType="application/vnd.openxmlformats-officedocument.drawingml.chart+xml"/>
  <Override PartName="/xl/charts/style43.xml" ContentType="application/vnd.ms-office.chartstyle+xml"/>
  <Override PartName="/xl/charts/colors43.xml" ContentType="application/vnd.ms-office.chartcolorstyle+xml"/>
  <Override PartName="/xl/charts/chart42.xml" ContentType="application/vnd.openxmlformats-officedocument.drawingml.chart+xml"/>
  <Override PartName="/xl/charts/style44.xml" ContentType="application/vnd.ms-office.chartstyle+xml"/>
  <Override PartName="/xl/charts/colors44.xml" ContentType="application/vnd.ms-office.chartcolorstyle+xml"/>
  <Override PartName="/xl/charts/chartEx3.xml" ContentType="application/vnd.ms-office.chartex+xml"/>
  <Override PartName="/xl/charts/style45.xml" ContentType="application/vnd.ms-office.chartstyle+xml"/>
  <Override PartName="/xl/charts/colors45.xml" ContentType="application/vnd.ms-office.chartcolorstyle+xml"/>
  <Override PartName="/xl/charts/chart43.xml" ContentType="application/vnd.openxmlformats-officedocument.drawingml.chart+xml"/>
  <Override PartName="/xl/charts/style46.xml" ContentType="application/vnd.ms-office.chartstyle+xml"/>
  <Override PartName="/xl/charts/colors46.xml" ContentType="application/vnd.ms-office.chartcolorstyle+xml"/>
  <Override PartName="/xl/charts/chart44.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45.xml" ContentType="application/vnd.openxmlformats-officedocument.drawingml.chart+xml"/>
  <Override PartName="/xl/charts/style48.xml" ContentType="application/vnd.ms-office.chartstyle+xml"/>
  <Override PartName="/xl/charts/colors48.xml" ContentType="application/vnd.ms-office.chartcolorstyle+xml"/>
  <Override PartName="/xl/charts/chart46.xml" ContentType="application/vnd.openxmlformats-officedocument.drawingml.chart+xml"/>
  <Override PartName="/xl/charts/style49.xml" ContentType="application/vnd.ms-office.chartstyle+xml"/>
  <Override PartName="/xl/charts/colors49.xml" ContentType="application/vnd.ms-office.chartcolorstyle+xml"/>
  <Override PartName="/xl/charts/chart47.xml" ContentType="application/vnd.openxmlformats-officedocument.drawingml.chart+xml"/>
  <Override PartName="/xl/charts/style50.xml" ContentType="application/vnd.ms-office.chartstyle+xml"/>
  <Override PartName="/xl/charts/colors50.xml" ContentType="application/vnd.ms-office.chartcolorstyle+xml"/>
  <Override PartName="/xl/charts/chart48.xml" ContentType="application/vnd.openxmlformats-officedocument.drawingml.chart+xml"/>
  <Override PartName="/xl/charts/style51.xml" ContentType="application/vnd.ms-office.chartstyle+xml"/>
  <Override PartName="/xl/charts/colors51.xml" ContentType="application/vnd.ms-office.chartcolorstyle+xml"/>
  <Override PartName="/xl/charts/chart49.xml" ContentType="application/vnd.openxmlformats-officedocument.drawingml.chart+xml"/>
  <Override PartName="/xl/charts/style52.xml" ContentType="application/vnd.ms-office.chartstyle+xml"/>
  <Override PartName="/xl/charts/colors52.xml" ContentType="application/vnd.ms-office.chartcolorstyle+xml"/>
  <Override PartName="/xl/charts/chart50.xml" ContentType="application/vnd.openxmlformats-officedocument.drawingml.chart+xml"/>
  <Override PartName="/xl/charts/style53.xml" ContentType="application/vnd.ms-office.chartstyle+xml"/>
  <Override PartName="/xl/charts/colors53.xml" ContentType="application/vnd.ms-office.chartcolorstyle+xml"/>
  <Override PartName="/xl/charts/chart51.xml" ContentType="application/vnd.openxmlformats-officedocument.drawingml.chart+xml"/>
  <Override PartName="/xl/charts/style54.xml" ContentType="application/vnd.ms-office.chartstyle+xml"/>
  <Override PartName="/xl/charts/colors54.xml" ContentType="application/vnd.ms-office.chartcolorstyle+xml"/>
  <Override PartName="/xl/charts/chart52.xml" ContentType="application/vnd.openxmlformats-officedocument.drawingml.chart+xml"/>
  <Override PartName="/xl/charts/style55.xml" ContentType="application/vnd.ms-office.chartstyle+xml"/>
  <Override PartName="/xl/charts/colors55.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53.xml" ContentType="application/vnd.openxmlformats-officedocument.drawingml.chart+xml"/>
  <Override PartName="/xl/charts/style56.xml" ContentType="application/vnd.ms-office.chartstyle+xml"/>
  <Override PartName="/xl/charts/colors56.xml" ContentType="application/vnd.ms-office.chartcolorstyle+xml"/>
  <Override PartName="/xl/charts/chart54.xml" ContentType="application/vnd.openxmlformats-officedocument.drawingml.chart+xml"/>
  <Override PartName="/xl/charts/style57.xml" ContentType="application/vnd.ms-office.chartstyle+xml"/>
  <Override PartName="/xl/charts/colors57.xml" ContentType="application/vnd.ms-office.chartcolorstyle+xml"/>
  <Override PartName="/xl/charts/chart55.xml" ContentType="application/vnd.openxmlformats-officedocument.drawingml.chart+xml"/>
  <Override PartName="/xl/charts/style58.xml" ContentType="application/vnd.ms-office.chartstyle+xml"/>
  <Override PartName="/xl/charts/colors58.xml" ContentType="application/vnd.ms-office.chartcolorstyle+xml"/>
  <Override PartName="/xl/charts/chart56.xml" ContentType="application/vnd.openxmlformats-officedocument.drawingml.chart+xml"/>
  <Override PartName="/xl/charts/style59.xml" ContentType="application/vnd.ms-office.chartstyle+xml"/>
  <Override PartName="/xl/charts/colors59.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57.xml" ContentType="application/vnd.openxmlformats-officedocument.drawingml.chart+xml"/>
  <Override PartName="/xl/charts/style60.xml" ContentType="application/vnd.ms-office.chartstyle+xml"/>
  <Override PartName="/xl/charts/colors60.xml" ContentType="application/vnd.ms-office.chartcolorstyle+xml"/>
  <Override PartName="/xl/charts/chart58.xml" ContentType="application/vnd.openxmlformats-officedocument.drawingml.chart+xml"/>
  <Override PartName="/xl/charts/style61.xml" ContentType="application/vnd.ms-office.chartstyle+xml"/>
  <Override PartName="/xl/charts/colors61.xml" ContentType="application/vnd.ms-office.chartcolorstyle+xml"/>
  <Override PartName="/xl/charts/chart59.xml" ContentType="application/vnd.openxmlformats-officedocument.drawingml.chart+xml"/>
  <Override PartName="/xl/charts/style62.xml" ContentType="application/vnd.ms-office.chartstyle+xml"/>
  <Override PartName="/xl/charts/colors62.xml" ContentType="application/vnd.ms-office.chartcolorstyle+xml"/>
  <Override PartName="/xl/charts/chart60.xml" ContentType="application/vnd.openxmlformats-officedocument.drawingml.chart+xml"/>
  <Override PartName="/xl/charts/style63.xml" ContentType="application/vnd.ms-office.chartstyle+xml"/>
  <Override PartName="/xl/charts/colors63.xml" ContentType="application/vnd.ms-office.chartcolorstyle+xml"/>
  <Override PartName="/xl/charts/chart61.xml" ContentType="application/vnd.openxmlformats-officedocument.drawingml.chart+xml"/>
  <Override PartName="/xl/charts/style64.xml" ContentType="application/vnd.ms-office.chartstyle+xml"/>
  <Override PartName="/xl/charts/colors64.xml" ContentType="application/vnd.ms-office.chartcolorstyle+xml"/>
  <Override PartName="/xl/charts/chart62.xml" ContentType="application/vnd.openxmlformats-officedocument.drawingml.chart+xml"/>
  <Override PartName="/xl/charts/style65.xml" ContentType="application/vnd.ms-office.chartstyle+xml"/>
  <Override PartName="/xl/charts/colors65.xml" ContentType="application/vnd.ms-office.chartcolorstyle+xml"/>
  <Override PartName="/xl/charts/chart63.xml" ContentType="application/vnd.openxmlformats-officedocument.drawingml.chart+xml"/>
  <Override PartName="/xl/charts/style66.xml" ContentType="application/vnd.ms-office.chartstyle+xml"/>
  <Override PartName="/xl/charts/colors66.xml" ContentType="application/vnd.ms-office.chartcolorstyle+xml"/>
  <Override PartName="/xl/charts/chart64.xml" ContentType="application/vnd.openxmlformats-officedocument.drawingml.chart+xml"/>
  <Override PartName="/xl/charts/style67.xml" ContentType="application/vnd.ms-office.chartstyle+xml"/>
  <Override PartName="/xl/charts/colors67.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65.xml" ContentType="application/vnd.openxmlformats-officedocument.drawingml.chart+xml"/>
  <Override PartName="/xl/charts/style68.xml" ContentType="application/vnd.ms-office.chartstyle+xml"/>
  <Override PartName="/xl/charts/colors68.xml" ContentType="application/vnd.ms-office.chartcolorstyle+xml"/>
  <Override PartName="/xl/charts/chart66.xml" ContentType="application/vnd.openxmlformats-officedocument.drawingml.chart+xml"/>
  <Override PartName="/xl/charts/style69.xml" ContentType="application/vnd.ms-office.chartstyle+xml"/>
  <Override PartName="/xl/charts/colors69.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67.xml" ContentType="application/vnd.openxmlformats-officedocument.drawingml.chart+xml"/>
  <Override PartName="/xl/charts/style70.xml" ContentType="application/vnd.ms-office.chartstyle+xml"/>
  <Override PartName="/xl/charts/colors70.xml" ContentType="application/vnd.ms-office.chartcolorstyle+xml"/>
  <Override PartName="/xl/charts/chart68.xml" ContentType="application/vnd.openxmlformats-officedocument.drawingml.chart+xml"/>
  <Override PartName="/xl/charts/style71.xml" ContentType="application/vnd.ms-office.chartstyle+xml"/>
  <Override PartName="/xl/charts/colors71.xml" ContentType="application/vnd.ms-office.chartcolorstyle+xml"/>
  <Override PartName="/xl/charts/chart69.xml" ContentType="application/vnd.openxmlformats-officedocument.drawingml.chart+xml"/>
  <Override PartName="/xl/charts/style72.xml" ContentType="application/vnd.ms-office.chartstyle+xml"/>
  <Override PartName="/xl/charts/colors72.xml" ContentType="application/vnd.ms-office.chartcolorstyle+xml"/>
  <Override PartName="/xl/charts/chart70.xml" ContentType="application/vnd.openxmlformats-officedocument.drawingml.chart+xml"/>
  <Override PartName="/xl/charts/style73.xml" ContentType="application/vnd.ms-office.chartstyle+xml"/>
  <Override PartName="/xl/charts/colors73.xml" ContentType="application/vnd.ms-office.chartcolorstyle+xml"/>
  <Override PartName="/xl/charts/chart71.xml" ContentType="application/vnd.openxmlformats-officedocument.drawingml.chart+xml"/>
  <Override PartName="/xl/charts/style74.xml" ContentType="application/vnd.ms-office.chartstyle+xml"/>
  <Override PartName="/xl/charts/colors74.xml" ContentType="application/vnd.ms-office.chartcolorstyle+xml"/>
  <Override PartName="/xl/charts/chart72.xml" ContentType="application/vnd.openxmlformats-officedocument.drawingml.chart+xml"/>
  <Override PartName="/xl/charts/style75.xml" ContentType="application/vnd.ms-office.chartstyle+xml"/>
  <Override PartName="/xl/charts/colors75.xml" ContentType="application/vnd.ms-office.chartcolorstyle+xml"/>
  <Override PartName="/xl/charts/chart73.xml" ContentType="application/vnd.openxmlformats-officedocument.drawingml.chart+xml"/>
  <Override PartName="/xl/charts/style76.xml" ContentType="application/vnd.ms-office.chartstyle+xml"/>
  <Override PartName="/xl/charts/colors76.xml" ContentType="application/vnd.ms-office.chartcolorstyle+xml"/>
  <Override PartName="/xl/charts/chart74.xml" ContentType="application/vnd.openxmlformats-officedocument.drawingml.chart+xml"/>
  <Override PartName="/xl/charts/style77.xml" ContentType="application/vnd.ms-office.chartstyle+xml"/>
  <Override PartName="/xl/charts/colors77.xml" ContentType="application/vnd.ms-office.chartcolorstyle+xml"/>
  <Override PartName="/xl/charts/chart75.xml" ContentType="application/vnd.openxmlformats-officedocument.drawingml.chart+xml"/>
  <Override PartName="/xl/charts/style78.xml" ContentType="application/vnd.ms-office.chartstyle+xml"/>
  <Override PartName="/xl/charts/colors78.xml" ContentType="application/vnd.ms-office.chartcolorstyle+xml"/>
  <Override PartName="/xl/charts/chart76.xml" ContentType="application/vnd.openxmlformats-officedocument.drawingml.chart+xml"/>
  <Override PartName="/xl/charts/style79.xml" ContentType="application/vnd.ms-office.chartstyle+xml"/>
  <Override PartName="/xl/charts/colors79.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77.xml" ContentType="application/vnd.openxmlformats-officedocument.drawingml.chart+xml"/>
  <Override PartName="/xl/charts/style80.xml" ContentType="application/vnd.ms-office.chartstyle+xml"/>
  <Override PartName="/xl/charts/colors80.xml" ContentType="application/vnd.ms-office.chartcolorstyle+xml"/>
  <Override PartName="/xl/pivotTables/pivotTable6.xml" ContentType="application/vnd.openxmlformats-officedocument.spreadsheetml.pivot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mc:AlternateContent xmlns:mc="http://schemas.openxmlformats.org/markup-compatibility/2006">
    <mc:Choice Requires="x15">
      <x15ac:absPath xmlns:x15ac="http://schemas.microsoft.com/office/spreadsheetml/2010/11/ac" url="https://faropointinvestments1067703.sharepoint.com/sites/Investments-Investments-CorporateAssetManagement/Shared Documents/Corporate Asset Management/Asset Management/AM IM/Q4 2024/"/>
    </mc:Choice>
  </mc:AlternateContent>
  <xr:revisionPtr revIDLastSave="0" documentId="8_{61D84B15-69D4-46AE-A22E-4A2369837777}" xr6:coauthVersionLast="47" xr6:coauthVersionMax="47" xr10:uidLastSave="{00000000-0000-0000-0000-000000000000}"/>
  <bookViews>
    <workbookView minimized="1" xWindow="3300" yWindow="2328" windowWidth="13824" windowHeight="7248" firstSheet="3" activeTab="3" xr2:uid="{00000000-000D-0000-FFFF-FFFF00000000}"/>
  </bookViews>
  <sheets>
    <sheet name="IR Charts" sheetId="180" r:id="rId1"/>
    <sheet name="Presentation View" sheetId="165" r:id="rId2"/>
    <sheet name="DT Distribution" sheetId="179" r:id="rId3"/>
    <sheet name="DATA consolidated-leasing" sheetId="1" r:id="rId4"/>
    <sheet name="2024 Leasing_Deal Manager" sheetId="177" state="hidden" r:id="rId5"/>
    <sheet name="Funds Comparison over Time" sheetId="154" r:id="rId6"/>
    <sheet name="Pivot Table - by Market" sheetId="144" r:id="rId7"/>
    <sheet name="Pivot Table - by Quarter" sheetId="149" r:id="rId8"/>
    <sheet name="FM NOI" sheetId="150" state="hidden" r:id="rId9"/>
    <sheet name="Definitions" sheetId="130" r:id="rId10"/>
    <sheet name="Pivot Table - by Quarter &amp; size" sheetId="164" state="hidden" r:id="rId11"/>
    <sheet name="Leasing Activity - Mkt Breakdwn" sheetId="128" state="hidden" r:id="rId12"/>
    <sheet name="AI Rates" sheetId="151" state="hidden" r:id="rId13"/>
    <sheet name="Wtd Avg Rent by Size Range" sheetId="14" state="hidden" r:id="rId14"/>
    <sheet name="Fund X Construction Analysis" sheetId="43" state="hidden" r:id="rId15"/>
    <sheet name="Capex Items" sheetId="44" state="hidden" r:id="rId16"/>
    <sheet name="Fund X Construction Analysi (2)" sheetId="75" state="hidden" r:id="rId17"/>
    <sheet name="Capex Items original" sheetId="77" state="hidden" r:id="rId18"/>
    <sheet name="Capex Items exc. below $10000" sheetId="76" state="hidden" r:id="rId19"/>
  </sheets>
  <externalReferences>
    <externalReference r:id="rId20"/>
    <externalReference r:id="rId21"/>
    <externalReference r:id="rId22"/>
    <externalReference r:id="rId23"/>
    <externalReference r:id="rId24"/>
    <externalReference r:id="rId25"/>
  </externalReferences>
  <definedNames>
    <definedName name="_xlnm._FilterDatabase" localSheetId="4" hidden="1">'2024 Leasing_Deal Manager'!$A$3:$AJ$29</definedName>
    <definedName name="_xlnm._FilterDatabase" localSheetId="12" hidden="1">'AI Rates'!$A$3:$V$113</definedName>
    <definedName name="_xlnm._FilterDatabase" localSheetId="3" hidden="1">'DATA consolidated-leasing'!$A$4:$BN$221</definedName>
    <definedName name="_xlnm._FilterDatabase" localSheetId="2" hidden="1">'DT Distribution'!$A$1:$E$113</definedName>
    <definedName name="_xlnm._FilterDatabase" localSheetId="0" hidden="1">'IR Charts'!$B$27:$E$38</definedName>
    <definedName name="_xlnm._FilterDatabase" localSheetId="6" hidden="1">'Pivot Table - by Market'!$G$54:$H$54</definedName>
    <definedName name="_xlnm._FilterDatabase" localSheetId="1" hidden="1">'Presentation View'!$A$43:$K$61</definedName>
    <definedName name="_xlchart.v1.0" hidden="1">'DT Distribution'!$A$2:$A$113</definedName>
    <definedName name="_xlchart.v1.1" hidden="1">'DT Distribution'!$D$118:$D$142</definedName>
    <definedName name="_xlchart.v1.2" hidden="1">'DATA consolidated-leasing'!$I$5:$I$220</definedName>
  </definedNames>
  <calcPr calcId="191028" iterate="1"/>
  <pivotCaches>
    <pivotCache cacheId="617" r:id="rId26"/>
    <pivotCache cacheId="618" r:id="rId2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14" i="1" l="1"/>
  <c r="F141" i="179" l="1"/>
  <c r="F140" i="179"/>
  <c r="F139" i="179"/>
  <c r="E3" i="179"/>
  <c r="E4" i="179"/>
  <c r="E5" i="179"/>
  <c r="E6" i="179"/>
  <c r="E7" i="179"/>
  <c r="E8" i="179"/>
  <c r="E9" i="179"/>
  <c r="G18" i="180"/>
  <c r="F18" i="180"/>
  <c r="D18" i="180"/>
  <c r="C18" i="180"/>
  <c r="Z256" i="1"/>
  <c r="Y61" i="1"/>
  <c r="Y59" i="1"/>
  <c r="Y56" i="1"/>
  <c r="Y99" i="1"/>
  <c r="Y166" i="1"/>
  <c r="Y207" i="1"/>
  <c r="Y55" i="1"/>
  <c r="Y53" i="1"/>
  <c r="Y51" i="1"/>
  <c r="Y194" i="1"/>
  <c r="Y193" i="1"/>
  <c r="Y120" i="1"/>
  <c r="Y49" i="1"/>
  <c r="Y148" i="1"/>
  <c r="Y149" i="1"/>
  <c r="Y47" i="1"/>
  <c r="Y184" i="1"/>
  <c r="Y183" i="1"/>
  <c r="Y188" i="1"/>
  <c r="Y180" i="1"/>
  <c r="Y117" i="1"/>
  <c r="Y164" i="1"/>
  <c r="Y186" i="1"/>
  <c r="Y75" i="1"/>
  <c r="Y197" i="1"/>
  <c r="Y168" i="1"/>
  <c r="Y172" i="1"/>
  <c r="Y74" i="1"/>
  <c r="Y163" i="1"/>
  <c r="Y161" i="1"/>
  <c r="Y96" i="1"/>
  <c r="Y159" i="1"/>
  <c r="Y158" i="1"/>
  <c r="Y155" i="1"/>
  <c r="Y116" i="1"/>
  <c r="Y146" i="1"/>
  <c r="Y115" i="1"/>
  <c r="Y181" i="1"/>
  <c r="Y179" i="1"/>
  <c r="Y145" i="1"/>
  <c r="Y40" i="1"/>
  <c r="Y38" i="1"/>
  <c r="Y36" i="1"/>
  <c r="Y94" i="1"/>
  <c r="Y31" i="1"/>
  <c r="Y156" i="1"/>
  <c r="Y79" i="1"/>
  <c r="Y28" i="1"/>
  <c r="Y134" i="1"/>
  <c r="Y22" i="1"/>
  <c r="Y78" i="1"/>
  <c r="Y175" i="1"/>
  <c r="Y106" i="1"/>
  <c r="Y105" i="1"/>
  <c r="Y104" i="1"/>
  <c r="Y103" i="1"/>
  <c r="Y97" i="1"/>
  <c r="Y95" i="1"/>
  <c r="Y21" i="1"/>
  <c r="Y141" i="1"/>
  <c r="Y84" i="1"/>
  <c r="Y139" i="1"/>
  <c r="Y150" i="1"/>
  <c r="Y72" i="1"/>
  <c r="Y201" i="1"/>
  <c r="Y20" i="1"/>
  <c r="Y50" i="1"/>
  <c r="Y82" i="1"/>
  <c r="Y102" i="1"/>
  <c r="Y13" i="1"/>
  <c r="Y210" i="1"/>
  <c r="Y5" i="1"/>
  <c r="Y173" i="1"/>
  <c r="B92" i="144" l="1"/>
  <c r="C92" i="144"/>
  <c r="D92" i="144"/>
  <c r="E92" i="144"/>
  <c r="F92" i="144"/>
  <c r="G92" i="144"/>
  <c r="BN8" i="1" l="1"/>
  <c r="BM8" i="1"/>
  <c r="BL8" i="1"/>
  <c r="BK8" i="1"/>
  <c r="BI8" i="1"/>
  <c r="BJ8" i="1" s="1"/>
  <c r="BG8" i="1"/>
  <c r="BE8" i="1"/>
  <c r="BD8" i="1"/>
  <c r="BC8" i="1"/>
  <c r="BB8" i="1"/>
  <c r="BA8" i="1"/>
  <c r="AY8" i="1"/>
  <c r="AX8" i="1"/>
  <c r="AV8" i="1"/>
  <c r="AZ8" i="1" s="1"/>
  <c r="AU8" i="1"/>
  <c r="AT8" i="1"/>
  <c r="AS8" i="1"/>
  <c r="AR8" i="1"/>
  <c r="BF8" i="1" s="1"/>
  <c r="BN7" i="1"/>
  <c r="BM7" i="1"/>
  <c r="BL7" i="1"/>
  <c r="BK7" i="1"/>
  <c r="BI7" i="1"/>
  <c r="BJ7" i="1" s="1"/>
  <c r="BG7" i="1"/>
  <c r="BE7" i="1"/>
  <c r="BD7" i="1"/>
  <c r="BC7" i="1"/>
  <c r="BB7" i="1"/>
  <c r="BA7" i="1"/>
  <c r="AY7" i="1"/>
  <c r="AX7" i="1"/>
  <c r="AV7" i="1"/>
  <c r="AW7" i="1" s="1"/>
  <c r="AU7" i="1"/>
  <c r="AT7" i="1"/>
  <c r="AS7" i="1"/>
  <c r="AR7" i="1"/>
  <c r="BF7" i="1" l="1"/>
  <c r="AW8" i="1"/>
  <c r="BH8" i="1"/>
  <c r="AZ7" i="1"/>
  <c r="BH7" i="1"/>
  <c r="BN5" i="1" l="1"/>
  <c r="BM5" i="1"/>
  <c r="BL5" i="1"/>
  <c r="BK5" i="1"/>
  <c r="BI5" i="1"/>
  <c r="BJ5" i="1" s="1"/>
  <c r="BG5" i="1"/>
  <c r="BE5" i="1"/>
  <c r="BD5" i="1"/>
  <c r="BC5" i="1"/>
  <c r="BB5" i="1"/>
  <c r="BA5" i="1"/>
  <c r="AY5" i="1"/>
  <c r="AX5" i="1"/>
  <c r="AV5" i="1"/>
  <c r="AZ5" i="1" s="1"/>
  <c r="AU5" i="1"/>
  <c r="AT5" i="1"/>
  <c r="AS5" i="1"/>
  <c r="AR5" i="1"/>
  <c r="K9" i="1"/>
  <c r="M9" i="1" s="1"/>
  <c r="K204" i="1"/>
  <c r="M204" i="1" s="1"/>
  <c r="K210" i="1"/>
  <c r="M210" i="1" s="1"/>
  <c r="K12" i="1"/>
  <c r="M12" i="1" s="1"/>
  <c r="K13" i="1"/>
  <c r="M13" i="1" s="1"/>
  <c r="K14" i="1"/>
  <c r="M14" i="1" s="1"/>
  <c r="K15" i="1"/>
  <c r="M15" i="1" s="1"/>
  <c r="K16" i="1"/>
  <c r="M16" i="1" s="1"/>
  <c r="AC8" i="1"/>
  <c r="AC7" i="1"/>
  <c r="AC5" i="1"/>
  <c r="K5" i="1"/>
  <c r="M5" i="1" s="1"/>
  <c r="K7" i="1"/>
  <c r="M7" i="1" s="1"/>
  <c r="K8" i="1"/>
  <c r="M8" i="1" s="1"/>
  <c r="BN16" i="1"/>
  <c r="BM16" i="1"/>
  <c r="BL16" i="1"/>
  <c r="BK16" i="1"/>
  <c r="BI16" i="1"/>
  <c r="BJ16" i="1" s="1"/>
  <c r="BG16" i="1"/>
  <c r="BE16" i="1"/>
  <c r="BD16" i="1"/>
  <c r="BC16" i="1"/>
  <c r="BB16" i="1"/>
  <c r="BA16" i="1"/>
  <c r="AY16" i="1"/>
  <c r="AX16" i="1"/>
  <c r="AV16" i="1"/>
  <c r="AW16" i="1" s="1"/>
  <c r="AU16" i="1"/>
  <c r="AT16" i="1"/>
  <c r="AS16" i="1"/>
  <c r="AR16" i="1"/>
  <c r="BF16" i="1" s="1"/>
  <c r="BN15" i="1"/>
  <c r="BM15" i="1"/>
  <c r="BL15" i="1"/>
  <c r="BK15" i="1"/>
  <c r="BI15" i="1"/>
  <c r="BJ15" i="1" s="1"/>
  <c r="BG15" i="1"/>
  <c r="BE15" i="1"/>
  <c r="BD15" i="1"/>
  <c r="BC15" i="1"/>
  <c r="BB15" i="1"/>
  <c r="BA15" i="1"/>
  <c r="AY15" i="1"/>
  <c r="AX15" i="1"/>
  <c r="AV15" i="1"/>
  <c r="AZ15" i="1" s="1"/>
  <c r="AU15" i="1"/>
  <c r="AT15" i="1"/>
  <c r="AS15" i="1"/>
  <c r="AR15" i="1"/>
  <c r="BF15" i="1" s="1"/>
  <c r="BN14" i="1"/>
  <c r="BM14" i="1"/>
  <c r="BL14" i="1"/>
  <c r="BK14" i="1"/>
  <c r="BI14" i="1"/>
  <c r="BJ14" i="1" s="1"/>
  <c r="BG14" i="1"/>
  <c r="BE14" i="1"/>
  <c r="BD14" i="1"/>
  <c r="BC14" i="1"/>
  <c r="BB14" i="1"/>
  <c r="BA14" i="1"/>
  <c r="AY14" i="1"/>
  <c r="AX14" i="1"/>
  <c r="AV14" i="1"/>
  <c r="AZ14" i="1" s="1"/>
  <c r="AU14" i="1"/>
  <c r="AT14" i="1"/>
  <c r="AR14" i="1"/>
  <c r="BF14" i="1" s="1"/>
  <c r="BN13" i="1"/>
  <c r="BM13" i="1"/>
  <c r="BL13" i="1"/>
  <c r="BK13" i="1"/>
  <c r="BI13" i="1"/>
  <c r="BJ13" i="1" s="1"/>
  <c r="BG13" i="1"/>
  <c r="BE13" i="1"/>
  <c r="BD13" i="1"/>
  <c r="BC13" i="1"/>
  <c r="BB13" i="1"/>
  <c r="BA13" i="1"/>
  <c r="AY13" i="1"/>
  <c r="AX13" i="1"/>
  <c r="AV13" i="1"/>
  <c r="AZ13" i="1" s="1"/>
  <c r="AU13" i="1"/>
  <c r="AT13" i="1"/>
  <c r="AS13" i="1"/>
  <c r="AR13" i="1"/>
  <c r="BF13" i="1" s="1"/>
  <c r="BN12" i="1"/>
  <c r="BM12" i="1"/>
  <c r="BL12" i="1"/>
  <c r="BK12" i="1"/>
  <c r="BI12" i="1"/>
  <c r="BJ12" i="1" s="1"/>
  <c r="BG12" i="1"/>
  <c r="BE12" i="1"/>
  <c r="BD12" i="1"/>
  <c r="BC12" i="1"/>
  <c r="BB12" i="1"/>
  <c r="BA12" i="1"/>
  <c r="AY12" i="1"/>
  <c r="AX12" i="1"/>
  <c r="AV12" i="1"/>
  <c r="AZ12" i="1" s="1"/>
  <c r="AU12" i="1"/>
  <c r="AT12" i="1"/>
  <c r="AS12" i="1"/>
  <c r="AR12" i="1"/>
  <c r="BF12" i="1" s="1"/>
  <c r="BN210" i="1"/>
  <c r="BM210" i="1"/>
  <c r="BL210" i="1"/>
  <c r="BK210" i="1"/>
  <c r="BI210" i="1"/>
  <c r="BH210" i="1" s="1"/>
  <c r="BG210" i="1"/>
  <c r="BE210" i="1"/>
  <c r="BD210" i="1"/>
  <c r="BC210" i="1"/>
  <c r="BB210" i="1"/>
  <c r="BA210" i="1"/>
  <c r="AY210" i="1"/>
  <c r="AX210" i="1"/>
  <c r="AV210" i="1"/>
  <c r="AZ210" i="1" s="1"/>
  <c r="AU210" i="1"/>
  <c r="AT210" i="1"/>
  <c r="AS210" i="1"/>
  <c r="AR210" i="1"/>
  <c r="BF210" i="1" s="1"/>
  <c r="BN204" i="1"/>
  <c r="BM204" i="1"/>
  <c r="BL204" i="1"/>
  <c r="BK204" i="1"/>
  <c r="BI204" i="1"/>
  <c r="BH204" i="1" s="1"/>
  <c r="BG204" i="1"/>
  <c r="BE204" i="1"/>
  <c r="BD204" i="1"/>
  <c r="BC204" i="1"/>
  <c r="BB204" i="1"/>
  <c r="BA204" i="1"/>
  <c r="AY204" i="1"/>
  <c r="AX204" i="1"/>
  <c r="AV204" i="1"/>
  <c r="AZ204" i="1" s="1"/>
  <c r="AU204" i="1"/>
  <c r="AT204" i="1"/>
  <c r="AS204" i="1"/>
  <c r="AR204" i="1"/>
  <c r="BF204" i="1" s="1"/>
  <c r="BN9" i="1"/>
  <c r="BM9" i="1"/>
  <c r="BL9" i="1"/>
  <c r="BK9" i="1"/>
  <c r="BI9" i="1"/>
  <c r="BH9" i="1" s="1"/>
  <c r="BG9" i="1"/>
  <c r="BE9" i="1"/>
  <c r="BD9" i="1"/>
  <c r="BC9" i="1"/>
  <c r="BB9" i="1"/>
  <c r="BA9" i="1"/>
  <c r="AY9" i="1"/>
  <c r="AX9" i="1"/>
  <c r="AV9" i="1"/>
  <c r="AW9" i="1" s="1"/>
  <c r="AU9" i="1"/>
  <c r="AT9" i="1"/>
  <c r="AS9" i="1"/>
  <c r="AR9" i="1"/>
  <c r="X16" i="1"/>
  <c r="AC16" i="1" s="1"/>
  <c r="X15" i="1"/>
  <c r="AC15" i="1" s="1"/>
  <c r="X14" i="1"/>
  <c r="AC14" i="1" s="1"/>
  <c r="X13" i="1"/>
  <c r="AC13" i="1" s="1"/>
  <c r="X12" i="1"/>
  <c r="AC12" i="1" s="1"/>
  <c r="X210" i="1"/>
  <c r="AC210" i="1" s="1"/>
  <c r="X204" i="1"/>
  <c r="AC204" i="1" s="1"/>
  <c r="X9" i="1"/>
  <c r="AC9" i="1" s="1"/>
  <c r="BF9" i="1" l="1"/>
  <c r="BF5" i="1"/>
  <c r="BH13" i="1"/>
  <c r="BH12" i="1"/>
  <c r="AW5" i="1"/>
  <c r="BH5" i="1"/>
  <c r="AZ9" i="1"/>
  <c r="AW14" i="1"/>
  <c r="BH15" i="1"/>
  <c r="AW15" i="1"/>
  <c r="BJ210" i="1"/>
  <c r="BJ9" i="1"/>
  <c r="AW12" i="1"/>
  <c r="BH14" i="1"/>
  <c r="BJ204" i="1"/>
  <c r="AW13" i="1"/>
  <c r="AZ16" i="1"/>
  <c r="BH16" i="1"/>
  <c r="AW204" i="1"/>
  <c r="AW210" i="1"/>
  <c r="X169" i="1" l="1"/>
  <c r="K169" i="1"/>
  <c r="M169" i="1" s="1"/>
  <c r="K130" i="1" l="1"/>
  <c r="M130" i="1" s="1"/>
  <c r="K6" i="1"/>
  <c r="M6" i="1" s="1"/>
  <c r="K19" i="1"/>
  <c r="M19" i="1" s="1"/>
  <c r="K18" i="1"/>
  <c r="M18" i="1" s="1"/>
  <c r="K173" i="1"/>
  <c r="M173" i="1" s="1"/>
  <c r="BN130" i="1" l="1"/>
  <c r="BM130" i="1"/>
  <c r="BL130" i="1"/>
  <c r="BK130" i="1"/>
  <c r="BI130" i="1"/>
  <c r="BJ130" i="1" s="1"/>
  <c r="BG130" i="1"/>
  <c r="BE130" i="1"/>
  <c r="BD130" i="1"/>
  <c r="BC130" i="1"/>
  <c r="BB130" i="1"/>
  <c r="BA130" i="1"/>
  <c r="AY130" i="1"/>
  <c r="AX130" i="1"/>
  <c r="AV130" i="1"/>
  <c r="AW130" i="1" s="1"/>
  <c r="AU130" i="1"/>
  <c r="AT130" i="1"/>
  <c r="AS130" i="1"/>
  <c r="AR130" i="1"/>
  <c r="BF130" i="1" s="1"/>
  <c r="BN6" i="1"/>
  <c r="BM6" i="1"/>
  <c r="BL6" i="1"/>
  <c r="BK6" i="1"/>
  <c r="BI6" i="1"/>
  <c r="BJ6" i="1" s="1"/>
  <c r="BG6" i="1"/>
  <c r="BE6" i="1"/>
  <c r="BD6" i="1"/>
  <c r="BC6" i="1"/>
  <c r="BB6" i="1"/>
  <c r="BA6" i="1"/>
  <c r="AY6" i="1"/>
  <c r="AX6" i="1"/>
  <c r="AV6" i="1"/>
  <c r="AW6" i="1" s="1"/>
  <c r="AU6" i="1"/>
  <c r="AT6" i="1"/>
  <c r="AS6" i="1"/>
  <c r="AR6" i="1"/>
  <c r="BN19" i="1"/>
  <c r="BM19" i="1"/>
  <c r="BL19" i="1"/>
  <c r="BK19" i="1"/>
  <c r="BI19" i="1"/>
  <c r="BJ19" i="1" s="1"/>
  <c r="BG19" i="1"/>
  <c r="BE19" i="1"/>
  <c r="BD19" i="1"/>
  <c r="BC19" i="1"/>
  <c r="BB19" i="1"/>
  <c r="BA19" i="1"/>
  <c r="AY19" i="1"/>
  <c r="AX19" i="1"/>
  <c r="AV19" i="1"/>
  <c r="AW19" i="1" s="1"/>
  <c r="AU19" i="1"/>
  <c r="AT19" i="1"/>
  <c r="AS19" i="1"/>
  <c r="AR19" i="1"/>
  <c r="BF19" i="1" s="1"/>
  <c r="BN18" i="1"/>
  <c r="BM18" i="1"/>
  <c r="BL18" i="1"/>
  <c r="BK18" i="1"/>
  <c r="BI18" i="1"/>
  <c r="BH18" i="1" s="1"/>
  <c r="BG18" i="1"/>
  <c r="BE18" i="1"/>
  <c r="BD18" i="1"/>
  <c r="BC18" i="1"/>
  <c r="BB18" i="1"/>
  <c r="BA18" i="1"/>
  <c r="AY18" i="1"/>
  <c r="AX18" i="1"/>
  <c r="AV18" i="1"/>
  <c r="AZ18" i="1" s="1"/>
  <c r="AU18" i="1"/>
  <c r="AT18" i="1"/>
  <c r="AS18" i="1"/>
  <c r="AR18" i="1"/>
  <c r="BN173" i="1"/>
  <c r="BM173" i="1"/>
  <c r="BL173" i="1"/>
  <c r="BK173" i="1"/>
  <c r="BI173" i="1"/>
  <c r="BH173" i="1" s="1"/>
  <c r="BG173" i="1"/>
  <c r="BE173" i="1"/>
  <c r="BD173" i="1"/>
  <c r="BC173" i="1"/>
  <c r="BB173" i="1"/>
  <c r="BA173" i="1"/>
  <c r="AY173" i="1"/>
  <c r="AX173" i="1"/>
  <c r="AV173" i="1"/>
  <c r="AZ173" i="1" s="1"/>
  <c r="AU173" i="1"/>
  <c r="AT173" i="1"/>
  <c r="AS173" i="1"/>
  <c r="AR173" i="1"/>
  <c r="BF173" i="1" s="1"/>
  <c r="AC130" i="1"/>
  <c r="AC6" i="1"/>
  <c r="AC19" i="1"/>
  <c r="AC18" i="1"/>
  <c r="AC173" i="1"/>
  <c r="I280" i="1" a="1"/>
  <c r="I280" i="1" s="1"/>
  <c r="B28" i="180"/>
  <c r="B29" i="180"/>
  <c r="I30" i="180"/>
  <c r="I29" i="180"/>
  <c r="I28" i="180"/>
  <c r="I27" i="180"/>
  <c r="J27" i="180"/>
  <c r="K27" i="180"/>
  <c r="L27" i="180"/>
  <c r="BF18" i="1" l="1"/>
  <c r="BF6" i="1"/>
  <c r="BH130" i="1"/>
  <c r="AZ130" i="1"/>
  <c r="BH19" i="1"/>
  <c r="AZ19" i="1"/>
  <c r="AW18" i="1"/>
  <c r="BH6" i="1"/>
  <c r="BJ18" i="1"/>
  <c r="AZ6" i="1"/>
  <c r="BJ173" i="1"/>
  <c r="AW173" i="1"/>
  <c r="B30" i="180"/>
  <c r="I35" i="180" s="1"/>
  <c r="B31" i="180"/>
  <c r="I34" i="180" s="1"/>
  <c r="B32" i="180"/>
  <c r="I33" i="180" s="1"/>
  <c r="B33" i="180"/>
  <c r="I32" i="180" s="1"/>
  <c r="B34" i="180"/>
  <c r="I31" i="180" s="1"/>
  <c r="I5" i="180" l="1"/>
  <c r="N5" i="180"/>
  <c r="N6" i="180"/>
  <c r="N7" i="180"/>
  <c r="N8" i="180"/>
  <c r="N10" i="180"/>
  <c r="I291" i="1" a="1"/>
  <c r="I291" i="1" s="1"/>
  <c r="AH291" i="1"/>
  <c r="AG291" i="1"/>
  <c r="U291" i="1"/>
  <c r="AH290" i="1" a="1"/>
  <c r="AH290" i="1" s="1"/>
  <c r="AG290" i="1" a="1"/>
  <c r="AG290" i="1" s="1"/>
  <c r="AH289" i="1" a="1"/>
  <c r="AH289" i="1" s="1"/>
  <c r="AG289" i="1" a="1"/>
  <c r="AG289" i="1" s="1"/>
  <c r="AH288" i="1" a="1"/>
  <c r="AH288" i="1" s="1"/>
  <c r="AG288" i="1" a="1"/>
  <c r="AG288" i="1" s="1"/>
  <c r="AH287" i="1" a="1"/>
  <c r="AH287" i="1" s="1"/>
  <c r="AG287" i="1" a="1"/>
  <c r="AG287" i="1" s="1"/>
  <c r="AH286" i="1" a="1"/>
  <c r="AH286" i="1" s="1"/>
  <c r="AG286" i="1" a="1"/>
  <c r="AG286" i="1" s="1"/>
  <c r="AH285" i="1" a="1"/>
  <c r="AH285" i="1" s="1"/>
  <c r="AG285" i="1" a="1"/>
  <c r="AG285" i="1" s="1"/>
  <c r="AH284" i="1" a="1"/>
  <c r="AH284" i="1" s="1"/>
  <c r="AG284" i="1" a="1"/>
  <c r="AG284" i="1" s="1"/>
  <c r="AH283" i="1" a="1"/>
  <c r="AH283" i="1" s="1"/>
  <c r="AG283" i="1" a="1"/>
  <c r="AG283" i="1" s="1"/>
  <c r="AH280" i="1"/>
  <c r="AG280" i="1"/>
  <c r="U280" i="1"/>
  <c r="AH279" i="1" a="1"/>
  <c r="AH279" i="1" s="1"/>
  <c r="AG279" i="1" a="1"/>
  <c r="AG279" i="1" s="1"/>
  <c r="AH278" i="1" a="1"/>
  <c r="AH278" i="1" s="1"/>
  <c r="AG278" i="1" a="1"/>
  <c r="AG278" i="1" s="1"/>
  <c r="AH277" i="1" a="1"/>
  <c r="AH277" i="1" s="1"/>
  <c r="AG277" i="1" a="1"/>
  <c r="AG277" i="1" s="1"/>
  <c r="AH276" i="1" a="1"/>
  <c r="AH276" i="1" s="1"/>
  <c r="AG276" i="1" a="1"/>
  <c r="AG276" i="1" s="1"/>
  <c r="AH275" i="1" a="1"/>
  <c r="AH275" i="1" s="1"/>
  <c r="AG275" i="1" a="1"/>
  <c r="AG275" i="1" s="1"/>
  <c r="AH274" i="1" a="1"/>
  <c r="AH274" i="1" s="1"/>
  <c r="AG274" i="1" a="1"/>
  <c r="AG274" i="1" s="1"/>
  <c r="AH273" i="1" a="1"/>
  <c r="AH273" i="1" s="1"/>
  <c r="AG273" i="1" a="1"/>
  <c r="AG273" i="1" s="1"/>
  <c r="AH272" i="1" a="1"/>
  <c r="AH272" i="1" s="1"/>
  <c r="AG272" i="1" a="1"/>
  <c r="AG272" i="1" s="1"/>
  <c r="I6" i="180"/>
  <c r="I7" i="180"/>
  <c r="I8" i="180"/>
  <c r="I9" i="180"/>
  <c r="I10" i="180"/>
  <c r="I11" i="180"/>
  <c r="I13" i="180"/>
  <c r="AG268" i="1" l="1" a="1"/>
  <c r="AG268" i="1" s="1"/>
  <c r="AH268" i="1" a="1"/>
  <c r="AH268" i="1" s="1"/>
  <c r="G10" i="1"/>
  <c r="G23" i="1"/>
  <c r="G24" i="1"/>
  <c r="G25" i="1"/>
  <c r="G26" i="1"/>
  <c r="G27" i="1"/>
  <c r="G62" i="1"/>
  <c r="G29" i="1"/>
  <c r="G30" i="1"/>
  <c r="G32" i="1"/>
  <c r="G33" i="1"/>
  <c r="G34" i="1"/>
  <c r="G35" i="1"/>
  <c r="G101" i="1"/>
  <c r="G37" i="1"/>
  <c r="G205" i="1"/>
  <c r="G39" i="1"/>
  <c r="G189" i="1"/>
  <c r="G190" i="1"/>
  <c r="G42" i="1"/>
  <c r="G102" i="1"/>
  <c r="G171" i="1"/>
  <c r="G82" i="1"/>
  <c r="G46" i="1"/>
  <c r="G206" i="1"/>
  <c r="G48" i="1"/>
  <c r="G107" i="1"/>
  <c r="G50" i="1"/>
  <c r="G63" i="1"/>
  <c r="G52" i="1"/>
  <c r="G108" i="1"/>
  <c r="G54" i="1"/>
  <c r="G138" i="1"/>
  <c r="G124" i="1"/>
  <c r="G57" i="1"/>
  <c r="G64" i="1"/>
  <c r="G11" i="1"/>
  <c r="G212" i="1"/>
  <c r="G17" i="1"/>
  <c r="G208" i="1"/>
  <c r="G131" i="1"/>
  <c r="G20" i="1"/>
  <c r="G200" i="1"/>
  <c r="G66" i="1"/>
  <c r="G67" i="1"/>
  <c r="G201" i="1"/>
  <c r="G70" i="1"/>
  <c r="G65" i="1"/>
  <c r="G72" i="1"/>
  <c r="G203" i="1"/>
  <c r="G150" i="1"/>
  <c r="G68" i="1"/>
  <c r="G76" i="1"/>
  <c r="G77" i="1"/>
  <c r="G196" i="1"/>
  <c r="G151" i="1"/>
  <c r="G80" i="1"/>
  <c r="G81" i="1"/>
  <c r="G139" i="1"/>
  <c r="G69" i="1"/>
  <c r="G84" i="1"/>
  <c r="G85" i="1"/>
  <c r="G109" i="1"/>
  <c r="G87" i="1"/>
  <c r="G141" i="1"/>
  <c r="G89" i="1"/>
  <c r="G90" i="1"/>
  <c r="G91" i="1"/>
  <c r="G21" i="1"/>
  <c r="G93" i="1"/>
  <c r="G83" i="1"/>
  <c r="G95" i="1"/>
  <c r="G132" i="1"/>
  <c r="G97" i="1"/>
  <c r="G98" i="1"/>
  <c r="G144" i="1"/>
  <c r="G100" i="1"/>
  <c r="G71" i="1"/>
  <c r="G133" i="1"/>
  <c r="G103" i="1"/>
  <c r="G104" i="1"/>
  <c r="G105" i="1"/>
  <c r="G106" i="1"/>
  <c r="G175" i="1"/>
  <c r="G78" i="1"/>
  <c r="G22" i="1"/>
  <c r="G134" i="1"/>
  <c r="G111" i="1"/>
  <c r="G112" i="1"/>
  <c r="G113" i="1"/>
  <c r="G154" i="1"/>
  <c r="G86" i="1"/>
  <c r="G110" i="1"/>
  <c r="G88" i="1"/>
  <c r="G118" i="1"/>
  <c r="G119" i="1"/>
  <c r="G28" i="1"/>
  <c r="G121" i="1"/>
  <c r="G122" i="1"/>
  <c r="G79" i="1"/>
  <c r="G92" i="1"/>
  <c r="G125" i="1"/>
  <c r="G126" i="1"/>
  <c r="G127" i="1"/>
  <c r="G128" i="1"/>
  <c r="G156" i="1"/>
  <c r="G114" i="1"/>
  <c r="G31" i="1"/>
  <c r="G191" i="1"/>
  <c r="G94" i="1"/>
  <c r="G36" i="1"/>
  <c r="G135" i="1"/>
  <c r="G38" i="1"/>
  <c r="G137" i="1"/>
  <c r="G178" i="1"/>
  <c r="G40" i="1"/>
  <c r="G140" i="1"/>
  <c r="G145" i="1"/>
  <c r="G142" i="1"/>
  <c r="G143" i="1"/>
  <c r="G179" i="1"/>
  <c r="G157" i="1"/>
  <c r="G181" i="1"/>
  <c r="G147" i="1"/>
  <c r="G115" i="1"/>
  <c r="G146" i="1"/>
  <c r="G73" i="1"/>
  <c r="G41" i="1"/>
  <c r="G152" i="1"/>
  <c r="G153" i="1"/>
  <c r="G116" i="1"/>
  <c r="G155" i="1"/>
  <c r="G129" i="1"/>
  <c r="G158" i="1"/>
  <c r="G43" i="1"/>
  <c r="G159" i="1"/>
  <c r="G96" i="1"/>
  <c r="G161" i="1"/>
  <c r="G160" i="1"/>
  <c r="G163" i="1"/>
  <c r="G74" i="1"/>
  <c r="G172" i="1"/>
  <c r="G44" i="1"/>
  <c r="G167" i="1"/>
  <c r="G168" i="1"/>
  <c r="G170" i="1"/>
  <c r="G197" i="1"/>
  <c r="G75" i="1"/>
  <c r="G186" i="1"/>
  <c r="G164" i="1"/>
  <c r="G117" i="1"/>
  <c r="G176" i="1"/>
  <c r="G177" i="1"/>
  <c r="G136" i="1"/>
  <c r="G45" i="1"/>
  <c r="G180" i="1"/>
  <c r="G188" i="1"/>
  <c r="G182" i="1"/>
  <c r="G183" i="1"/>
  <c r="G184" i="1"/>
  <c r="G185" i="1"/>
  <c r="G47" i="1"/>
  <c r="G187" i="1"/>
  <c r="G149" i="1"/>
  <c r="G148" i="1"/>
  <c r="G49" i="1"/>
  <c r="G120" i="1"/>
  <c r="G192" i="1"/>
  <c r="G193" i="1"/>
  <c r="G194" i="1"/>
  <c r="G195" i="1"/>
  <c r="G51" i="1"/>
  <c r="G53" i="1"/>
  <c r="G198" i="1"/>
  <c r="G199" i="1"/>
  <c r="G55" i="1"/>
  <c r="G207" i="1"/>
  <c r="G202" i="1"/>
  <c r="G123" i="1"/>
  <c r="G165" i="1"/>
  <c r="G166" i="1"/>
  <c r="G99" i="1"/>
  <c r="G56" i="1"/>
  <c r="G58" i="1"/>
  <c r="G59" i="1"/>
  <c r="G61" i="1"/>
  <c r="G211" i="1"/>
  <c r="G60" i="1"/>
  <c r="G213" i="1"/>
  <c r="G214" i="1"/>
  <c r="G215" i="1"/>
  <c r="G216" i="1"/>
  <c r="G217" i="1"/>
  <c r="G218" i="1"/>
  <c r="G219" i="1"/>
  <c r="G220" i="1"/>
  <c r="G174" i="1"/>
  <c r="F128" i="179"/>
  <c r="F130" i="179"/>
  <c r="F131" i="179"/>
  <c r="F132" i="179"/>
  <c r="F133" i="179"/>
  <c r="F134" i="179"/>
  <c r="F135" i="179"/>
  <c r="F136" i="179"/>
  <c r="M25" i="1" l="1"/>
  <c r="M24" i="1"/>
  <c r="M23" i="1"/>
  <c r="J50" i="179" l="1"/>
  <c r="E2" i="179"/>
  <c r="E10" i="179"/>
  <c r="E11" i="179"/>
  <c r="E12" i="179"/>
  <c r="E13" i="179"/>
  <c r="E14" i="179"/>
  <c r="E15" i="179"/>
  <c r="E16" i="179"/>
  <c r="E17" i="179"/>
  <c r="E18" i="179"/>
  <c r="E19" i="179"/>
  <c r="E20" i="179"/>
  <c r="E21" i="179"/>
  <c r="E22" i="179"/>
  <c r="E23" i="179"/>
  <c r="E24" i="179"/>
  <c r="E25" i="179"/>
  <c r="E26" i="179"/>
  <c r="E27" i="179"/>
  <c r="E28" i="179"/>
  <c r="E29" i="179"/>
  <c r="E30" i="179"/>
  <c r="E31" i="179"/>
  <c r="E32" i="179"/>
  <c r="E33" i="179"/>
  <c r="E34" i="179"/>
  <c r="E35" i="179"/>
  <c r="E36" i="179"/>
  <c r="E37" i="179"/>
  <c r="E38" i="179"/>
  <c r="E39" i="179"/>
  <c r="E40" i="179"/>
  <c r="E41" i="179"/>
  <c r="E42" i="179"/>
  <c r="E43" i="179"/>
  <c r="E44" i="179"/>
  <c r="E45" i="179"/>
  <c r="E46" i="179"/>
  <c r="E47" i="179"/>
  <c r="E48" i="179"/>
  <c r="E49" i="179"/>
  <c r="E50" i="179"/>
  <c r="E51" i="179"/>
  <c r="E52" i="179"/>
  <c r="E53" i="179"/>
  <c r="E54" i="179"/>
  <c r="E55" i="179"/>
  <c r="E56" i="179"/>
  <c r="E57" i="179"/>
  <c r="E58" i="179"/>
  <c r="E59" i="179"/>
  <c r="E60" i="179"/>
  <c r="E61" i="179"/>
  <c r="E62" i="179"/>
  <c r="E63" i="179"/>
  <c r="E64" i="179"/>
  <c r="E65" i="179"/>
  <c r="E66" i="179"/>
  <c r="E67" i="179"/>
  <c r="E68" i="179"/>
  <c r="E69" i="179"/>
  <c r="E70" i="179"/>
  <c r="E71" i="179"/>
  <c r="E72" i="179"/>
  <c r="E73" i="179"/>
  <c r="E74" i="179"/>
  <c r="E75" i="179"/>
  <c r="E76" i="179"/>
  <c r="E77" i="179"/>
  <c r="E78" i="179"/>
  <c r="E79" i="179"/>
  <c r="E80" i="179"/>
  <c r="E81" i="179"/>
  <c r="E82" i="179"/>
  <c r="E83" i="179"/>
  <c r="E84" i="179"/>
  <c r="E85" i="179"/>
  <c r="E86" i="179"/>
  <c r="E87" i="179"/>
  <c r="E88" i="179"/>
  <c r="E89" i="179"/>
  <c r="E90" i="179"/>
  <c r="E91" i="179"/>
  <c r="E92" i="179"/>
  <c r="E93" i="179"/>
  <c r="E94" i="179"/>
  <c r="E95" i="179"/>
  <c r="E96" i="179"/>
  <c r="E97" i="179"/>
  <c r="E98" i="179"/>
  <c r="E99" i="179"/>
  <c r="E100" i="179"/>
  <c r="E101" i="179"/>
  <c r="E102" i="179"/>
  <c r="E103" i="179"/>
  <c r="E104" i="179"/>
  <c r="E105" i="179"/>
  <c r="E106" i="179"/>
  <c r="E107" i="179"/>
  <c r="E108" i="179"/>
  <c r="E109" i="179"/>
  <c r="E110" i="179"/>
  <c r="E111" i="179"/>
  <c r="E112" i="179"/>
  <c r="E113" i="179"/>
  <c r="I41" i="179"/>
  <c r="J35" i="179" s="1"/>
  <c r="J51" i="179" l="1"/>
  <c r="BN30" i="1" l="1"/>
  <c r="BM30" i="1"/>
  <c r="BL30" i="1"/>
  <c r="BK30" i="1"/>
  <c r="BI30" i="1"/>
  <c r="BJ30" i="1" s="1"/>
  <c r="BG30" i="1"/>
  <c r="BE30" i="1"/>
  <c r="BD30" i="1"/>
  <c r="BC30" i="1"/>
  <c r="BB30" i="1"/>
  <c r="BA30" i="1"/>
  <c r="AY30" i="1"/>
  <c r="AX30" i="1"/>
  <c r="AV30" i="1"/>
  <c r="AW30" i="1" s="1"/>
  <c r="AU30" i="1"/>
  <c r="AT30" i="1"/>
  <c r="AS30" i="1"/>
  <c r="AR30" i="1"/>
  <c r="BF30" i="1" s="1"/>
  <c r="BN29" i="1"/>
  <c r="BM29" i="1"/>
  <c r="BL29" i="1"/>
  <c r="BK29" i="1"/>
  <c r="BI29" i="1"/>
  <c r="BJ29" i="1" s="1"/>
  <c r="BG29" i="1"/>
  <c r="BE29" i="1"/>
  <c r="BD29" i="1"/>
  <c r="BC29" i="1"/>
  <c r="BB29" i="1"/>
  <c r="BA29" i="1"/>
  <c r="AY29" i="1"/>
  <c r="AX29" i="1"/>
  <c r="AV29" i="1"/>
  <c r="AW29" i="1" s="1"/>
  <c r="AU29" i="1"/>
  <c r="AT29" i="1"/>
  <c r="AS29" i="1"/>
  <c r="AR29" i="1"/>
  <c r="BF29" i="1" s="1"/>
  <c r="BN62" i="1"/>
  <c r="BM62" i="1"/>
  <c r="BL62" i="1"/>
  <c r="BK62" i="1"/>
  <c r="BI62" i="1"/>
  <c r="BJ62" i="1" s="1"/>
  <c r="BG62" i="1"/>
  <c r="BE62" i="1"/>
  <c r="BD62" i="1"/>
  <c r="BC62" i="1"/>
  <c r="BB62" i="1"/>
  <c r="BA62" i="1"/>
  <c r="AY62" i="1"/>
  <c r="AX62" i="1"/>
  <c r="AV62" i="1"/>
  <c r="AZ62" i="1" s="1"/>
  <c r="AU62" i="1"/>
  <c r="AT62" i="1"/>
  <c r="AS62" i="1"/>
  <c r="AR62" i="1"/>
  <c r="BF62" i="1" s="1"/>
  <c r="BN27" i="1"/>
  <c r="BM27" i="1"/>
  <c r="BL27" i="1"/>
  <c r="BK27" i="1"/>
  <c r="BI27" i="1"/>
  <c r="BJ27" i="1" s="1"/>
  <c r="BG27" i="1"/>
  <c r="BE27" i="1"/>
  <c r="BD27" i="1"/>
  <c r="BC27" i="1"/>
  <c r="BB27" i="1"/>
  <c r="BA27" i="1"/>
  <c r="AY27" i="1"/>
  <c r="AX27" i="1"/>
  <c r="AV27" i="1"/>
  <c r="AW27" i="1" s="1"/>
  <c r="AU27" i="1"/>
  <c r="AT27" i="1"/>
  <c r="AS27" i="1"/>
  <c r="AR27" i="1"/>
  <c r="BF27" i="1" s="1"/>
  <c r="BN26" i="1"/>
  <c r="BM26" i="1"/>
  <c r="BL26" i="1"/>
  <c r="BK26" i="1"/>
  <c r="BI26" i="1"/>
  <c r="BJ26" i="1" s="1"/>
  <c r="BG26" i="1"/>
  <c r="BE26" i="1"/>
  <c r="BD26" i="1"/>
  <c r="BC26" i="1"/>
  <c r="BB26" i="1"/>
  <c r="BA26" i="1"/>
  <c r="AY26" i="1"/>
  <c r="AX26" i="1"/>
  <c r="AV26" i="1"/>
  <c r="AW26" i="1" s="1"/>
  <c r="AU26" i="1"/>
  <c r="AT26" i="1"/>
  <c r="AS26" i="1"/>
  <c r="AR26" i="1"/>
  <c r="BF26" i="1" s="1"/>
  <c r="BN25" i="1"/>
  <c r="BM25" i="1"/>
  <c r="BL25" i="1"/>
  <c r="BK25" i="1"/>
  <c r="BI25" i="1"/>
  <c r="BJ25" i="1" s="1"/>
  <c r="BG25" i="1"/>
  <c r="BE25" i="1"/>
  <c r="BD25" i="1"/>
  <c r="BC25" i="1"/>
  <c r="BB25" i="1"/>
  <c r="BA25" i="1"/>
  <c r="AY25" i="1"/>
  <c r="AX25" i="1"/>
  <c r="AV25" i="1"/>
  <c r="AZ25" i="1" s="1"/>
  <c r="AU25" i="1"/>
  <c r="AT25" i="1"/>
  <c r="AS25" i="1"/>
  <c r="AR25" i="1"/>
  <c r="BF25" i="1" s="1"/>
  <c r="BN24" i="1"/>
  <c r="BM24" i="1"/>
  <c r="BL24" i="1"/>
  <c r="BK24" i="1"/>
  <c r="BI24" i="1"/>
  <c r="BJ24" i="1" s="1"/>
  <c r="BG24" i="1"/>
  <c r="BE24" i="1"/>
  <c r="BD24" i="1"/>
  <c r="BC24" i="1"/>
  <c r="BB24" i="1"/>
  <c r="BA24" i="1"/>
  <c r="AY24" i="1"/>
  <c r="AX24" i="1"/>
  <c r="AV24" i="1"/>
  <c r="AZ24" i="1" s="1"/>
  <c r="AU24" i="1"/>
  <c r="AT24" i="1"/>
  <c r="AS24" i="1"/>
  <c r="AR24" i="1"/>
  <c r="BF24" i="1" s="1"/>
  <c r="BN23" i="1"/>
  <c r="BM23" i="1"/>
  <c r="BL23" i="1"/>
  <c r="BK23" i="1"/>
  <c r="BI23" i="1"/>
  <c r="BJ23" i="1" s="1"/>
  <c r="BG23" i="1"/>
  <c r="BE23" i="1"/>
  <c r="BD23" i="1"/>
  <c r="BC23" i="1"/>
  <c r="BB23" i="1"/>
  <c r="BA23" i="1"/>
  <c r="AY23" i="1"/>
  <c r="AX23" i="1"/>
  <c r="AV23" i="1"/>
  <c r="AW23" i="1" s="1"/>
  <c r="AU23" i="1"/>
  <c r="AT23" i="1"/>
  <c r="AS23" i="1"/>
  <c r="AR23" i="1"/>
  <c r="BN10" i="1"/>
  <c r="BM10" i="1"/>
  <c r="BL10" i="1"/>
  <c r="BK10" i="1"/>
  <c r="BI10" i="1"/>
  <c r="BH10" i="1" s="1"/>
  <c r="BG10" i="1"/>
  <c r="BE10" i="1"/>
  <c r="BD10" i="1"/>
  <c r="BC10" i="1"/>
  <c r="BB10" i="1"/>
  <c r="BA10" i="1"/>
  <c r="AY10" i="1"/>
  <c r="AX10" i="1"/>
  <c r="AV10" i="1"/>
  <c r="AZ10" i="1" s="1"/>
  <c r="AU10" i="1"/>
  <c r="AT10" i="1"/>
  <c r="AS10" i="1"/>
  <c r="AR10" i="1"/>
  <c r="AC30" i="1"/>
  <c r="AC29" i="1"/>
  <c r="AC62" i="1"/>
  <c r="AC27" i="1"/>
  <c r="AC26" i="1"/>
  <c r="AC25" i="1"/>
  <c r="AC24" i="1"/>
  <c r="AC23" i="1"/>
  <c r="AC10" i="1"/>
  <c r="K30" i="1"/>
  <c r="M30" i="1" s="1"/>
  <c r="K29" i="1"/>
  <c r="M29" i="1" s="1"/>
  <c r="K62" i="1"/>
  <c r="M62" i="1" s="1"/>
  <c r="K27" i="1"/>
  <c r="M27" i="1" s="1"/>
  <c r="K26" i="1"/>
  <c r="M26" i="1" s="1"/>
  <c r="K10" i="1"/>
  <c r="M10" i="1" s="1"/>
  <c r="BF10" i="1" l="1"/>
  <c r="BF23" i="1"/>
  <c r="BH23" i="1"/>
  <c r="AW10" i="1"/>
  <c r="AZ26" i="1"/>
  <c r="BH30" i="1"/>
  <c r="BJ10" i="1"/>
  <c r="BH27" i="1"/>
  <c r="AW62" i="1"/>
  <c r="BH24" i="1"/>
  <c r="BH62" i="1"/>
  <c r="AZ23" i="1"/>
  <c r="BH26" i="1"/>
  <c r="AW25" i="1"/>
  <c r="BH25" i="1"/>
  <c r="AZ27" i="1"/>
  <c r="AW24" i="1"/>
  <c r="AZ30" i="1"/>
  <c r="AZ29" i="1"/>
  <c r="BH29" i="1"/>
  <c r="D92" i="149" l="1"/>
  <c r="D49" i="154" l="1"/>
  <c r="D48" i="154"/>
  <c r="BI321" i="1" l="1"/>
  <c r="BJ321" i="1" l="1"/>
  <c r="BJ324" i="1" s="1"/>
  <c r="BI324" i="1"/>
  <c r="Q46" i="1"/>
  <c r="N46" i="1"/>
  <c r="N37" i="1"/>
  <c r="BK324" i="1" l="1"/>
  <c r="P37" i="1"/>
  <c r="X35" i="1" l="1"/>
  <c r="AC35" i="1" l="1"/>
  <c r="AC34" i="1"/>
  <c r="AC33" i="1"/>
  <c r="K35" i="1"/>
  <c r="K34" i="1"/>
  <c r="K33" i="1"/>
  <c r="BN35" i="1"/>
  <c r="BM35" i="1"/>
  <c r="BL35" i="1"/>
  <c r="BK35" i="1"/>
  <c r="BI35" i="1"/>
  <c r="BJ35" i="1" s="1"/>
  <c r="BG35" i="1"/>
  <c r="BE35" i="1"/>
  <c r="BD35" i="1"/>
  <c r="BC35" i="1"/>
  <c r="BB35" i="1"/>
  <c r="BA35" i="1"/>
  <c r="AY35" i="1"/>
  <c r="AX35" i="1"/>
  <c r="AV35" i="1"/>
  <c r="AW35" i="1" s="1"/>
  <c r="AU35" i="1"/>
  <c r="AT35" i="1"/>
  <c r="AS35" i="1"/>
  <c r="AR35" i="1"/>
  <c r="BF35" i="1" s="1"/>
  <c r="BN34" i="1"/>
  <c r="BM34" i="1"/>
  <c r="BL34" i="1"/>
  <c r="BK34" i="1"/>
  <c r="BI34" i="1"/>
  <c r="BJ34" i="1" s="1"/>
  <c r="BG34" i="1"/>
  <c r="BE34" i="1"/>
  <c r="BD34" i="1"/>
  <c r="BC34" i="1"/>
  <c r="BB34" i="1"/>
  <c r="BA34" i="1"/>
  <c r="AY34" i="1"/>
  <c r="AX34" i="1"/>
  <c r="AV34" i="1"/>
  <c r="AZ34" i="1" s="1"/>
  <c r="AU34" i="1"/>
  <c r="AT34" i="1"/>
  <c r="AS34" i="1"/>
  <c r="AR34" i="1"/>
  <c r="BN33" i="1"/>
  <c r="BM33" i="1"/>
  <c r="BL33" i="1"/>
  <c r="BK33" i="1"/>
  <c r="BI33" i="1"/>
  <c r="BJ33" i="1" s="1"/>
  <c r="BG33" i="1"/>
  <c r="BE33" i="1"/>
  <c r="BD33" i="1"/>
  <c r="BC33" i="1"/>
  <c r="BB33" i="1"/>
  <c r="BA33" i="1"/>
  <c r="AY33" i="1"/>
  <c r="AX33" i="1"/>
  <c r="AV33" i="1"/>
  <c r="AZ33" i="1" s="1"/>
  <c r="AU33" i="1"/>
  <c r="AT33" i="1"/>
  <c r="AS33" i="1"/>
  <c r="AR33" i="1"/>
  <c r="BF33" i="1" s="1"/>
  <c r="AC32" i="1"/>
  <c r="BF34" i="1" l="1"/>
  <c r="M33" i="1"/>
  <c r="M35" i="1"/>
  <c r="M34" i="1"/>
  <c r="BH35" i="1"/>
  <c r="AZ35" i="1"/>
  <c r="AW34" i="1"/>
  <c r="BH33" i="1"/>
  <c r="BH34" i="1"/>
  <c r="AW33" i="1"/>
  <c r="BN32" i="1"/>
  <c r="BM32" i="1"/>
  <c r="BL32" i="1"/>
  <c r="BI32" i="1"/>
  <c r="BJ32" i="1" s="1"/>
  <c r="BG32" i="1"/>
  <c r="BE32" i="1"/>
  <c r="BD32" i="1"/>
  <c r="BC32" i="1"/>
  <c r="BB32" i="1"/>
  <c r="BA32" i="1"/>
  <c r="AY32" i="1"/>
  <c r="AX32" i="1"/>
  <c r="AV32" i="1"/>
  <c r="AW32" i="1" s="1"/>
  <c r="AU32" i="1"/>
  <c r="AT32" i="1"/>
  <c r="AS32" i="1"/>
  <c r="AR32" i="1"/>
  <c r="BF32" i="1" s="1"/>
  <c r="K32" i="1"/>
  <c r="M32" i="1" s="1"/>
  <c r="T32" i="1"/>
  <c r="M37" i="1"/>
  <c r="BK32" i="1" l="1"/>
  <c r="AZ32" i="1"/>
  <c r="BH32" i="1"/>
  <c r="K107" i="1"/>
  <c r="M107" i="1" s="1"/>
  <c r="K171" i="1"/>
  <c r="M171" i="1" s="1"/>
  <c r="K205" i="1"/>
  <c r="M205" i="1" s="1"/>
  <c r="K42" i="1"/>
  <c r="M42" i="1" s="1"/>
  <c r="K206" i="1"/>
  <c r="M206" i="1" s="1"/>
  <c r="K48" i="1"/>
  <c r="M48" i="1" s="1"/>
  <c r="K82" i="1"/>
  <c r="M82" i="1" s="1"/>
  <c r="K50" i="1"/>
  <c r="M50" i="1" s="1"/>
  <c r="K102" i="1"/>
  <c r="M102" i="1" s="1"/>
  <c r="K39" i="1"/>
  <c r="M39" i="1" s="1"/>
  <c r="K46" i="1"/>
  <c r="M46" i="1" s="1"/>
  <c r="K101" i="1"/>
  <c r="M101" i="1" s="1"/>
  <c r="K189" i="1" l="1"/>
  <c r="M189" i="1" s="1"/>
  <c r="K190" i="1"/>
  <c r="M190" i="1" s="1"/>
  <c r="BN101" i="1" l="1"/>
  <c r="BM101" i="1"/>
  <c r="BL101" i="1"/>
  <c r="BI101" i="1"/>
  <c r="BJ101" i="1" s="1"/>
  <c r="BG101" i="1"/>
  <c r="BE101" i="1"/>
  <c r="BD101" i="1"/>
  <c r="BC101" i="1"/>
  <c r="BB101" i="1"/>
  <c r="BA101" i="1"/>
  <c r="AY101" i="1"/>
  <c r="AX101" i="1"/>
  <c r="AV101" i="1"/>
  <c r="AW101" i="1" s="1"/>
  <c r="AU101" i="1"/>
  <c r="AT101" i="1"/>
  <c r="AS101" i="1"/>
  <c r="AR101" i="1"/>
  <c r="BF101" i="1" s="1"/>
  <c r="AC101" i="1"/>
  <c r="T101" i="1" l="1"/>
  <c r="BH101" i="1"/>
  <c r="AZ101" i="1"/>
  <c r="AG266" i="1" a="1"/>
  <c r="AG266" i="1" s="1"/>
  <c r="AH266" i="1" a="1"/>
  <c r="AH266" i="1" s="1"/>
  <c r="AH269" i="1"/>
  <c r="AG269" i="1"/>
  <c r="U269" i="1"/>
  <c r="S269" i="1" a="1"/>
  <c r="S269" i="1" s="1"/>
  <c r="G37" i="180" s="1"/>
  <c r="L28" i="180" s="1"/>
  <c r="R269" i="1" a="1"/>
  <c r="R269" i="1" s="1"/>
  <c r="G36" i="180" s="1"/>
  <c r="L29" i="180" s="1"/>
  <c r="Q269" i="1"/>
  <c r="P269" i="1"/>
  <c r="O269" i="1"/>
  <c r="N269" i="1"/>
  <c r="I269" i="1"/>
  <c r="AH267" i="1" a="1"/>
  <c r="AH267" i="1" s="1"/>
  <c r="AG267" i="1" a="1"/>
  <c r="AG267" i="1" s="1"/>
  <c r="AH265" i="1" a="1"/>
  <c r="AH265" i="1" s="1"/>
  <c r="AG265" i="1" a="1"/>
  <c r="AG265" i="1" s="1"/>
  <c r="AH264" i="1" a="1"/>
  <c r="AH264" i="1" s="1"/>
  <c r="AG264" i="1" a="1"/>
  <c r="AG264" i="1" s="1"/>
  <c r="AH263" i="1" a="1"/>
  <c r="AH263" i="1" s="1"/>
  <c r="AG263" i="1" a="1"/>
  <c r="AG263" i="1" s="1"/>
  <c r="AH262" i="1" a="1"/>
  <c r="AH262" i="1" s="1"/>
  <c r="AG262" i="1" a="1"/>
  <c r="AG262" i="1" s="1"/>
  <c r="AH261" i="1" a="1"/>
  <c r="AH261" i="1" s="1"/>
  <c r="AG261" i="1" a="1"/>
  <c r="AG261" i="1" s="1"/>
  <c r="AT37" i="1"/>
  <c r="AT205" i="1"/>
  <c r="AT39" i="1"/>
  <c r="AT189" i="1"/>
  <c r="AT190" i="1"/>
  <c r="AT42" i="1"/>
  <c r="AT102" i="1"/>
  <c r="AT171" i="1"/>
  <c r="AT82" i="1"/>
  <c r="AT46" i="1"/>
  <c r="AT206" i="1"/>
  <c r="AT48" i="1"/>
  <c r="AT107" i="1"/>
  <c r="AT50" i="1"/>
  <c r="AT63" i="1"/>
  <c r="AT52" i="1"/>
  <c r="AT108" i="1"/>
  <c r="AT54" i="1"/>
  <c r="AT138" i="1"/>
  <c r="AT124" i="1"/>
  <c r="AT57" i="1"/>
  <c r="AT64" i="1"/>
  <c r="AT11" i="1"/>
  <c r="AT212" i="1"/>
  <c r="AT17" i="1"/>
  <c r="AT208" i="1"/>
  <c r="AT131" i="1"/>
  <c r="AT20" i="1"/>
  <c r="AT200" i="1"/>
  <c r="AT66" i="1"/>
  <c r="AT67" i="1"/>
  <c r="AT209" i="1"/>
  <c r="AT201" i="1"/>
  <c r="AT70" i="1"/>
  <c r="AT65" i="1"/>
  <c r="AT72" i="1"/>
  <c r="AT203" i="1"/>
  <c r="AT150" i="1"/>
  <c r="AT68" i="1"/>
  <c r="AT76" i="1"/>
  <c r="AT77" i="1"/>
  <c r="AT196" i="1"/>
  <c r="AT151" i="1"/>
  <c r="AT80" i="1"/>
  <c r="AT81" i="1"/>
  <c r="AT139" i="1"/>
  <c r="AT69" i="1"/>
  <c r="AT84" i="1"/>
  <c r="AT85" i="1"/>
  <c r="AT109" i="1"/>
  <c r="AT87" i="1"/>
  <c r="AT141" i="1"/>
  <c r="AT89" i="1"/>
  <c r="AT90" i="1"/>
  <c r="AT91" i="1"/>
  <c r="AT21" i="1"/>
  <c r="AT93" i="1"/>
  <c r="AT83" i="1"/>
  <c r="AT95" i="1"/>
  <c r="AT132" i="1"/>
  <c r="AT97" i="1"/>
  <c r="AT98" i="1"/>
  <c r="AT144" i="1"/>
  <c r="AT100" i="1"/>
  <c r="AT71" i="1"/>
  <c r="AT133" i="1"/>
  <c r="AT103" i="1"/>
  <c r="AT104" i="1"/>
  <c r="AT105" i="1"/>
  <c r="AT106" i="1"/>
  <c r="AT175" i="1"/>
  <c r="AT78" i="1"/>
  <c r="AT22" i="1"/>
  <c r="AT134" i="1"/>
  <c r="AT111" i="1"/>
  <c r="AT112" i="1"/>
  <c r="AT113" i="1"/>
  <c r="AT154" i="1"/>
  <c r="AT86" i="1"/>
  <c r="AT110" i="1"/>
  <c r="AT88" i="1"/>
  <c r="AT118" i="1"/>
  <c r="AT119" i="1"/>
  <c r="AT28" i="1"/>
  <c r="AT121" i="1"/>
  <c r="AT122" i="1"/>
  <c r="AT79" i="1"/>
  <c r="AT92" i="1"/>
  <c r="AT125" i="1"/>
  <c r="AT126" i="1"/>
  <c r="AT127" i="1"/>
  <c r="AT128" i="1"/>
  <c r="AT156" i="1"/>
  <c r="AT114" i="1"/>
  <c r="AT31" i="1"/>
  <c r="AT191" i="1"/>
  <c r="AT94" i="1"/>
  <c r="AT36" i="1"/>
  <c r="AT135" i="1"/>
  <c r="AT38" i="1"/>
  <c r="AT137" i="1"/>
  <c r="AT178" i="1"/>
  <c r="AT40" i="1"/>
  <c r="AT140" i="1"/>
  <c r="AT145" i="1"/>
  <c r="AT142" i="1"/>
  <c r="AT143" i="1"/>
  <c r="AT179" i="1"/>
  <c r="AT157" i="1"/>
  <c r="AT181" i="1"/>
  <c r="AT147" i="1"/>
  <c r="AT115" i="1"/>
  <c r="AT146" i="1"/>
  <c r="AT73" i="1"/>
  <c r="AT41" i="1"/>
  <c r="AT152" i="1"/>
  <c r="AT153" i="1"/>
  <c r="AT116" i="1"/>
  <c r="AT155" i="1"/>
  <c r="AT129" i="1"/>
  <c r="AT158" i="1"/>
  <c r="AT43" i="1"/>
  <c r="AT159" i="1"/>
  <c r="AT96" i="1"/>
  <c r="AT161" i="1"/>
  <c r="AT160" i="1"/>
  <c r="AT163" i="1"/>
  <c r="AT74" i="1"/>
  <c r="AT172" i="1"/>
  <c r="AT44" i="1"/>
  <c r="AT167" i="1"/>
  <c r="AT168" i="1"/>
  <c r="AT162" i="1"/>
  <c r="AT170" i="1"/>
  <c r="AT197" i="1"/>
  <c r="AT75" i="1"/>
  <c r="AT186" i="1"/>
  <c r="AT164" i="1"/>
  <c r="AT117" i="1"/>
  <c r="AT176" i="1"/>
  <c r="AT177" i="1"/>
  <c r="AT136" i="1"/>
  <c r="AT45" i="1"/>
  <c r="AT180" i="1"/>
  <c r="AT188" i="1"/>
  <c r="AT182" i="1"/>
  <c r="AT183" i="1"/>
  <c r="AT184" i="1"/>
  <c r="AT185" i="1"/>
  <c r="AT47" i="1"/>
  <c r="AT187" i="1"/>
  <c r="AT149" i="1"/>
  <c r="AT148" i="1"/>
  <c r="AT49" i="1"/>
  <c r="AT120" i="1"/>
  <c r="AT192" i="1"/>
  <c r="AT193" i="1"/>
  <c r="AT194" i="1"/>
  <c r="AT195" i="1"/>
  <c r="AT51" i="1"/>
  <c r="AT53" i="1"/>
  <c r="AT198" i="1"/>
  <c r="AT199" i="1"/>
  <c r="AT55" i="1"/>
  <c r="AT207" i="1"/>
  <c r="AT202" i="1"/>
  <c r="AT123" i="1"/>
  <c r="AT165" i="1"/>
  <c r="AT166" i="1"/>
  <c r="AT99" i="1"/>
  <c r="AT56" i="1"/>
  <c r="AT58" i="1"/>
  <c r="AT59" i="1"/>
  <c r="AT61" i="1"/>
  <c r="AT211" i="1"/>
  <c r="AT60" i="1"/>
  <c r="AT213" i="1"/>
  <c r="AT214" i="1"/>
  <c r="AT215" i="1"/>
  <c r="AT216" i="1"/>
  <c r="AT217" i="1"/>
  <c r="AT218" i="1"/>
  <c r="AT219" i="1"/>
  <c r="AT220" i="1"/>
  <c r="AT174" i="1"/>
  <c r="BN190" i="1"/>
  <c r="BM190" i="1"/>
  <c r="BL190" i="1"/>
  <c r="BI190" i="1"/>
  <c r="BH190" i="1" s="1"/>
  <c r="BG190" i="1"/>
  <c r="BE190" i="1"/>
  <c r="BD190" i="1"/>
  <c r="BC190" i="1"/>
  <c r="BB190" i="1"/>
  <c r="BA190" i="1"/>
  <c r="AY190" i="1"/>
  <c r="AX190" i="1"/>
  <c r="AV190" i="1"/>
  <c r="AW190" i="1" s="1"/>
  <c r="AU190" i="1"/>
  <c r="AS190" i="1"/>
  <c r="AR190" i="1"/>
  <c r="BF190" i="1" s="1"/>
  <c r="BN189" i="1"/>
  <c r="BM189" i="1"/>
  <c r="BL189" i="1"/>
  <c r="BI189" i="1"/>
  <c r="BJ189" i="1" s="1"/>
  <c r="BG189" i="1"/>
  <c r="BE189" i="1"/>
  <c r="BD189" i="1"/>
  <c r="BC189" i="1"/>
  <c r="BB189" i="1"/>
  <c r="BA189" i="1"/>
  <c r="AY189" i="1"/>
  <c r="AX189" i="1"/>
  <c r="AV189" i="1"/>
  <c r="AZ189" i="1" s="1"/>
  <c r="AU189" i="1"/>
  <c r="AS189" i="1"/>
  <c r="AR189" i="1"/>
  <c r="BF189" i="1" s="1"/>
  <c r="BN39" i="1"/>
  <c r="BM39" i="1"/>
  <c r="BL39" i="1"/>
  <c r="BI39" i="1"/>
  <c r="BJ39" i="1" s="1"/>
  <c r="BG39" i="1"/>
  <c r="BE39" i="1"/>
  <c r="BD39" i="1"/>
  <c r="BC39" i="1"/>
  <c r="BB39" i="1"/>
  <c r="BA39" i="1"/>
  <c r="AY39" i="1"/>
  <c r="AX39" i="1"/>
  <c r="AV39" i="1"/>
  <c r="AZ39" i="1" s="1"/>
  <c r="AU39" i="1"/>
  <c r="AS39" i="1"/>
  <c r="AR39" i="1"/>
  <c r="BF39" i="1" s="1"/>
  <c r="BN205" i="1"/>
  <c r="BM205" i="1"/>
  <c r="BL205" i="1"/>
  <c r="BI205" i="1"/>
  <c r="BJ205" i="1" s="1"/>
  <c r="BG205" i="1"/>
  <c r="BE205" i="1"/>
  <c r="BD205" i="1"/>
  <c r="BC205" i="1"/>
  <c r="BB205" i="1"/>
  <c r="BA205" i="1"/>
  <c r="AY205" i="1"/>
  <c r="AX205" i="1"/>
  <c r="AV205" i="1"/>
  <c r="AW205" i="1" s="1"/>
  <c r="AU205" i="1"/>
  <c r="AS205" i="1"/>
  <c r="AR205" i="1"/>
  <c r="BF205" i="1" s="1"/>
  <c r="BN37" i="1"/>
  <c r="BM37" i="1"/>
  <c r="BL37" i="1"/>
  <c r="BI37" i="1"/>
  <c r="BJ37" i="1" s="1"/>
  <c r="BG37" i="1"/>
  <c r="BE37" i="1"/>
  <c r="BD37" i="1"/>
  <c r="BC37" i="1"/>
  <c r="BB37" i="1"/>
  <c r="BA37" i="1"/>
  <c r="AY37" i="1"/>
  <c r="AX37" i="1"/>
  <c r="AV37" i="1"/>
  <c r="AW37" i="1" s="1"/>
  <c r="AU37" i="1"/>
  <c r="AS37" i="1"/>
  <c r="AR37" i="1"/>
  <c r="AC39" i="1"/>
  <c r="AC205" i="1"/>
  <c r="AC37" i="1"/>
  <c r="X190" i="1"/>
  <c r="AC190" i="1" s="1"/>
  <c r="X189" i="1"/>
  <c r="AC189" i="1" s="1"/>
  <c r="BF37" i="1" l="1"/>
  <c r="X269" i="1" a="1"/>
  <c r="X269" i="1" s="1"/>
  <c r="E36" i="180" s="1"/>
  <c r="J29" i="180" s="1"/>
  <c r="X270" i="1" a="1"/>
  <c r="X270" i="1" s="1"/>
  <c r="E37" i="180" s="1"/>
  <c r="N284" i="1" a="1"/>
  <c r="N284" i="1" s="1"/>
  <c r="X284" i="1" s="1" a="1"/>
  <c r="X284" i="1" s="1"/>
  <c r="R279" i="1" a="1"/>
  <c r="R279" i="1" s="1"/>
  <c r="L12" i="180" s="1"/>
  <c r="N277" i="1" a="1"/>
  <c r="N277" i="1" s="1"/>
  <c r="X277" i="1" s="1" a="1"/>
  <c r="X277" i="1" s="1"/>
  <c r="J10" i="180" s="1"/>
  <c r="J284" i="1"/>
  <c r="I290" i="1" a="1"/>
  <c r="I290" i="1" s="1"/>
  <c r="I276" i="1" a="1"/>
  <c r="I276" i="1" s="1"/>
  <c r="H283" i="1"/>
  <c r="N283" i="1" a="1"/>
  <c r="N283" i="1" s="1"/>
  <c r="X283" i="1" s="1" a="1"/>
  <c r="X283" i="1" s="1"/>
  <c r="R278" i="1" a="1"/>
  <c r="R278" i="1" s="1"/>
  <c r="L11" i="180" s="1"/>
  <c r="N276" i="1" a="1"/>
  <c r="N276" i="1" s="1"/>
  <c r="X276" i="1" s="1" a="1"/>
  <c r="X276" i="1" s="1"/>
  <c r="J9" i="180" s="1"/>
  <c r="J283" i="1"/>
  <c r="I289" i="1" a="1"/>
  <c r="I289" i="1" s="1"/>
  <c r="I275" i="1" a="1"/>
  <c r="I275" i="1" s="1"/>
  <c r="H279" i="1"/>
  <c r="R285" i="1" a="1"/>
  <c r="R285" i="1" s="1"/>
  <c r="R277" i="1" a="1"/>
  <c r="R277" i="1" s="1"/>
  <c r="L10" i="180" s="1"/>
  <c r="N275" i="1" a="1"/>
  <c r="N275" i="1" s="1"/>
  <c r="X275" i="1" s="1" a="1"/>
  <c r="X275" i="1" s="1"/>
  <c r="J8" i="180" s="1"/>
  <c r="J279" i="1"/>
  <c r="I288" i="1" a="1"/>
  <c r="I288" i="1" s="1"/>
  <c r="I274" i="1" a="1"/>
  <c r="I274" i="1" s="1"/>
  <c r="H278" i="1"/>
  <c r="R284" i="1" a="1"/>
  <c r="R284" i="1" s="1"/>
  <c r="R276" i="1" a="1"/>
  <c r="R276" i="1" s="1"/>
  <c r="L9" i="180" s="1"/>
  <c r="N274" i="1" a="1"/>
  <c r="N274" i="1" s="1"/>
  <c r="X274" i="1" s="1" a="1"/>
  <c r="X274" i="1" s="1"/>
  <c r="J7" i="180" s="1"/>
  <c r="J278" i="1"/>
  <c r="I273" i="1" a="1"/>
  <c r="I273" i="1" s="1"/>
  <c r="H277" i="1"/>
  <c r="R283" i="1" a="1"/>
  <c r="R283" i="1" s="1"/>
  <c r="R275" i="1" a="1"/>
  <c r="R275" i="1" s="1"/>
  <c r="L8" i="180" s="1"/>
  <c r="N273" i="1" a="1"/>
  <c r="N273" i="1" s="1"/>
  <c r="X273" i="1" s="1" a="1"/>
  <c r="X273" i="1" s="1"/>
  <c r="J6" i="180" s="1"/>
  <c r="J277" i="1"/>
  <c r="I287" i="1" a="1"/>
  <c r="I287" i="1" s="1"/>
  <c r="I272" i="1" a="1"/>
  <c r="I272" i="1" s="1"/>
  <c r="H276" i="1"/>
  <c r="R274" i="1" a="1"/>
  <c r="R274" i="1" s="1"/>
  <c r="L7" i="180" s="1"/>
  <c r="N272" i="1" a="1"/>
  <c r="N272" i="1" s="1"/>
  <c r="X272" i="1" s="1" a="1"/>
  <c r="X272" i="1" s="1"/>
  <c r="J5" i="180" s="1"/>
  <c r="J276" i="1"/>
  <c r="I286" i="1" a="1"/>
  <c r="I286" i="1" s="1"/>
  <c r="H290" i="1"/>
  <c r="H275" i="1"/>
  <c r="I278" i="1" a="1"/>
  <c r="I278" i="1" s="1"/>
  <c r="N290" i="1" a="1"/>
  <c r="N290" i="1" s="1"/>
  <c r="X290" i="1" s="1" a="1"/>
  <c r="X290" i="1" s="1"/>
  <c r="O9" i="180" s="1"/>
  <c r="R273" i="1" a="1"/>
  <c r="R273" i="1" s="1"/>
  <c r="L6" i="180" s="1"/>
  <c r="J290" i="1"/>
  <c r="J275" i="1"/>
  <c r="I285" i="1" a="1"/>
  <c r="I285" i="1" s="1"/>
  <c r="H289" i="1"/>
  <c r="H274" i="1"/>
  <c r="H285" i="1"/>
  <c r="I277" i="1" a="1"/>
  <c r="I277" i="1" s="1"/>
  <c r="N289" i="1" a="1"/>
  <c r="N289" i="1" s="1"/>
  <c r="X289" i="1" s="1" a="1"/>
  <c r="X289" i="1" s="1"/>
  <c r="O8" i="180" s="1"/>
  <c r="R290" i="1" a="1"/>
  <c r="R290" i="1" s="1"/>
  <c r="Q9" i="180" s="1"/>
  <c r="R272" i="1" a="1"/>
  <c r="R272" i="1" s="1"/>
  <c r="L5" i="180" s="1"/>
  <c r="J289" i="1"/>
  <c r="J274" i="1"/>
  <c r="I284" i="1" a="1"/>
  <c r="I284" i="1" s="1"/>
  <c r="H288" i="1"/>
  <c r="H273" i="1"/>
  <c r="N288" i="1" a="1"/>
  <c r="N288" i="1" s="1"/>
  <c r="X288" i="1" s="1" a="1"/>
  <c r="X288" i="1" s="1"/>
  <c r="O7" i="180" s="1"/>
  <c r="R289" i="1" a="1"/>
  <c r="R289" i="1" s="1"/>
  <c r="Q8" i="180" s="1"/>
  <c r="J288" i="1"/>
  <c r="J273" i="1"/>
  <c r="I283" i="1" a="1"/>
  <c r="I283" i="1" s="1"/>
  <c r="H287" i="1"/>
  <c r="H272" i="1"/>
  <c r="H284" i="1"/>
  <c r="N287" i="1" a="1"/>
  <c r="N287" i="1" s="1"/>
  <c r="X287" i="1" s="1" a="1"/>
  <c r="X287" i="1" s="1"/>
  <c r="O6" i="180" s="1"/>
  <c r="R288" i="1" a="1"/>
  <c r="R288" i="1" s="1"/>
  <c r="Q7" i="180" s="1"/>
  <c r="J287" i="1"/>
  <c r="J272" i="1"/>
  <c r="I279" i="1" a="1"/>
  <c r="I279" i="1" s="1"/>
  <c r="H286" i="1"/>
  <c r="N286" i="1" a="1"/>
  <c r="N286" i="1" s="1"/>
  <c r="X286" i="1" s="1" a="1"/>
  <c r="X286" i="1" s="1"/>
  <c r="O5" i="180" s="1"/>
  <c r="R287" i="1" a="1"/>
  <c r="R287" i="1" s="1"/>
  <c r="Q6" i="180" s="1"/>
  <c r="N279" i="1" a="1"/>
  <c r="N279" i="1" s="1"/>
  <c r="X279" i="1" s="1" a="1"/>
  <c r="X279" i="1" s="1"/>
  <c r="J12" i="180" s="1"/>
  <c r="J286" i="1"/>
  <c r="N285" i="1" a="1"/>
  <c r="N285" i="1" s="1"/>
  <c r="X285" i="1" s="1" a="1"/>
  <c r="X285" i="1" s="1"/>
  <c r="R286" i="1" a="1"/>
  <c r="R286" i="1" s="1"/>
  <c r="Q5" i="180" s="1"/>
  <c r="N278" i="1" a="1"/>
  <c r="N278" i="1" s="1"/>
  <c r="X278" i="1" s="1" a="1"/>
  <c r="X278" i="1" s="1"/>
  <c r="J11" i="180" s="1"/>
  <c r="J285" i="1"/>
  <c r="BK101" i="1"/>
  <c r="U273" i="1" a="1"/>
  <c r="U273" i="1" s="1"/>
  <c r="AD289" i="1"/>
  <c r="AD278" i="1"/>
  <c r="AD277" i="1"/>
  <c r="U272" i="1" a="1"/>
  <c r="U272" i="1" s="1"/>
  <c r="AD288" i="1"/>
  <c r="AD287" i="1"/>
  <c r="AD286" i="1"/>
  <c r="AD285" i="1"/>
  <c r="AD284" i="1"/>
  <c r="AD283" i="1"/>
  <c r="AD276" i="1"/>
  <c r="U290" i="1" a="1"/>
  <c r="U290" i="1" s="1"/>
  <c r="AD275" i="1"/>
  <c r="U279" i="1" a="1"/>
  <c r="U279" i="1" s="1"/>
  <c r="U278" i="1" a="1"/>
  <c r="U278" i="1" s="1"/>
  <c r="U277" i="1" a="1"/>
  <c r="U277" i="1" s="1"/>
  <c r="AD274" i="1"/>
  <c r="U274" i="1" a="1"/>
  <c r="U274" i="1" s="1"/>
  <c r="AD290" i="1"/>
  <c r="U289" i="1" a="1"/>
  <c r="U289" i="1" s="1"/>
  <c r="U288" i="1" a="1"/>
  <c r="U288" i="1" s="1"/>
  <c r="U287" i="1" a="1"/>
  <c r="U287" i="1" s="1"/>
  <c r="U286" i="1" a="1"/>
  <c r="U286" i="1" s="1"/>
  <c r="U285" i="1" a="1"/>
  <c r="U285" i="1" s="1"/>
  <c r="U284" i="1" a="1"/>
  <c r="U284" i="1" s="1"/>
  <c r="U283" i="1" a="1"/>
  <c r="U283" i="1" s="1"/>
  <c r="U276" i="1" a="1"/>
  <c r="U276" i="1" s="1"/>
  <c r="AD273" i="1"/>
  <c r="AD272" i="1"/>
  <c r="AD279" i="1"/>
  <c r="U275" i="1" a="1"/>
  <c r="U275" i="1" s="1"/>
  <c r="P268" i="1" a="1"/>
  <c r="P268" i="1" s="1"/>
  <c r="H268" i="1"/>
  <c r="C35" i="180" s="1"/>
  <c r="Q268" i="1" a="1"/>
  <c r="Q268" i="1" s="1"/>
  <c r="AD268" i="1"/>
  <c r="I268" i="1" a="1"/>
  <c r="I268" i="1" s="1"/>
  <c r="R268" i="1" a="1"/>
  <c r="R268" i="1" s="1"/>
  <c r="G35" i="180" s="1"/>
  <c r="L30" i="180" s="1"/>
  <c r="J268" i="1"/>
  <c r="D35" i="180" s="1"/>
  <c r="S268" i="1" a="1"/>
  <c r="S268" i="1" s="1"/>
  <c r="N268" i="1" a="1"/>
  <c r="N268" i="1" s="1"/>
  <c r="X268" i="1" s="1" a="1"/>
  <c r="X268" i="1" s="1"/>
  <c r="E35" i="180" s="1"/>
  <c r="J30" i="180" s="1"/>
  <c r="U268" i="1" a="1"/>
  <c r="U268" i="1" s="1"/>
  <c r="O268" i="1" a="1"/>
  <c r="O268" i="1" s="1"/>
  <c r="AD265" i="1"/>
  <c r="AD262" i="1"/>
  <c r="AD264" i="1"/>
  <c r="AD263" i="1"/>
  <c r="AD261" i="1"/>
  <c r="AD267" i="1"/>
  <c r="AD266" i="1"/>
  <c r="T37" i="1"/>
  <c r="BK37" i="1" s="1"/>
  <c r="T39" i="1"/>
  <c r="BK39" i="1" s="1"/>
  <c r="T189" i="1"/>
  <c r="BK189" i="1" s="1"/>
  <c r="T205" i="1"/>
  <c r="BK205" i="1" s="1"/>
  <c r="T190" i="1"/>
  <c r="BK190" i="1" s="1"/>
  <c r="J264" i="1"/>
  <c r="D31" i="180" s="1"/>
  <c r="R261" i="1" a="1"/>
  <c r="R261" i="1" s="1"/>
  <c r="G28" i="180" s="1"/>
  <c r="J266" i="1"/>
  <c r="D33" i="180" s="1"/>
  <c r="I263" i="1" a="1"/>
  <c r="I263" i="1" s="1"/>
  <c r="N265" i="1" a="1"/>
  <c r="N265" i="1" s="1"/>
  <c r="X265" i="1" s="1" a="1"/>
  <c r="X265" i="1" s="1"/>
  <c r="E32" i="180" s="1"/>
  <c r="J33" i="180" s="1"/>
  <c r="O265" i="1" a="1"/>
  <c r="O265" i="1" s="1"/>
  <c r="P266" i="1" a="1"/>
  <c r="P266" i="1" s="1"/>
  <c r="Q267" i="1" a="1"/>
  <c r="Q267" i="1" s="1"/>
  <c r="I264" i="1" a="1"/>
  <c r="I264" i="1" s="1"/>
  <c r="J265" i="1"/>
  <c r="D32" i="180" s="1"/>
  <c r="O266" i="1" a="1"/>
  <c r="O266" i="1" s="1"/>
  <c r="P267" i="1" a="1"/>
  <c r="P267" i="1" s="1"/>
  <c r="N266" i="1" a="1"/>
  <c r="N266" i="1" s="1"/>
  <c r="X266" i="1" s="1" a="1"/>
  <c r="X266" i="1" s="1"/>
  <c r="E33" i="180" s="1"/>
  <c r="J32" i="180" s="1"/>
  <c r="U264" i="1" a="1"/>
  <c r="U264" i="1" s="1"/>
  <c r="S262" i="1" a="1"/>
  <c r="S262" i="1" s="1"/>
  <c r="U263" i="1" a="1"/>
  <c r="U263" i="1" s="1"/>
  <c r="S261" i="1" a="1"/>
  <c r="S261" i="1" s="1"/>
  <c r="S263" i="1" a="1"/>
  <c r="S263" i="1" s="1"/>
  <c r="U262" i="1" a="1"/>
  <c r="U262" i="1" s="1"/>
  <c r="U266" i="1" a="1"/>
  <c r="U266" i="1" s="1"/>
  <c r="U265" i="1" a="1"/>
  <c r="U265" i="1" s="1"/>
  <c r="U261" i="1" a="1"/>
  <c r="U261" i="1" s="1"/>
  <c r="S267" i="1" a="1"/>
  <c r="S267" i="1" s="1"/>
  <c r="S266" i="1" a="1"/>
  <c r="S266" i="1" s="1"/>
  <c r="U267" i="1" a="1"/>
  <c r="U267" i="1" s="1"/>
  <c r="S265" i="1" a="1"/>
  <c r="S265" i="1" s="1"/>
  <c r="S264" i="1" a="1"/>
  <c r="S264" i="1" s="1"/>
  <c r="I266" i="1" a="1"/>
  <c r="I266" i="1" s="1"/>
  <c r="J267" i="1"/>
  <c r="D34" i="180" s="1"/>
  <c r="N267" i="1" a="1"/>
  <c r="N267" i="1" s="1"/>
  <c r="X267" i="1" s="1" a="1"/>
  <c r="X267" i="1" s="1"/>
  <c r="E34" i="180" s="1"/>
  <c r="J31" i="180" s="1"/>
  <c r="P261" i="1" a="1"/>
  <c r="P261" i="1" s="1"/>
  <c r="Q262" i="1" a="1"/>
  <c r="Q262" i="1" s="1"/>
  <c r="R263" i="1" a="1"/>
  <c r="R263" i="1" s="1"/>
  <c r="G30" i="180" s="1"/>
  <c r="L35" i="180" s="1"/>
  <c r="R262" i="1" a="1"/>
  <c r="R262" i="1" s="1"/>
  <c r="G29" i="180" s="1"/>
  <c r="I267" i="1" a="1"/>
  <c r="I267" i="1" s="1"/>
  <c r="N261" i="1" a="1"/>
  <c r="N261" i="1" s="1"/>
  <c r="X261" i="1" s="1" a="1"/>
  <c r="X261" i="1" s="1"/>
  <c r="E28" i="180" s="1"/>
  <c r="O261" i="1" a="1"/>
  <c r="O261" i="1" s="1"/>
  <c r="P262" i="1" a="1"/>
  <c r="P262" i="1" s="1"/>
  <c r="Q263" i="1" a="1"/>
  <c r="Q263" i="1" s="1"/>
  <c r="R264" i="1" a="1"/>
  <c r="R264" i="1" s="1"/>
  <c r="G31" i="180" s="1"/>
  <c r="L34" i="180" s="1"/>
  <c r="Q261" i="1" a="1"/>
  <c r="Q261" i="1" s="1"/>
  <c r="H266" i="1"/>
  <c r="C33" i="180" s="1"/>
  <c r="J261" i="1"/>
  <c r="D28" i="180" s="1"/>
  <c r="N262" i="1" a="1"/>
  <c r="N262" i="1" s="1"/>
  <c r="X262" i="1" s="1" a="1"/>
  <c r="X262" i="1" s="1"/>
  <c r="E29" i="180" s="1"/>
  <c r="O262" i="1" a="1"/>
  <c r="O262" i="1" s="1"/>
  <c r="P263" i="1" a="1"/>
  <c r="P263" i="1" s="1"/>
  <c r="Q264" i="1" a="1"/>
  <c r="Q264" i="1" s="1"/>
  <c r="R265" i="1" a="1"/>
  <c r="R265" i="1" s="1"/>
  <c r="G32" i="180" s="1"/>
  <c r="L33" i="180" s="1"/>
  <c r="O267" i="1" a="1"/>
  <c r="O267" i="1" s="1"/>
  <c r="I261" i="1" a="1"/>
  <c r="I261" i="1" s="1"/>
  <c r="J262" i="1"/>
  <c r="D29" i="180" s="1"/>
  <c r="N263" i="1" a="1"/>
  <c r="N263" i="1" s="1"/>
  <c r="X263" i="1" s="1" a="1"/>
  <c r="X263" i="1" s="1"/>
  <c r="E30" i="180" s="1"/>
  <c r="J35" i="180" s="1"/>
  <c r="O263" i="1" a="1"/>
  <c r="O263" i="1" s="1"/>
  <c r="P264" i="1" a="1"/>
  <c r="P264" i="1" s="1"/>
  <c r="Q265" i="1" a="1"/>
  <c r="Q265" i="1" s="1"/>
  <c r="R266" i="1" a="1"/>
  <c r="R266" i="1" s="1"/>
  <c r="G33" i="180" s="1"/>
  <c r="L32" i="180" s="1"/>
  <c r="I265" i="1" a="1"/>
  <c r="I265" i="1" s="1"/>
  <c r="I262" i="1" a="1"/>
  <c r="I262" i="1" s="1"/>
  <c r="J263" i="1"/>
  <c r="D30" i="180" s="1"/>
  <c r="N264" i="1" a="1"/>
  <c r="N264" i="1" s="1"/>
  <c r="X264" i="1" s="1" a="1"/>
  <c r="X264" i="1" s="1"/>
  <c r="E31" i="180" s="1"/>
  <c r="J34" i="180" s="1"/>
  <c r="O264" i="1" a="1"/>
  <c r="O264" i="1" s="1"/>
  <c r="P265" i="1" a="1"/>
  <c r="P265" i="1" s="1"/>
  <c r="Q266" i="1" a="1"/>
  <c r="Q266" i="1" s="1"/>
  <c r="R267" i="1" a="1"/>
  <c r="R267" i="1" s="1"/>
  <c r="G34" i="180" s="1"/>
  <c r="L31" i="180" s="1"/>
  <c r="H267" i="1"/>
  <c r="C34" i="180" s="1"/>
  <c r="H261" i="1"/>
  <c r="C28" i="180" s="1"/>
  <c r="H262" i="1"/>
  <c r="C29" i="180" s="1"/>
  <c r="Z269" i="1"/>
  <c r="H263" i="1"/>
  <c r="C30" i="180" s="1"/>
  <c r="H264" i="1"/>
  <c r="C31" i="180" s="1"/>
  <c r="H265" i="1"/>
  <c r="C32" i="180" s="1"/>
  <c r="AZ205" i="1"/>
  <c r="BH39" i="1"/>
  <c r="BJ190" i="1"/>
  <c r="AW39" i="1"/>
  <c r="BH37" i="1"/>
  <c r="BH205" i="1"/>
  <c r="BH189" i="1"/>
  <c r="AZ190" i="1"/>
  <c r="AW189" i="1"/>
  <c r="AZ37" i="1"/>
  <c r="AR42" i="1"/>
  <c r="BF42" i="1" s="1"/>
  <c r="AS42" i="1"/>
  <c r="AU42" i="1"/>
  <c r="AV42" i="1"/>
  <c r="AW42" i="1" s="1"/>
  <c r="AX42" i="1"/>
  <c r="AY42" i="1"/>
  <c r="BA42" i="1"/>
  <c r="BB42" i="1"/>
  <c r="BC42" i="1"/>
  <c r="BD42" i="1"/>
  <c r="BE42" i="1"/>
  <c r="BG42" i="1"/>
  <c r="BI42" i="1"/>
  <c r="BJ42" i="1" s="1"/>
  <c r="BL42" i="1"/>
  <c r="BM42" i="1"/>
  <c r="BN42" i="1"/>
  <c r="AR102" i="1"/>
  <c r="BF102" i="1" s="1"/>
  <c r="AS102" i="1"/>
  <c r="AU102" i="1"/>
  <c r="AV102" i="1"/>
  <c r="AW102" i="1" s="1"/>
  <c r="AX102" i="1"/>
  <c r="AY102" i="1"/>
  <c r="BA102" i="1"/>
  <c r="BB102" i="1"/>
  <c r="BC102" i="1"/>
  <c r="BD102" i="1"/>
  <c r="BE102" i="1"/>
  <c r="BG102" i="1"/>
  <c r="BI102" i="1"/>
  <c r="BH102" i="1" s="1"/>
  <c r="BL102" i="1"/>
  <c r="BM102" i="1"/>
  <c r="BN102" i="1"/>
  <c r="AR171" i="1"/>
  <c r="BF171" i="1" s="1"/>
  <c r="AS171" i="1"/>
  <c r="AU171" i="1"/>
  <c r="AV171" i="1"/>
  <c r="AW171" i="1" s="1"/>
  <c r="AX171" i="1"/>
  <c r="AY171" i="1"/>
  <c r="BA171" i="1"/>
  <c r="BB171" i="1"/>
  <c r="BC171" i="1"/>
  <c r="BD171" i="1"/>
  <c r="BE171" i="1"/>
  <c r="BG171" i="1"/>
  <c r="BI171" i="1"/>
  <c r="BH171" i="1" s="1"/>
  <c r="BL171" i="1"/>
  <c r="BM171" i="1"/>
  <c r="BN171" i="1"/>
  <c r="AR82" i="1"/>
  <c r="BF82" i="1" s="1"/>
  <c r="AS82" i="1"/>
  <c r="AU82" i="1"/>
  <c r="AV82" i="1"/>
  <c r="AZ82" i="1" s="1"/>
  <c r="AX82" i="1"/>
  <c r="AY82" i="1"/>
  <c r="BA82" i="1"/>
  <c r="BB82" i="1"/>
  <c r="BC82" i="1"/>
  <c r="BD82" i="1"/>
  <c r="BE82" i="1"/>
  <c r="BG82" i="1"/>
  <c r="BI82" i="1"/>
  <c r="BJ82" i="1" s="1"/>
  <c r="BL82" i="1"/>
  <c r="BM82" i="1"/>
  <c r="BN82" i="1"/>
  <c r="AR46" i="1"/>
  <c r="BF46" i="1" s="1"/>
  <c r="AS46" i="1"/>
  <c r="AU46" i="1"/>
  <c r="AV46" i="1"/>
  <c r="AW46" i="1" s="1"/>
  <c r="AX46" i="1"/>
  <c r="AY46" i="1"/>
  <c r="BA46" i="1"/>
  <c r="BB46" i="1"/>
  <c r="BC46" i="1"/>
  <c r="BD46" i="1"/>
  <c r="BE46" i="1"/>
  <c r="BG46" i="1"/>
  <c r="BI46" i="1"/>
  <c r="BH46" i="1" s="1"/>
  <c r="BL46" i="1"/>
  <c r="BM46" i="1"/>
  <c r="BN46" i="1"/>
  <c r="AR206" i="1"/>
  <c r="BF206" i="1" s="1"/>
  <c r="AS206" i="1"/>
  <c r="AU206" i="1"/>
  <c r="AV206" i="1"/>
  <c r="AW206" i="1" s="1"/>
  <c r="AX206" i="1"/>
  <c r="AY206" i="1"/>
  <c r="BA206" i="1"/>
  <c r="BB206" i="1"/>
  <c r="BC206" i="1"/>
  <c r="BD206" i="1"/>
  <c r="BE206" i="1"/>
  <c r="BG206" i="1"/>
  <c r="BI206" i="1"/>
  <c r="BH206" i="1" s="1"/>
  <c r="BL206" i="1"/>
  <c r="BM206" i="1"/>
  <c r="BN206" i="1"/>
  <c r="AR48" i="1"/>
  <c r="BF48" i="1" s="1"/>
  <c r="AS48" i="1"/>
  <c r="AU48" i="1"/>
  <c r="AV48" i="1"/>
  <c r="AW48" i="1" s="1"/>
  <c r="AX48" i="1"/>
  <c r="AY48" i="1"/>
  <c r="BA48" i="1"/>
  <c r="BB48" i="1"/>
  <c r="BC48" i="1"/>
  <c r="BD48" i="1"/>
  <c r="BE48" i="1"/>
  <c r="BG48" i="1"/>
  <c r="BI48" i="1"/>
  <c r="BH48" i="1" s="1"/>
  <c r="BL48" i="1"/>
  <c r="BM48" i="1"/>
  <c r="BN48" i="1"/>
  <c r="AR107" i="1"/>
  <c r="BF107" i="1" s="1"/>
  <c r="AS107" i="1"/>
  <c r="AU107" i="1"/>
  <c r="AV107" i="1"/>
  <c r="AZ107" i="1" s="1"/>
  <c r="AX107" i="1"/>
  <c r="AY107" i="1"/>
  <c r="BA107" i="1"/>
  <c r="BB107" i="1"/>
  <c r="BC107" i="1"/>
  <c r="BD107" i="1"/>
  <c r="BE107" i="1"/>
  <c r="BG107" i="1"/>
  <c r="BI107" i="1"/>
  <c r="BJ107" i="1" s="1"/>
  <c r="BL107" i="1"/>
  <c r="BM107" i="1"/>
  <c r="BN107" i="1"/>
  <c r="AR50" i="1"/>
  <c r="BF50" i="1" s="1"/>
  <c r="AS50" i="1"/>
  <c r="AU50" i="1"/>
  <c r="AV50" i="1"/>
  <c r="AW50" i="1" s="1"/>
  <c r="AX50" i="1"/>
  <c r="AY50" i="1"/>
  <c r="BA50" i="1"/>
  <c r="BB50" i="1"/>
  <c r="BC50" i="1"/>
  <c r="BD50" i="1"/>
  <c r="BE50" i="1"/>
  <c r="BG50" i="1"/>
  <c r="BI50" i="1"/>
  <c r="BH50" i="1" s="1"/>
  <c r="BL50" i="1"/>
  <c r="BM50" i="1"/>
  <c r="BN50" i="1"/>
  <c r="Q13" i="177"/>
  <c r="Q11" i="177"/>
  <c r="Q10" i="177"/>
  <c r="Q9" i="177"/>
  <c r="Q8" i="177"/>
  <c r="Q7" i="177"/>
  <c r="Q6" i="177"/>
  <c r="Q5" i="177"/>
  <c r="Q4" i="177"/>
  <c r="AC50" i="1"/>
  <c r="T50" i="1" s="1"/>
  <c r="BK50" i="1" s="1"/>
  <c r="AC107" i="1"/>
  <c r="T107" i="1" s="1"/>
  <c r="BK107" i="1" s="1"/>
  <c r="AC48" i="1"/>
  <c r="T48" i="1" s="1"/>
  <c r="BK48" i="1" s="1"/>
  <c r="AC206" i="1"/>
  <c r="T206" i="1" s="1"/>
  <c r="BK206" i="1" s="1"/>
  <c r="AC46" i="1"/>
  <c r="T46" i="1" s="1"/>
  <c r="BK46" i="1" s="1"/>
  <c r="AC82" i="1"/>
  <c r="T82" i="1" s="1"/>
  <c r="BK82" i="1" s="1"/>
  <c r="AC171" i="1"/>
  <c r="T171" i="1" s="1"/>
  <c r="BK171" i="1" s="1"/>
  <c r="AC102" i="1"/>
  <c r="T102" i="1" s="1"/>
  <c r="BK102" i="1" s="1"/>
  <c r="AC42" i="1"/>
  <c r="T42" i="1" s="1"/>
  <c r="BK42" i="1" s="1"/>
  <c r="AE13" i="177"/>
  <c r="AE11" i="177"/>
  <c r="AE10" i="177"/>
  <c r="AE9" i="177"/>
  <c r="AE8" i="177"/>
  <c r="AE7" i="177"/>
  <c r="AE6" i="177"/>
  <c r="AE5" i="177"/>
  <c r="AE4" i="177"/>
  <c r="L67" i="1"/>
  <c r="L66" i="1"/>
  <c r="L200" i="1"/>
  <c r="L20" i="1"/>
  <c r="L131" i="1"/>
  <c r="L208" i="1"/>
  <c r="L17" i="1"/>
  <c r="L212" i="1"/>
  <c r="L11" i="1"/>
  <c r="L64" i="1"/>
  <c r="L57" i="1"/>
  <c r="L124" i="1"/>
  <c r="L138" i="1"/>
  <c r="L54" i="1"/>
  <c r="L108" i="1"/>
  <c r="L52" i="1"/>
  <c r="L63" i="1"/>
  <c r="K67" i="1"/>
  <c r="K66" i="1"/>
  <c r="K200" i="1"/>
  <c r="K20" i="1"/>
  <c r="K131" i="1"/>
  <c r="K208" i="1"/>
  <c r="K17" i="1"/>
  <c r="K212" i="1"/>
  <c r="K11" i="1"/>
  <c r="K64" i="1"/>
  <c r="K57" i="1"/>
  <c r="K124" i="1"/>
  <c r="K138" i="1"/>
  <c r="K54" i="1"/>
  <c r="K108" i="1"/>
  <c r="K52" i="1"/>
  <c r="K63" i="1"/>
  <c r="E21" i="180" l="1"/>
  <c r="J28" i="180"/>
  <c r="AD280" i="1"/>
  <c r="J280" i="1"/>
  <c r="AD291" i="1"/>
  <c r="J291" i="1"/>
  <c r="H280" i="1"/>
  <c r="H269" i="1"/>
  <c r="C36" i="180" s="1"/>
  <c r="C37" i="180" s="1"/>
  <c r="H291" i="1"/>
  <c r="AD269" i="1"/>
  <c r="J269" i="1"/>
  <c r="D36" i="180" s="1"/>
  <c r="D37" i="180" s="1"/>
  <c r="Z268" i="1"/>
  <c r="Z266" i="1"/>
  <c r="AW82" i="1"/>
  <c r="BJ102" i="1"/>
  <c r="AW107" i="1"/>
  <c r="BH42" i="1"/>
  <c r="BJ48" i="1"/>
  <c r="M131" i="1"/>
  <c r="AZ50" i="1"/>
  <c r="BJ171" i="1"/>
  <c r="BJ50" i="1"/>
  <c r="BJ46" i="1"/>
  <c r="AZ42" i="1"/>
  <c r="AZ46" i="1"/>
  <c r="BH107" i="1"/>
  <c r="BJ206" i="1"/>
  <c r="BH82" i="1"/>
  <c r="AZ206" i="1"/>
  <c r="AZ102" i="1"/>
  <c r="AZ48" i="1"/>
  <c r="AZ171" i="1"/>
  <c r="M138" i="1"/>
  <c r="M64" i="1"/>
  <c r="M66" i="1"/>
  <c r="M20" i="1"/>
  <c r="M200" i="1"/>
  <c r="M63" i="1"/>
  <c r="M11" i="1"/>
  <c r="M67" i="1"/>
  <c r="M124" i="1"/>
  <c r="M57" i="1"/>
  <c r="M52" i="1"/>
  <c r="M212" i="1"/>
  <c r="M108" i="1"/>
  <c r="M17" i="1"/>
  <c r="M54" i="1"/>
  <c r="M208" i="1"/>
  <c r="M2" i="1" l="1"/>
  <c r="X1" i="1"/>
  <c r="Z1" i="1" s="1"/>
  <c r="AE1" i="1" l="1"/>
  <c r="A114" i="165"/>
  <c r="A71" i="165"/>
  <c r="A46" i="165"/>
  <c r="A5" i="165"/>
  <c r="A26" i="165"/>
  <c r="U226" i="1" a="1"/>
  <c r="U226" i="1" s="1"/>
  <c r="S226" i="1" a="1"/>
  <c r="S226" i="1" s="1"/>
  <c r="I5" i="165" s="1"/>
  <c r="R226" i="1" a="1"/>
  <c r="R226" i="1" s="1"/>
  <c r="H5" i="165" s="1"/>
  <c r="Q226" i="1" a="1"/>
  <c r="Q226" i="1" s="1"/>
  <c r="G5" i="165" s="1"/>
  <c r="P226" i="1" a="1"/>
  <c r="P226" i="1" s="1"/>
  <c r="N226" i="1" a="1"/>
  <c r="N226" i="1" s="1"/>
  <c r="X226" i="1" s="1" a="1"/>
  <c r="X226" i="1" s="1"/>
  <c r="J5" i="165" s="1"/>
  <c r="J226" i="1"/>
  <c r="D5" i="165" s="1"/>
  <c r="I226" i="1" a="1"/>
  <c r="I226" i="1" s="1"/>
  <c r="C5" i="165" s="1"/>
  <c r="H226" i="1"/>
  <c r="B5" i="165" s="1"/>
  <c r="U313" i="1" a="1"/>
  <c r="U313" i="1" s="1"/>
  <c r="S313" i="1" a="1"/>
  <c r="S313" i="1" s="1"/>
  <c r="I46" i="165" s="1"/>
  <c r="R313" i="1" a="1"/>
  <c r="R313" i="1" s="1"/>
  <c r="H46" i="165" s="1"/>
  <c r="Q313" i="1" a="1"/>
  <c r="Q313" i="1" s="1"/>
  <c r="G46" i="165" s="1"/>
  <c r="P313" i="1" a="1"/>
  <c r="P313" i="1" s="1"/>
  <c r="N313" i="1" a="1"/>
  <c r="N313" i="1" s="1"/>
  <c r="X313" i="1" s="1" a="1"/>
  <c r="X313" i="1" s="1"/>
  <c r="J46" i="165" s="1"/>
  <c r="J313" i="1"/>
  <c r="D46" i="165" s="1"/>
  <c r="I313" i="1" a="1"/>
  <c r="I313" i="1" s="1"/>
  <c r="C46" i="165" s="1"/>
  <c r="H313" i="1"/>
  <c r="B46" i="165" s="1"/>
  <c r="E46" i="165" l="1"/>
  <c r="E5" i="165"/>
  <c r="O313" i="1" a="1"/>
  <c r="O313" i="1" s="1"/>
  <c r="O226" i="1" a="1"/>
  <c r="O226" i="1" s="1"/>
  <c r="Z226" i="1" l="1"/>
  <c r="K5" i="165" s="1"/>
  <c r="F5" i="165"/>
  <c r="Z313" i="1"/>
  <c r="K46" i="165" s="1"/>
  <c r="F46" i="165"/>
  <c r="BN67" i="1" l="1"/>
  <c r="BM67" i="1"/>
  <c r="BL67" i="1"/>
  <c r="BI67" i="1"/>
  <c r="BJ67" i="1" s="1"/>
  <c r="BG67" i="1"/>
  <c r="BE67" i="1"/>
  <c r="BD67" i="1"/>
  <c r="BC67" i="1"/>
  <c r="BB67" i="1"/>
  <c r="BA67" i="1"/>
  <c r="AY67" i="1"/>
  <c r="AX67" i="1"/>
  <c r="AV67" i="1"/>
  <c r="AZ67" i="1" s="1"/>
  <c r="AU67" i="1"/>
  <c r="AS67" i="1"/>
  <c r="AR67" i="1"/>
  <c r="BF67" i="1" s="1"/>
  <c r="BN66" i="1"/>
  <c r="BM66" i="1"/>
  <c r="BL66" i="1"/>
  <c r="BI66" i="1"/>
  <c r="BJ66" i="1" s="1"/>
  <c r="BG66" i="1"/>
  <c r="BE66" i="1"/>
  <c r="BD66" i="1"/>
  <c r="BC66" i="1"/>
  <c r="BB66" i="1"/>
  <c r="BA66" i="1"/>
  <c r="AY66" i="1"/>
  <c r="AX66" i="1"/>
  <c r="AV66" i="1"/>
  <c r="AW66" i="1" s="1"/>
  <c r="AU66" i="1"/>
  <c r="AS66" i="1"/>
  <c r="AR66" i="1"/>
  <c r="BF66" i="1" s="1"/>
  <c r="BN200" i="1"/>
  <c r="BM200" i="1"/>
  <c r="BL200" i="1"/>
  <c r="BI200" i="1"/>
  <c r="BH200" i="1" s="1"/>
  <c r="BG200" i="1"/>
  <c r="BE200" i="1"/>
  <c r="BD200" i="1"/>
  <c r="BC200" i="1"/>
  <c r="BB200" i="1"/>
  <c r="BA200" i="1"/>
  <c r="AY200" i="1"/>
  <c r="AX200" i="1"/>
  <c r="AV200" i="1"/>
  <c r="AZ200" i="1" s="1"/>
  <c r="AU200" i="1"/>
  <c r="AS200" i="1"/>
  <c r="AR200" i="1"/>
  <c r="BF200" i="1" s="1"/>
  <c r="BN20" i="1"/>
  <c r="BM20" i="1"/>
  <c r="BL20" i="1"/>
  <c r="BI20" i="1"/>
  <c r="BJ20" i="1" s="1"/>
  <c r="BG20" i="1"/>
  <c r="BE20" i="1"/>
  <c r="BD20" i="1"/>
  <c r="BC20" i="1"/>
  <c r="BB20" i="1"/>
  <c r="BA20" i="1"/>
  <c r="AY20" i="1"/>
  <c r="AX20" i="1"/>
  <c r="AV20" i="1"/>
  <c r="AW20" i="1" s="1"/>
  <c r="AU20" i="1"/>
  <c r="AS20" i="1"/>
  <c r="AR20" i="1"/>
  <c r="BF20" i="1" s="1"/>
  <c r="BN131" i="1"/>
  <c r="BM131" i="1"/>
  <c r="BL131" i="1"/>
  <c r="BI131" i="1"/>
  <c r="BH131" i="1" s="1"/>
  <c r="BG131" i="1"/>
  <c r="BE131" i="1"/>
  <c r="BD131" i="1"/>
  <c r="BC131" i="1"/>
  <c r="BB131" i="1"/>
  <c r="BA131" i="1"/>
  <c r="AY131" i="1"/>
  <c r="AX131" i="1"/>
  <c r="AV131" i="1"/>
  <c r="AZ131" i="1" s="1"/>
  <c r="AU131" i="1"/>
  <c r="AS131" i="1"/>
  <c r="AR131" i="1"/>
  <c r="BF131" i="1" s="1"/>
  <c r="BN208" i="1"/>
  <c r="BM208" i="1"/>
  <c r="BL208" i="1"/>
  <c r="BI208" i="1"/>
  <c r="BJ208" i="1" s="1"/>
  <c r="BG208" i="1"/>
  <c r="BE208" i="1"/>
  <c r="BD208" i="1"/>
  <c r="BC208" i="1"/>
  <c r="BB208" i="1"/>
  <c r="BA208" i="1"/>
  <c r="AY208" i="1"/>
  <c r="AX208" i="1"/>
  <c r="AV208" i="1"/>
  <c r="AZ208" i="1" s="1"/>
  <c r="AU208" i="1"/>
  <c r="AS208" i="1"/>
  <c r="AR208" i="1"/>
  <c r="BF208" i="1" s="1"/>
  <c r="BN17" i="1"/>
  <c r="BM17" i="1"/>
  <c r="BL17" i="1"/>
  <c r="BI17" i="1"/>
  <c r="BH17" i="1" s="1"/>
  <c r="BG17" i="1"/>
  <c r="BE17" i="1"/>
  <c r="BD17" i="1"/>
  <c r="BC17" i="1"/>
  <c r="BB17" i="1"/>
  <c r="BA17" i="1"/>
  <c r="AY17" i="1"/>
  <c r="AX17" i="1"/>
  <c r="AV17" i="1"/>
  <c r="AW17" i="1" s="1"/>
  <c r="AU17" i="1"/>
  <c r="AS17" i="1"/>
  <c r="AR17" i="1"/>
  <c r="BF17" i="1" s="1"/>
  <c r="BN212" i="1"/>
  <c r="BM212" i="1"/>
  <c r="BL212" i="1"/>
  <c r="BI212" i="1"/>
  <c r="BJ212" i="1" s="1"/>
  <c r="BG212" i="1"/>
  <c r="BE212" i="1"/>
  <c r="BD212" i="1"/>
  <c r="BC212" i="1"/>
  <c r="BB212" i="1"/>
  <c r="BA212" i="1"/>
  <c r="AY212" i="1"/>
  <c r="AX212" i="1"/>
  <c r="AV212" i="1"/>
  <c r="AW212" i="1" s="1"/>
  <c r="AU212" i="1"/>
  <c r="AS212" i="1"/>
  <c r="AR212" i="1"/>
  <c r="BF212" i="1" s="1"/>
  <c r="BN11" i="1"/>
  <c r="BM11" i="1"/>
  <c r="BL11" i="1"/>
  <c r="BI11" i="1"/>
  <c r="BJ11" i="1" s="1"/>
  <c r="BG11" i="1"/>
  <c r="BE11" i="1"/>
  <c r="BD11" i="1"/>
  <c r="BC11" i="1"/>
  <c r="BB11" i="1"/>
  <c r="BA11" i="1"/>
  <c r="AY11" i="1"/>
  <c r="AX11" i="1"/>
  <c r="AV11" i="1"/>
  <c r="AZ11" i="1" s="1"/>
  <c r="AU11" i="1"/>
  <c r="AS11" i="1"/>
  <c r="AR11" i="1"/>
  <c r="BN64" i="1"/>
  <c r="BM64" i="1"/>
  <c r="BL64" i="1"/>
  <c r="BI64" i="1"/>
  <c r="BH64" i="1" s="1"/>
  <c r="BG64" i="1"/>
  <c r="BE64" i="1"/>
  <c r="BD64" i="1"/>
  <c r="BC64" i="1"/>
  <c r="BB64" i="1"/>
  <c r="BA64" i="1"/>
  <c r="AY64" i="1"/>
  <c r="AX64" i="1"/>
  <c r="AV64" i="1"/>
  <c r="AW64" i="1" s="1"/>
  <c r="AU64" i="1"/>
  <c r="AS64" i="1"/>
  <c r="AR64" i="1"/>
  <c r="BF64" i="1" s="1"/>
  <c r="BN57" i="1"/>
  <c r="BM57" i="1"/>
  <c r="BL57" i="1"/>
  <c r="BI57" i="1"/>
  <c r="BH57" i="1" s="1"/>
  <c r="BG57" i="1"/>
  <c r="BE57" i="1"/>
  <c r="BD57" i="1"/>
  <c r="BC57" i="1"/>
  <c r="BB57" i="1"/>
  <c r="BA57" i="1"/>
  <c r="AY57" i="1"/>
  <c r="AX57" i="1"/>
  <c r="AV57" i="1"/>
  <c r="AW57" i="1" s="1"/>
  <c r="AU57" i="1"/>
  <c r="AS57" i="1"/>
  <c r="AR57" i="1"/>
  <c r="BF57" i="1" s="1"/>
  <c r="BN124" i="1"/>
  <c r="BM124" i="1"/>
  <c r="BL124" i="1"/>
  <c r="BI124" i="1"/>
  <c r="BJ124" i="1" s="1"/>
  <c r="BG124" i="1"/>
  <c r="BE124" i="1"/>
  <c r="BD124" i="1"/>
  <c r="BC124" i="1"/>
  <c r="BB124" i="1"/>
  <c r="BA124" i="1"/>
  <c r="AY124" i="1"/>
  <c r="AX124" i="1"/>
  <c r="AV124" i="1"/>
  <c r="AW124" i="1" s="1"/>
  <c r="AU124" i="1"/>
  <c r="AS124" i="1"/>
  <c r="AR124" i="1"/>
  <c r="BF124" i="1" s="1"/>
  <c r="BN138" i="1"/>
  <c r="BM138" i="1"/>
  <c r="BL138" i="1"/>
  <c r="BI138" i="1"/>
  <c r="BJ138" i="1" s="1"/>
  <c r="BG138" i="1"/>
  <c r="BE138" i="1"/>
  <c r="BD138" i="1"/>
  <c r="BC138" i="1"/>
  <c r="BB138" i="1"/>
  <c r="BA138" i="1"/>
  <c r="AY138" i="1"/>
  <c r="AX138" i="1"/>
  <c r="AV138" i="1"/>
  <c r="AZ138" i="1" s="1"/>
  <c r="AU138" i="1"/>
  <c r="AS138" i="1"/>
  <c r="AR138" i="1"/>
  <c r="BF138" i="1" s="1"/>
  <c r="BN54" i="1"/>
  <c r="BM54" i="1"/>
  <c r="BL54" i="1"/>
  <c r="BI54" i="1"/>
  <c r="BH54" i="1" s="1"/>
  <c r="BG54" i="1"/>
  <c r="BE54" i="1"/>
  <c r="BD54" i="1"/>
  <c r="BC54" i="1"/>
  <c r="BB54" i="1"/>
  <c r="BA54" i="1"/>
  <c r="AY54" i="1"/>
  <c r="AX54" i="1"/>
  <c r="AV54" i="1"/>
  <c r="AZ54" i="1" s="1"/>
  <c r="AU54" i="1"/>
  <c r="AS54" i="1"/>
  <c r="AR54" i="1"/>
  <c r="BF54" i="1" s="1"/>
  <c r="BN108" i="1"/>
  <c r="BM108" i="1"/>
  <c r="BL108" i="1"/>
  <c r="BI108" i="1"/>
  <c r="BH108" i="1" s="1"/>
  <c r="BG108" i="1"/>
  <c r="BE108" i="1"/>
  <c r="BD108" i="1"/>
  <c r="BC108" i="1"/>
  <c r="BB108" i="1"/>
  <c r="BA108" i="1"/>
  <c r="AY108" i="1"/>
  <c r="AX108" i="1"/>
  <c r="AV108" i="1"/>
  <c r="AZ108" i="1" s="1"/>
  <c r="AU108" i="1"/>
  <c r="AS108" i="1"/>
  <c r="AR108" i="1"/>
  <c r="BF108" i="1" s="1"/>
  <c r="BN52" i="1"/>
  <c r="BM52" i="1"/>
  <c r="BL52" i="1"/>
  <c r="BI52" i="1"/>
  <c r="BJ52" i="1" s="1"/>
  <c r="BG52" i="1"/>
  <c r="BE52" i="1"/>
  <c r="BD52" i="1"/>
  <c r="BC52" i="1"/>
  <c r="BB52" i="1"/>
  <c r="BA52" i="1"/>
  <c r="AY52" i="1"/>
  <c r="AX52" i="1"/>
  <c r="AV52" i="1"/>
  <c r="AW52" i="1" s="1"/>
  <c r="AU52" i="1"/>
  <c r="AS52" i="1"/>
  <c r="AR52" i="1"/>
  <c r="BF52" i="1" s="1"/>
  <c r="BN63" i="1"/>
  <c r="BM63" i="1"/>
  <c r="BL63" i="1"/>
  <c r="BI63" i="1"/>
  <c r="BJ63" i="1" s="1"/>
  <c r="BG63" i="1"/>
  <c r="BE63" i="1"/>
  <c r="BD63" i="1"/>
  <c r="BC63" i="1"/>
  <c r="BB63" i="1"/>
  <c r="BA63" i="1"/>
  <c r="AY63" i="1"/>
  <c r="AX63" i="1"/>
  <c r="AV63" i="1"/>
  <c r="AW63" i="1" s="1"/>
  <c r="AU63" i="1"/>
  <c r="AS63" i="1"/>
  <c r="AR63" i="1"/>
  <c r="AC67" i="1"/>
  <c r="T67" i="1" s="1"/>
  <c r="BK67" i="1" s="1"/>
  <c r="AC66" i="1"/>
  <c r="T66" i="1" s="1"/>
  <c r="BK66" i="1" s="1"/>
  <c r="AC200" i="1"/>
  <c r="T200" i="1" s="1"/>
  <c r="BK200" i="1" s="1"/>
  <c r="AC20" i="1"/>
  <c r="T20" i="1" s="1"/>
  <c r="BK20" i="1" s="1"/>
  <c r="AC131" i="1"/>
  <c r="T131" i="1" s="1"/>
  <c r="BK131" i="1" s="1"/>
  <c r="AC208" i="1"/>
  <c r="T208" i="1" s="1"/>
  <c r="BK208" i="1" s="1"/>
  <c r="AC17" i="1"/>
  <c r="T17" i="1" s="1"/>
  <c r="BK17" i="1" s="1"/>
  <c r="AC212" i="1"/>
  <c r="T212" i="1" s="1"/>
  <c r="BK212" i="1" s="1"/>
  <c r="AC11" i="1"/>
  <c r="T11" i="1" s="1"/>
  <c r="BK11" i="1" s="1"/>
  <c r="AC64" i="1"/>
  <c r="T64" i="1" s="1"/>
  <c r="BK64" i="1" s="1"/>
  <c r="AC57" i="1"/>
  <c r="T57" i="1" s="1"/>
  <c r="BK57" i="1" s="1"/>
  <c r="AC124" i="1"/>
  <c r="T124" i="1" s="1"/>
  <c r="BK124" i="1" s="1"/>
  <c r="AC138" i="1"/>
  <c r="T138" i="1" s="1"/>
  <c r="BK138" i="1" s="1"/>
  <c r="AC54" i="1"/>
  <c r="T54" i="1" s="1"/>
  <c r="BK54" i="1" s="1"/>
  <c r="AC108" i="1"/>
  <c r="T108" i="1" s="1"/>
  <c r="BK108" i="1" s="1"/>
  <c r="AC52" i="1"/>
  <c r="T52" i="1" s="1"/>
  <c r="BK52" i="1" s="1"/>
  <c r="AC63" i="1"/>
  <c r="T63" i="1" s="1"/>
  <c r="BF11" i="1" l="1"/>
  <c r="J333" i="1"/>
  <c r="H333" i="1"/>
  <c r="BF63" i="1"/>
  <c r="J353" i="1"/>
  <c r="H353" i="1"/>
  <c r="H372" i="1"/>
  <c r="B71" i="165" s="1"/>
  <c r="J372" i="1"/>
  <c r="D71" i="165" s="1"/>
  <c r="H410" i="1"/>
  <c r="J410" i="1"/>
  <c r="J391" i="1"/>
  <c r="H391" i="1"/>
  <c r="J447" i="1"/>
  <c r="D114" i="165" s="1"/>
  <c r="H447" i="1"/>
  <c r="B114" i="165" s="1"/>
  <c r="BK63" i="1"/>
  <c r="BH63" i="1"/>
  <c r="BH66" i="1"/>
  <c r="BH124" i="1"/>
  <c r="AW131" i="1"/>
  <c r="BJ64" i="1"/>
  <c r="AW11" i="1"/>
  <c r="AW200" i="1"/>
  <c r="BH52" i="1"/>
  <c r="BH11" i="1"/>
  <c r="BJ54" i="1"/>
  <c r="AZ124" i="1"/>
  <c r="AZ212" i="1"/>
  <c r="BH208" i="1"/>
  <c r="AZ17" i="1"/>
  <c r="AW67" i="1"/>
  <c r="AZ52" i="1"/>
  <c r="BH20" i="1"/>
  <c r="AW138" i="1"/>
  <c r="BJ131" i="1"/>
  <c r="BH138" i="1"/>
  <c r="AZ57" i="1"/>
  <c r="AZ20" i="1"/>
  <c r="BH212" i="1"/>
  <c r="BJ17" i="1"/>
  <c r="BH67" i="1"/>
  <c r="BJ108" i="1"/>
  <c r="BJ57" i="1"/>
  <c r="AW54" i="1"/>
  <c r="AW108" i="1"/>
  <c r="AW208" i="1"/>
  <c r="AZ63" i="1"/>
  <c r="AZ64" i="1"/>
  <c r="AZ66" i="1"/>
  <c r="BJ200" i="1"/>
  <c r="AA221" i="1" l="1"/>
  <c r="AD221" i="1"/>
  <c r="Z221" i="1"/>
  <c r="AF1" i="1" l="1"/>
  <c r="E65" i="1"/>
  <c r="E217" i="1"/>
  <c r="E215" i="1"/>
  <c r="E214" i="1"/>
  <c r="E213" i="1"/>
  <c r="E211" i="1"/>
  <c r="E45" i="1"/>
  <c r="E177" i="1"/>
  <c r="E176" i="1"/>
  <c r="E147" i="1"/>
  <c r="E142" i="1"/>
  <c r="E135" i="1"/>
  <c r="E128" i="1"/>
  <c r="E127" i="1"/>
  <c r="E125" i="1"/>
  <c r="E121" i="1"/>
  <c r="E88" i="1"/>
  <c r="E71" i="1"/>
  <c r="E100" i="1"/>
  <c r="E132" i="1"/>
  <c r="E93" i="1"/>
  <c r="E91" i="1"/>
  <c r="E69" i="1"/>
  <c r="E151" i="1"/>
  <c r="E77" i="1"/>
  <c r="AH258" i="1" l="1"/>
  <c r="AG258" i="1"/>
  <c r="U258" i="1"/>
  <c r="S258" i="1" a="1"/>
  <c r="S258" i="1" s="1"/>
  <c r="G21" i="180" s="1"/>
  <c r="R258" i="1" a="1"/>
  <c r="R258" i="1" s="1"/>
  <c r="G20" i="180" s="1"/>
  <c r="Q258" i="1"/>
  <c r="P258" i="1"/>
  <c r="O258" i="1"/>
  <c r="N258" i="1"/>
  <c r="X258" i="1" s="1" a="1"/>
  <c r="X258" i="1" s="1"/>
  <c r="E20" i="180" s="1"/>
  <c r="I258" i="1"/>
  <c r="AH251" i="1" a="1"/>
  <c r="AH251" i="1" s="1"/>
  <c r="AG251" i="1" a="1"/>
  <c r="AG251" i="1" s="1"/>
  <c r="AH250" i="1" a="1"/>
  <c r="AH250" i="1" s="1"/>
  <c r="AG250" i="1" a="1"/>
  <c r="AG250" i="1" s="1"/>
  <c r="AH249" i="1" a="1"/>
  <c r="AH249" i="1" s="1"/>
  <c r="AG249" i="1" a="1"/>
  <c r="AG249" i="1" s="1"/>
  <c r="AH248" i="1" a="1"/>
  <c r="AH248" i="1" s="1"/>
  <c r="AG248" i="1" a="1"/>
  <c r="AG248" i="1" s="1"/>
  <c r="AH247" i="1" a="1"/>
  <c r="AH247" i="1" s="1"/>
  <c r="AG247" i="1" a="1"/>
  <c r="AG247" i="1" s="1"/>
  <c r="AH246" i="1" a="1"/>
  <c r="AH246" i="1" s="1"/>
  <c r="AG246" i="1" a="1"/>
  <c r="AG246" i="1" s="1"/>
  <c r="AH245" i="1" a="1"/>
  <c r="AH245" i="1" s="1"/>
  <c r="AG245" i="1" a="1"/>
  <c r="AG245" i="1" s="1"/>
  <c r="AH244" i="1" a="1"/>
  <c r="AH244" i="1" s="1"/>
  <c r="AG244" i="1" a="1"/>
  <c r="AG244" i="1" s="1"/>
  <c r="AH243" i="1" a="1"/>
  <c r="AH243" i="1" s="1"/>
  <c r="AG243" i="1" a="1"/>
  <c r="AG243" i="1" s="1"/>
  <c r="Z258" i="1" l="1"/>
  <c r="BN144" i="1" l="1"/>
  <c r="BM144" i="1"/>
  <c r="BL144" i="1"/>
  <c r="BK144" i="1"/>
  <c r="BI144" i="1"/>
  <c r="BJ144" i="1" s="1"/>
  <c r="BG144" i="1"/>
  <c r="BE144" i="1"/>
  <c r="BD144" i="1"/>
  <c r="BC144" i="1"/>
  <c r="BB144" i="1"/>
  <c r="BA144" i="1"/>
  <c r="AY144" i="1"/>
  <c r="AX144" i="1"/>
  <c r="AV144" i="1"/>
  <c r="AW144" i="1" s="1"/>
  <c r="AU144" i="1"/>
  <c r="AS144" i="1"/>
  <c r="AR144" i="1"/>
  <c r="BF144" i="1" s="1"/>
  <c r="BN98" i="1"/>
  <c r="BM98" i="1"/>
  <c r="BL98" i="1"/>
  <c r="BK98" i="1"/>
  <c r="BI98" i="1"/>
  <c r="BJ98" i="1" s="1"/>
  <c r="BG98" i="1"/>
  <c r="BE98" i="1"/>
  <c r="BD98" i="1"/>
  <c r="BC98" i="1"/>
  <c r="BB98" i="1"/>
  <c r="BA98" i="1"/>
  <c r="AY98" i="1"/>
  <c r="AX98" i="1"/>
  <c r="AV98" i="1"/>
  <c r="AZ98" i="1" s="1"/>
  <c r="AU98" i="1"/>
  <c r="AS98" i="1"/>
  <c r="AR98" i="1"/>
  <c r="BF98" i="1" s="1"/>
  <c r="BN97" i="1"/>
  <c r="BM97" i="1"/>
  <c r="BL97" i="1"/>
  <c r="BK97" i="1"/>
  <c r="BI97" i="1"/>
  <c r="BJ97" i="1" s="1"/>
  <c r="BG97" i="1"/>
  <c r="BE97" i="1"/>
  <c r="BD97" i="1"/>
  <c r="BC97" i="1"/>
  <c r="BB97" i="1"/>
  <c r="BA97" i="1"/>
  <c r="AY97" i="1"/>
  <c r="AX97" i="1"/>
  <c r="AV97" i="1"/>
  <c r="AZ97" i="1" s="1"/>
  <c r="AU97" i="1"/>
  <c r="AS97" i="1"/>
  <c r="AR97" i="1"/>
  <c r="BF97" i="1" s="1"/>
  <c r="BN132" i="1"/>
  <c r="BM132" i="1"/>
  <c r="BL132" i="1"/>
  <c r="BK132" i="1"/>
  <c r="BI132" i="1"/>
  <c r="BH132" i="1" s="1"/>
  <c r="BG132" i="1"/>
  <c r="BE132" i="1"/>
  <c r="BD132" i="1"/>
  <c r="BC132" i="1"/>
  <c r="BB132" i="1"/>
  <c r="BA132" i="1"/>
  <c r="AY132" i="1"/>
  <c r="AX132" i="1"/>
  <c r="AV132" i="1"/>
  <c r="AZ132" i="1" s="1"/>
  <c r="AU132" i="1"/>
  <c r="AS132" i="1"/>
  <c r="AR132" i="1"/>
  <c r="BF132" i="1" s="1"/>
  <c r="BN95" i="1"/>
  <c r="BM95" i="1"/>
  <c r="BL95" i="1"/>
  <c r="BK95" i="1"/>
  <c r="BI95" i="1"/>
  <c r="BJ95" i="1" s="1"/>
  <c r="BG95" i="1"/>
  <c r="BE95" i="1"/>
  <c r="BD95" i="1"/>
  <c r="BC95" i="1"/>
  <c r="BB95" i="1"/>
  <c r="BA95" i="1"/>
  <c r="AY95" i="1"/>
  <c r="AX95" i="1"/>
  <c r="AV95" i="1"/>
  <c r="AW95" i="1" s="1"/>
  <c r="AU95" i="1"/>
  <c r="AS95" i="1"/>
  <c r="AR95" i="1"/>
  <c r="BF95" i="1" s="1"/>
  <c r="BN83" i="1"/>
  <c r="BM83" i="1"/>
  <c r="BL83" i="1"/>
  <c r="BK83" i="1"/>
  <c r="BI83" i="1"/>
  <c r="BJ83" i="1" s="1"/>
  <c r="BG83" i="1"/>
  <c r="BE83" i="1"/>
  <c r="BD83" i="1"/>
  <c r="BC83" i="1"/>
  <c r="BB83" i="1"/>
  <c r="BA83" i="1"/>
  <c r="AY83" i="1"/>
  <c r="AX83" i="1"/>
  <c r="AV83" i="1"/>
  <c r="AW83" i="1" s="1"/>
  <c r="AU83" i="1"/>
  <c r="AS83" i="1"/>
  <c r="AR83" i="1"/>
  <c r="BF83" i="1" s="1"/>
  <c r="BN93" i="1"/>
  <c r="BM93" i="1"/>
  <c r="BL93" i="1"/>
  <c r="BK93" i="1"/>
  <c r="BI93" i="1"/>
  <c r="BJ93" i="1" s="1"/>
  <c r="BG93" i="1"/>
  <c r="BE93" i="1"/>
  <c r="BD93" i="1"/>
  <c r="BC93" i="1"/>
  <c r="BB93" i="1"/>
  <c r="BA93" i="1"/>
  <c r="AY93" i="1"/>
  <c r="AX93" i="1"/>
  <c r="AV93" i="1"/>
  <c r="AZ93" i="1" s="1"/>
  <c r="AU93" i="1"/>
  <c r="AS93" i="1"/>
  <c r="AR93" i="1"/>
  <c r="BF93" i="1" s="1"/>
  <c r="BN21" i="1"/>
  <c r="BM21" i="1"/>
  <c r="BL21" i="1"/>
  <c r="BK21" i="1"/>
  <c r="BI21" i="1"/>
  <c r="BH21" i="1" s="1"/>
  <c r="BG21" i="1"/>
  <c r="BE21" i="1"/>
  <c r="BD21" i="1"/>
  <c r="BC21" i="1"/>
  <c r="BB21" i="1"/>
  <c r="BA21" i="1"/>
  <c r="AY21" i="1"/>
  <c r="AX21" i="1"/>
  <c r="AV21" i="1"/>
  <c r="AZ21" i="1" s="1"/>
  <c r="AU21" i="1"/>
  <c r="AS21" i="1"/>
  <c r="AR21" i="1"/>
  <c r="BN91" i="1"/>
  <c r="BM91" i="1"/>
  <c r="BL91" i="1"/>
  <c r="BK91" i="1"/>
  <c r="BI91" i="1"/>
  <c r="BJ91" i="1" s="1"/>
  <c r="BG91" i="1"/>
  <c r="BE91" i="1"/>
  <c r="BD91" i="1"/>
  <c r="BC91" i="1"/>
  <c r="BB91" i="1"/>
  <c r="BA91" i="1"/>
  <c r="AY91" i="1"/>
  <c r="AX91" i="1"/>
  <c r="AV91" i="1"/>
  <c r="AW91" i="1" s="1"/>
  <c r="AU91" i="1"/>
  <c r="AS91" i="1"/>
  <c r="AR91" i="1"/>
  <c r="BF91" i="1" s="1"/>
  <c r="BN90" i="1"/>
  <c r="BM90" i="1"/>
  <c r="BL90" i="1"/>
  <c r="BK90" i="1"/>
  <c r="BI90" i="1"/>
  <c r="BJ90" i="1" s="1"/>
  <c r="BG90" i="1"/>
  <c r="BE90" i="1"/>
  <c r="BD90" i="1"/>
  <c r="BC90" i="1"/>
  <c r="BB90" i="1"/>
  <c r="BA90" i="1"/>
  <c r="AY90" i="1"/>
  <c r="AX90" i="1"/>
  <c r="AV90" i="1"/>
  <c r="AZ90" i="1" s="1"/>
  <c r="AU90" i="1"/>
  <c r="AS90" i="1"/>
  <c r="AR90" i="1"/>
  <c r="BF90" i="1" s="1"/>
  <c r="BN89" i="1"/>
  <c r="BM89" i="1"/>
  <c r="BL89" i="1"/>
  <c r="BK89" i="1"/>
  <c r="BI89" i="1"/>
  <c r="BJ89" i="1" s="1"/>
  <c r="BG89" i="1"/>
  <c r="BE89" i="1"/>
  <c r="BD89" i="1"/>
  <c r="BC89" i="1"/>
  <c r="BB89" i="1"/>
  <c r="BA89" i="1"/>
  <c r="AY89" i="1"/>
  <c r="AX89" i="1"/>
  <c r="AV89" i="1"/>
  <c r="AZ89" i="1" s="1"/>
  <c r="AU89" i="1"/>
  <c r="AS89" i="1"/>
  <c r="AR89" i="1"/>
  <c r="BF89" i="1" s="1"/>
  <c r="BN141" i="1"/>
  <c r="BM141" i="1"/>
  <c r="BL141" i="1"/>
  <c r="BK141" i="1"/>
  <c r="BI141" i="1"/>
  <c r="BH141" i="1" s="1"/>
  <c r="BG141" i="1"/>
  <c r="BE141" i="1"/>
  <c r="BD141" i="1"/>
  <c r="BC141" i="1"/>
  <c r="BB141" i="1"/>
  <c r="BA141" i="1"/>
  <c r="AY141" i="1"/>
  <c r="AX141" i="1"/>
  <c r="AV141" i="1"/>
  <c r="AZ141" i="1" s="1"/>
  <c r="AU141" i="1"/>
  <c r="AS141" i="1"/>
  <c r="AR141" i="1"/>
  <c r="BF141" i="1" s="1"/>
  <c r="BN87" i="1"/>
  <c r="BM87" i="1"/>
  <c r="BL87" i="1"/>
  <c r="BK87" i="1"/>
  <c r="BI87" i="1"/>
  <c r="BJ87" i="1" s="1"/>
  <c r="BG87" i="1"/>
  <c r="BE87" i="1"/>
  <c r="BD87" i="1"/>
  <c r="BC87" i="1"/>
  <c r="BB87" i="1"/>
  <c r="BA87" i="1"/>
  <c r="AY87" i="1"/>
  <c r="AX87" i="1"/>
  <c r="AV87" i="1"/>
  <c r="AW87" i="1" s="1"/>
  <c r="AU87" i="1"/>
  <c r="AS87" i="1"/>
  <c r="AR87" i="1"/>
  <c r="BF87" i="1" s="1"/>
  <c r="BN109" i="1"/>
  <c r="BM109" i="1"/>
  <c r="BL109" i="1"/>
  <c r="BK109" i="1"/>
  <c r="BG109" i="1"/>
  <c r="BE109" i="1"/>
  <c r="BD109" i="1"/>
  <c r="BC109" i="1"/>
  <c r="BB109" i="1"/>
  <c r="BA109" i="1"/>
  <c r="AY109" i="1"/>
  <c r="AX109" i="1"/>
  <c r="AV109" i="1"/>
  <c r="AZ109" i="1" s="1"/>
  <c r="AU109" i="1"/>
  <c r="AS109" i="1"/>
  <c r="AR109" i="1"/>
  <c r="BF109" i="1" s="1"/>
  <c r="BN85" i="1"/>
  <c r="BM85" i="1"/>
  <c r="BL85" i="1"/>
  <c r="BK85" i="1"/>
  <c r="BI85" i="1"/>
  <c r="BJ85" i="1" s="1"/>
  <c r="BG85" i="1"/>
  <c r="BE85" i="1"/>
  <c r="BD85" i="1"/>
  <c r="BC85" i="1"/>
  <c r="BB85" i="1"/>
  <c r="BA85" i="1"/>
  <c r="AY85" i="1"/>
  <c r="AX85" i="1"/>
  <c r="AV85" i="1"/>
  <c r="AZ85" i="1" s="1"/>
  <c r="AU85" i="1"/>
  <c r="AS85" i="1"/>
  <c r="AR85" i="1"/>
  <c r="BF85" i="1" s="1"/>
  <c r="BN84" i="1"/>
  <c r="BM84" i="1"/>
  <c r="BL84" i="1"/>
  <c r="BK84" i="1"/>
  <c r="BI84" i="1"/>
  <c r="BH84" i="1" s="1"/>
  <c r="BG84" i="1"/>
  <c r="BE84" i="1"/>
  <c r="BD84" i="1"/>
  <c r="BC84" i="1"/>
  <c r="BB84" i="1"/>
  <c r="BA84" i="1"/>
  <c r="AY84" i="1"/>
  <c r="AX84" i="1"/>
  <c r="AV84" i="1"/>
  <c r="AZ84" i="1" s="1"/>
  <c r="AU84" i="1"/>
  <c r="AS84" i="1"/>
  <c r="AR84" i="1"/>
  <c r="BF84" i="1" s="1"/>
  <c r="BN69" i="1"/>
  <c r="BM69" i="1"/>
  <c r="BL69" i="1"/>
  <c r="BK69" i="1"/>
  <c r="BI69" i="1"/>
  <c r="BJ69" i="1" s="1"/>
  <c r="BG69" i="1"/>
  <c r="BE69" i="1"/>
  <c r="BD69" i="1"/>
  <c r="BC69" i="1"/>
  <c r="BB69" i="1"/>
  <c r="BA69" i="1"/>
  <c r="AY69" i="1"/>
  <c r="AX69" i="1"/>
  <c r="AV69" i="1"/>
  <c r="AW69" i="1" s="1"/>
  <c r="AU69" i="1"/>
  <c r="AS69" i="1"/>
  <c r="AR69" i="1"/>
  <c r="BF69" i="1" s="1"/>
  <c r="BN139" i="1"/>
  <c r="BM139" i="1"/>
  <c r="BL139" i="1"/>
  <c r="BK139" i="1"/>
  <c r="BI139" i="1"/>
  <c r="BJ139" i="1" s="1"/>
  <c r="BG139" i="1"/>
  <c r="BE139" i="1"/>
  <c r="BD139" i="1"/>
  <c r="BC139" i="1"/>
  <c r="BB139" i="1"/>
  <c r="BA139" i="1"/>
  <c r="AY139" i="1"/>
  <c r="AX139" i="1"/>
  <c r="AV139" i="1"/>
  <c r="AZ139" i="1" s="1"/>
  <c r="AU139" i="1"/>
  <c r="AS139" i="1"/>
  <c r="AR139" i="1"/>
  <c r="BF139" i="1" s="1"/>
  <c r="BN81" i="1"/>
  <c r="BM81" i="1"/>
  <c r="BL81" i="1"/>
  <c r="BK81" i="1"/>
  <c r="BI81" i="1"/>
  <c r="BJ81" i="1" s="1"/>
  <c r="BG81" i="1"/>
  <c r="BE81" i="1"/>
  <c r="BD81" i="1"/>
  <c r="BC81" i="1"/>
  <c r="BB81" i="1"/>
  <c r="BA81" i="1"/>
  <c r="AY81" i="1"/>
  <c r="AX81" i="1"/>
  <c r="AV81" i="1"/>
  <c r="AZ81" i="1" s="1"/>
  <c r="AU81" i="1"/>
  <c r="AS81" i="1"/>
  <c r="AR81" i="1"/>
  <c r="BF81" i="1" s="1"/>
  <c r="BN80" i="1"/>
  <c r="BM80" i="1"/>
  <c r="BL80" i="1"/>
  <c r="BK80" i="1"/>
  <c r="BI80" i="1"/>
  <c r="BH80" i="1" s="1"/>
  <c r="BG80" i="1"/>
  <c r="BE80" i="1"/>
  <c r="BD80" i="1"/>
  <c r="BC80" i="1"/>
  <c r="BB80" i="1"/>
  <c r="BA80" i="1"/>
  <c r="AY80" i="1"/>
  <c r="AX80" i="1"/>
  <c r="AV80" i="1"/>
  <c r="AZ80" i="1" s="1"/>
  <c r="AU80" i="1"/>
  <c r="AS80" i="1"/>
  <c r="AR80" i="1"/>
  <c r="BF80" i="1" s="1"/>
  <c r="BN151" i="1"/>
  <c r="BM151" i="1"/>
  <c r="BL151" i="1"/>
  <c r="BK151" i="1"/>
  <c r="BI151" i="1"/>
  <c r="BJ151" i="1" s="1"/>
  <c r="BG151" i="1"/>
  <c r="BE151" i="1"/>
  <c r="BD151" i="1"/>
  <c r="BC151" i="1"/>
  <c r="BB151" i="1"/>
  <c r="BA151" i="1"/>
  <c r="AY151" i="1"/>
  <c r="AX151" i="1"/>
  <c r="AV151" i="1"/>
  <c r="AW151" i="1" s="1"/>
  <c r="AU151" i="1"/>
  <c r="AS151" i="1"/>
  <c r="AR151" i="1"/>
  <c r="BF151" i="1" s="1"/>
  <c r="BN196" i="1"/>
  <c r="BM196" i="1"/>
  <c r="BL196" i="1"/>
  <c r="BK196" i="1"/>
  <c r="BI196" i="1"/>
  <c r="BJ196" i="1" s="1"/>
  <c r="BG196" i="1"/>
  <c r="BE196" i="1"/>
  <c r="BD196" i="1"/>
  <c r="BC196" i="1"/>
  <c r="BB196" i="1"/>
  <c r="BA196" i="1"/>
  <c r="AY196" i="1"/>
  <c r="AX196" i="1"/>
  <c r="AV196" i="1"/>
  <c r="AW196" i="1" s="1"/>
  <c r="AU196" i="1"/>
  <c r="AS196" i="1"/>
  <c r="AR196" i="1"/>
  <c r="BF196" i="1" s="1"/>
  <c r="BN77" i="1"/>
  <c r="BM77" i="1"/>
  <c r="BL77" i="1"/>
  <c r="BK77" i="1"/>
  <c r="BI77" i="1"/>
  <c r="BJ77" i="1" s="1"/>
  <c r="BG77" i="1"/>
  <c r="BE77" i="1"/>
  <c r="BD77" i="1"/>
  <c r="BC77" i="1"/>
  <c r="BB77" i="1"/>
  <c r="BA77" i="1"/>
  <c r="AY77" i="1"/>
  <c r="AX77" i="1"/>
  <c r="AV77" i="1"/>
  <c r="AZ77" i="1" s="1"/>
  <c r="AU77" i="1"/>
  <c r="AS77" i="1"/>
  <c r="AR77" i="1"/>
  <c r="BF77" i="1" s="1"/>
  <c r="BN76" i="1"/>
  <c r="BM76" i="1"/>
  <c r="BL76" i="1"/>
  <c r="BK76" i="1"/>
  <c r="BI76" i="1"/>
  <c r="BH76" i="1" s="1"/>
  <c r="BG76" i="1"/>
  <c r="BE76" i="1"/>
  <c r="BD76" i="1"/>
  <c r="BC76" i="1"/>
  <c r="BB76" i="1"/>
  <c r="BA76" i="1"/>
  <c r="AY76" i="1"/>
  <c r="AX76" i="1"/>
  <c r="AV76" i="1"/>
  <c r="AZ76" i="1" s="1"/>
  <c r="AU76" i="1"/>
  <c r="AS76" i="1"/>
  <c r="AR76" i="1"/>
  <c r="BF76" i="1" s="1"/>
  <c r="BN68" i="1"/>
  <c r="BM68" i="1"/>
  <c r="BL68" i="1"/>
  <c r="BK68" i="1"/>
  <c r="BI68" i="1"/>
  <c r="BJ68" i="1" s="1"/>
  <c r="BG68" i="1"/>
  <c r="BE68" i="1"/>
  <c r="BD68" i="1"/>
  <c r="BC68" i="1"/>
  <c r="BB68" i="1"/>
  <c r="BA68" i="1"/>
  <c r="AY68" i="1"/>
  <c r="AX68" i="1"/>
  <c r="AV68" i="1"/>
  <c r="AW68" i="1" s="1"/>
  <c r="AU68" i="1"/>
  <c r="AS68" i="1"/>
  <c r="AR68" i="1"/>
  <c r="BF68" i="1" s="1"/>
  <c r="BN150" i="1"/>
  <c r="BM150" i="1"/>
  <c r="BL150" i="1"/>
  <c r="BK150" i="1"/>
  <c r="BI150" i="1"/>
  <c r="BJ150" i="1" s="1"/>
  <c r="BG150" i="1"/>
  <c r="BE150" i="1"/>
  <c r="BD150" i="1"/>
  <c r="BC150" i="1"/>
  <c r="BB150" i="1"/>
  <c r="BA150" i="1"/>
  <c r="AY150" i="1"/>
  <c r="AX150" i="1"/>
  <c r="AV150" i="1"/>
  <c r="AZ150" i="1" s="1"/>
  <c r="AU150" i="1"/>
  <c r="AS150" i="1"/>
  <c r="AR150" i="1"/>
  <c r="BF150" i="1" s="1"/>
  <c r="BN203" i="1"/>
  <c r="BM203" i="1"/>
  <c r="BL203" i="1"/>
  <c r="BK203" i="1"/>
  <c r="BI203" i="1"/>
  <c r="BJ203" i="1" s="1"/>
  <c r="BG203" i="1"/>
  <c r="BE203" i="1"/>
  <c r="BD203" i="1"/>
  <c r="BC203" i="1"/>
  <c r="BB203" i="1"/>
  <c r="BA203" i="1"/>
  <c r="AY203" i="1"/>
  <c r="AX203" i="1"/>
  <c r="AV203" i="1"/>
  <c r="AZ203" i="1" s="1"/>
  <c r="AU203" i="1"/>
  <c r="AS203" i="1"/>
  <c r="AR203" i="1"/>
  <c r="BF203" i="1" s="1"/>
  <c r="BN72" i="1"/>
  <c r="BM72" i="1"/>
  <c r="BL72" i="1"/>
  <c r="BK72" i="1"/>
  <c r="BI72" i="1"/>
  <c r="BH72" i="1" s="1"/>
  <c r="BG72" i="1"/>
  <c r="BE72" i="1"/>
  <c r="BD72" i="1"/>
  <c r="BC72" i="1"/>
  <c r="BB72" i="1"/>
  <c r="BA72" i="1"/>
  <c r="AY72" i="1"/>
  <c r="AX72" i="1"/>
  <c r="AV72" i="1"/>
  <c r="AZ72" i="1" s="1"/>
  <c r="AU72" i="1"/>
  <c r="AS72" i="1"/>
  <c r="AR72" i="1"/>
  <c r="BF72" i="1" s="1"/>
  <c r="BN65" i="1"/>
  <c r="BM65" i="1"/>
  <c r="BL65" i="1"/>
  <c r="BK65" i="1"/>
  <c r="BI65" i="1"/>
  <c r="BJ65" i="1" s="1"/>
  <c r="BG65" i="1"/>
  <c r="BE65" i="1"/>
  <c r="BD65" i="1"/>
  <c r="BC65" i="1"/>
  <c r="BB65" i="1"/>
  <c r="BA65" i="1"/>
  <c r="AY65" i="1"/>
  <c r="AX65" i="1"/>
  <c r="AV65" i="1"/>
  <c r="AW65" i="1" s="1"/>
  <c r="AU65" i="1"/>
  <c r="AS65" i="1"/>
  <c r="AR65" i="1"/>
  <c r="BF65" i="1" s="1"/>
  <c r="BN70" i="1"/>
  <c r="BM70" i="1"/>
  <c r="BL70" i="1"/>
  <c r="BK70" i="1"/>
  <c r="BI70" i="1"/>
  <c r="BJ70" i="1" s="1"/>
  <c r="BG70" i="1"/>
  <c r="BE70" i="1"/>
  <c r="BD70" i="1"/>
  <c r="BC70" i="1"/>
  <c r="BB70" i="1"/>
  <c r="BA70" i="1"/>
  <c r="AY70" i="1"/>
  <c r="AX70" i="1"/>
  <c r="AV70" i="1"/>
  <c r="AW70" i="1" s="1"/>
  <c r="AU70" i="1"/>
  <c r="AS70" i="1"/>
  <c r="AR70" i="1"/>
  <c r="BF70" i="1" s="1"/>
  <c r="BN201" i="1"/>
  <c r="BM201" i="1"/>
  <c r="BL201" i="1"/>
  <c r="BK201" i="1"/>
  <c r="BI201" i="1"/>
  <c r="BJ201" i="1" s="1"/>
  <c r="BG201" i="1"/>
  <c r="BE201" i="1"/>
  <c r="BD201" i="1"/>
  <c r="BC201" i="1"/>
  <c r="BB201" i="1"/>
  <c r="BA201" i="1"/>
  <c r="AY201" i="1"/>
  <c r="AX201" i="1"/>
  <c r="AV201" i="1"/>
  <c r="AZ201" i="1" s="1"/>
  <c r="AU201" i="1"/>
  <c r="AS201" i="1"/>
  <c r="AR201" i="1"/>
  <c r="BF201" i="1" s="1"/>
  <c r="BN209" i="1"/>
  <c r="BM209" i="1"/>
  <c r="BL209" i="1"/>
  <c r="BK209" i="1"/>
  <c r="BI209" i="1"/>
  <c r="BH209" i="1" s="1"/>
  <c r="BG209" i="1"/>
  <c r="BE209" i="1"/>
  <c r="BD209" i="1"/>
  <c r="BC209" i="1"/>
  <c r="BB209" i="1"/>
  <c r="BA209" i="1"/>
  <c r="AY209" i="1"/>
  <c r="AX209" i="1"/>
  <c r="AV209" i="1"/>
  <c r="AZ209" i="1" s="1"/>
  <c r="AU209" i="1"/>
  <c r="AS209" i="1"/>
  <c r="AR209" i="1"/>
  <c r="BF209" i="1" s="1"/>
  <c r="AS112" i="1"/>
  <c r="BF21" i="1" l="1"/>
  <c r="BH85" i="1"/>
  <c r="BH144" i="1"/>
  <c r="AZ144" i="1"/>
  <c r="BH65" i="1"/>
  <c r="BH83" i="1"/>
  <c r="BH70" i="1"/>
  <c r="BH89" i="1"/>
  <c r="BH95" i="1"/>
  <c r="AZ68" i="1"/>
  <c r="AZ65" i="1"/>
  <c r="BH150" i="1"/>
  <c r="AZ95" i="1"/>
  <c r="AZ91" i="1"/>
  <c r="BH68" i="1"/>
  <c r="AW90" i="1"/>
  <c r="BH203" i="1"/>
  <c r="BH77" i="1"/>
  <c r="BH90" i="1"/>
  <c r="BH97" i="1"/>
  <c r="AZ70" i="1"/>
  <c r="AZ87" i="1"/>
  <c r="AZ83" i="1"/>
  <c r="BH151" i="1"/>
  <c r="AZ69" i="1"/>
  <c r="AW109" i="1"/>
  <c r="BH201" i="1"/>
  <c r="AW150" i="1"/>
  <c r="AZ196" i="1"/>
  <c r="BH196" i="1"/>
  <c r="BH81" i="1"/>
  <c r="BH69" i="1"/>
  <c r="BH93" i="1"/>
  <c r="AW139" i="1"/>
  <c r="BH91" i="1"/>
  <c r="AW98" i="1"/>
  <c r="AZ151" i="1"/>
  <c r="BH139" i="1"/>
  <c r="BH87" i="1"/>
  <c r="BH98" i="1"/>
  <c r="BJ76" i="1"/>
  <c r="BJ80" i="1"/>
  <c r="BJ141" i="1"/>
  <c r="BJ132" i="1"/>
  <c r="AW201" i="1"/>
  <c r="AW203" i="1"/>
  <c r="AW77" i="1"/>
  <c r="AW81" i="1"/>
  <c r="AW85" i="1"/>
  <c r="AW89" i="1"/>
  <c r="AW93" i="1"/>
  <c r="AW97" i="1"/>
  <c r="AW209" i="1"/>
  <c r="AW72" i="1"/>
  <c r="AW76" i="1"/>
  <c r="AW80" i="1"/>
  <c r="AW84" i="1"/>
  <c r="AW141" i="1"/>
  <c r="AW21" i="1"/>
  <c r="AW132" i="1"/>
  <c r="BJ72" i="1"/>
  <c r="BJ84" i="1"/>
  <c r="BJ209" i="1"/>
  <c r="BJ21" i="1"/>
  <c r="AR100" i="1"/>
  <c r="BF100" i="1" s="1"/>
  <c r="AS100" i="1"/>
  <c r="AU100" i="1"/>
  <c r="AV100" i="1"/>
  <c r="AZ100" i="1" s="1"/>
  <c r="AX100" i="1"/>
  <c r="AY100" i="1"/>
  <c r="BA100" i="1"/>
  <c r="BB100" i="1"/>
  <c r="BC100" i="1"/>
  <c r="BD100" i="1"/>
  <c r="BE100" i="1"/>
  <c r="BG100" i="1"/>
  <c r="BI100" i="1"/>
  <c r="BH100" i="1" s="1"/>
  <c r="BK100" i="1"/>
  <c r="BL100" i="1"/>
  <c r="BM100" i="1"/>
  <c r="BN100" i="1"/>
  <c r="AR71" i="1"/>
  <c r="BF71" i="1" s="1"/>
  <c r="AS71" i="1"/>
  <c r="AU71" i="1"/>
  <c r="AV71" i="1"/>
  <c r="AW71" i="1" s="1"/>
  <c r="AX71" i="1"/>
  <c r="AY71" i="1"/>
  <c r="BA71" i="1"/>
  <c r="BB71" i="1"/>
  <c r="BC71" i="1"/>
  <c r="BD71" i="1"/>
  <c r="BE71" i="1"/>
  <c r="BG71" i="1"/>
  <c r="BI71" i="1"/>
  <c r="BJ71" i="1" s="1"/>
  <c r="BK71" i="1"/>
  <c r="BL71" i="1"/>
  <c r="BM71" i="1"/>
  <c r="BN71" i="1"/>
  <c r="AR133" i="1"/>
  <c r="BF133" i="1" s="1"/>
  <c r="AS133" i="1"/>
  <c r="AU133" i="1"/>
  <c r="AV133" i="1"/>
  <c r="AW133" i="1" s="1"/>
  <c r="AX133" i="1"/>
  <c r="AY133" i="1"/>
  <c r="BA133" i="1"/>
  <c r="BB133" i="1"/>
  <c r="BC133" i="1"/>
  <c r="BD133" i="1"/>
  <c r="BE133" i="1"/>
  <c r="BG133" i="1"/>
  <c r="BI133" i="1"/>
  <c r="BH133" i="1" s="1"/>
  <c r="BL133" i="1"/>
  <c r="BM133" i="1"/>
  <c r="BN133" i="1"/>
  <c r="AR103" i="1"/>
  <c r="BF103" i="1" s="1"/>
  <c r="AS103" i="1"/>
  <c r="AU103" i="1"/>
  <c r="AV103" i="1"/>
  <c r="AZ103" i="1" s="1"/>
  <c r="AX103" i="1"/>
  <c r="AY103" i="1"/>
  <c r="BA103" i="1"/>
  <c r="BB103" i="1"/>
  <c r="BC103" i="1"/>
  <c r="BD103" i="1"/>
  <c r="BE103" i="1"/>
  <c r="BG103" i="1"/>
  <c r="BI103" i="1"/>
  <c r="BH103" i="1" s="1"/>
  <c r="BL103" i="1"/>
  <c r="BM103" i="1"/>
  <c r="BN103" i="1"/>
  <c r="AR104" i="1"/>
  <c r="BF104" i="1" s="1"/>
  <c r="AS104" i="1"/>
  <c r="AU104" i="1"/>
  <c r="AV104" i="1"/>
  <c r="AZ104" i="1" s="1"/>
  <c r="AX104" i="1"/>
  <c r="AY104" i="1"/>
  <c r="BA104" i="1"/>
  <c r="BB104" i="1"/>
  <c r="BC104" i="1"/>
  <c r="BD104" i="1"/>
  <c r="BE104" i="1"/>
  <c r="BG104" i="1"/>
  <c r="BI104" i="1"/>
  <c r="BH104" i="1" s="1"/>
  <c r="BL104" i="1"/>
  <c r="BM104" i="1"/>
  <c r="BN104" i="1"/>
  <c r="AR105" i="1"/>
  <c r="BF105" i="1" s="1"/>
  <c r="AS105" i="1"/>
  <c r="AU105" i="1"/>
  <c r="AV105" i="1"/>
  <c r="AZ105" i="1" s="1"/>
  <c r="AX105" i="1"/>
  <c r="AY105" i="1"/>
  <c r="BA105" i="1"/>
  <c r="BB105" i="1"/>
  <c r="BC105" i="1"/>
  <c r="BD105" i="1"/>
  <c r="BE105" i="1"/>
  <c r="BG105" i="1"/>
  <c r="BI105" i="1"/>
  <c r="BJ105" i="1" s="1"/>
  <c r="BL105" i="1"/>
  <c r="BM105" i="1"/>
  <c r="BN105" i="1"/>
  <c r="AR106" i="1"/>
  <c r="BF106" i="1" s="1"/>
  <c r="AS106" i="1"/>
  <c r="AU106" i="1"/>
  <c r="AV106" i="1"/>
  <c r="AW106" i="1" s="1"/>
  <c r="AX106" i="1"/>
  <c r="AY106" i="1"/>
  <c r="BA106" i="1"/>
  <c r="BB106" i="1"/>
  <c r="BC106" i="1"/>
  <c r="BD106" i="1"/>
  <c r="BE106" i="1"/>
  <c r="BG106" i="1"/>
  <c r="BI106" i="1"/>
  <c r="BH106" i="1" s="1"/>
  <c r="BL106" i="1"/>
  <c r="BM106" i="1"/>
  <c r="BN106" i="1"/>
  <c r="AR175" i="1"/>
  <c r="BF175" i="1" s="1"/>
  <c r="AS175" i="1"/>
  <c r="AU175" i="1"/>
  <c r="AV175" i="1"/>
  <c r="AZ175" i="1" s="1"/>
  <c r="AX175" i="1"/>
  <c r="AY175" i="1"/>
  <c r="BA175" i="1"/>
  <c r="BB175" i="1"/>
  <c r="BC175" i="1"/>
  <c r="BD175" i="1"/>
  <c r="BE175" i="1"/>
  <c r="BG175" i="1"/>
  <c r="BI175" i="1"/>
  <c r="BH175" i="1" s="1"/>
  <c r="BL175" i="1"/>
  <c r="BM175" i="1"/>
  <c r="BN175" i="1"/>
  <c r="AR78" i="1"/>
  <c r="BF78" i="1" s="1"/>
  <c r="AS78" i="1"/>
  <c r="AU78" i="1"/>
  <c r="AV78" i="1"/>
  <c r="AZ78" i="1" s="1"/>
  <c r="AX78" i="1"/>
  <c r="AY78" i="1"/>
  <c r="BA78" i="1"/>
  <c r="BB78" i="1"/>
  <c r="BC78" i="1"/>
  <c r="BD78" i="1"/>
  <c r="BE78" i="1"/>
  <c r="BG78" i="1"/>
  <c r="BI78" i="1"/>
  <c r="BH78" i="1" s="1"/>
  <c r="BL78" i="1"/>
  <c r="BM78" i="1"/>
  <c r="BN78" i="1"/>
  <c r="AR22" i="1"/>
  <c r="BF22" i="1" s="1"/>
  <c r="AS22" i="1"/>
  <c r="AU22" i="1"/>
  <c r="AV22" i="1"/>
  <c r="AW22" i="1" s="1"/>
  <c r="AX22" i="1"/>
  <c r="AY22" i="1"/>
  <c r="BA22" i="1"/>
  <c r="BB22" i="1"/>
  <c r="BC22" i="1"/>
  <c r="BD22" i="1"/>
  <c r="BE22" i="1"/>
  <c r="BI22" i="1"/>
  <c r="BJ22" i="1" s="1"/>
  <c r="BK22" i="1"/>
  <c r="BL22" i="1"/>
  <c r="BM22" i="1"/>
  <c r="BN22" i="1"/>
  <c r="AR134" i="1"/>
  <c r="BF134" i="1" s="1"/>
  <c r="AS134" i="1"/>
  <c r="AU134" i="1"/>
  <c r="AV134" i="1"/>
  <c r="AW134" i="1" s="1"/>
  <c r="AX134" i="1"/>
  <c r="AY134" i="1"/>
  <c r="BA134" i="1"/>
  <c r="BB134" i="1"/>
  <c r="BC134" i="1"/>
  <c r="BD134" i="1"/>
  <c r="BE134" i="1"/>
  <c r="BI134" i="1"/>
  <c r="BH134" i="1" s="1"/>
  <c r="BK134" i="1"/>
  <c r="BL134" i="1"/>
  <c r="BM134" i="1"/>
  <c r="BN134" i="1"/>
  <c r="AR111" i="1"/>
  <c r="BF111" i="1" s="1"/>
  <c r="AS111" i="1"/>
  <c r="AU111" i="1"/>
  <c r="AV111" i="1"/>
  <c r="AZ111" i="1" s="1"/>
  <c r="AX111" i="1"/>
  <c r="AY111" i="1"/>
  <c r="BA111" i="1"/>
  <c r="BB111" i="1"/>
  <c r="BC111" i="1"/>
  <c r="BD111" i="1"/>
  <c r="BE111" i="1"/>
  <c r="BG111" i="1"/>
  <c r="BI111" i="1"/>
  <c r="BJ111" i="1" s="1"/>
  <c r="BK111" i="1"/>
  <c r="BL111" i="1"/>
  <c r="BM111" i="1"/>
  <c r="BN111" i="1"/>
  <c r="AR112" i="1"/>
  <c r="BF112" i="1" s="1"/>
  <c r="AU112" i="1"/>
  <c r="AV112" i="1"/>
  <c r="AZ112" i="1" s="1"/>
  <c r="AX112" i="1"/>
  <c r="AY112" i="1"/>
  <c r="BA112" i="1"/>
  <c r="BB112" i="1"/>
  <c r="BC112" i="1"/>
  <c r="BD112" i="1"/>
  <c r="BE112" i="1"/>
  <c r="BG112" i="1"/>
  <c r="BI112" i="1"/>
  <c r="BJ112" i="1" s="1"/>
  <c r="BK112" i="1"/>
  <c r="BL112" i="1"/>
  <c r="BM112" i="1"/>
  <c r="BN112" i="1"/>
  <c r="AR113" i="1"/>
  <c r="BF113" i="1" s="1"/>
  <c r="AS113" i="1"/>
  <c r="AU113" i="1"/>
  <c r="AW113" i="1"/>
  <c r="AX113" i="1"/>
  <c r="AY113" i="1"/>
  <c r="AZ113" i="1"/>
  <c r="BA113" i="1"/>
  <c r="BB113" i="1"/>
  <c r="BC113" i="1"/>
  <c r="BD113" i="1"/>
  <c r="BE113" i="1"/>
  <c r="BG113" i="1"/>
  <c r="BI113" i="1"/>
  <c r="BH113" i="1" s="1"/>
  <c r="BK113" i="1"/>
  <c r="BL113" i="1"/>
  <c r="BM113" i="1"/>
  <c r="BN113" i="1"/>
  <c r="AR154" i="1"/>
  <c r="BF154" i="1" s="1"/>
  <c r="AS154" i="1"/>
  <c r="AU154" i="1"/>
  <c r="AW154" i="1"/>
  <c r="AX154" i="1"/>
  <c r="AY154" i="1"/>
  <c r="AZ154" i="1"/>
  <c r="BA154" i="1"/>
  <c r="BB154" i="1"/>
  <c r="BC154" i="1"/>
  <c r="BD154" i="1"/>
  <c r="BE154" i="1"/>
  <c r="BG154" i="1"/>
  <c r="BI154" i="1"/>
  <c r="BJ154" i="1" s="1"/>
  <c r="BK154" i="1"/>
  <c r="BL154" i="1"/>
  <c r="BM154" i="1"/>
  <c r="BN154" i="1"/>
  <c r="AR86" i="1"/>
  <c r="BF86" i="1" s="1"/>
  <c r="AS86" i="1"/>
  <c r="AU86" i="1"/>
  <c r="AW86" i="1"/>
  <c r="AX86" i="1"/>
  <c r="AY86" i="1"/>
  <c r="AZ86" i="1"/>
  <c r="BA86" i="1"/>
  <c r="BB86" i="1"/>
  <c r="BC86" i="1"/>
  <c r="BD86" i="1"/>
  <c r="BE86" i="1"/>
  <c r="BI86" i="1"/>
  <c r="BJ86" i="1" s="1"/>
  <c r="BK86" i="1"/>
  <c r="BL86" i="1"/>
  <c r="BM86" i="1"/>
  <c r="BN86" i="1"/>
  <c r="AR110" i="1"/>
  <c r="BF110" i="1" s="1"/>
  <c r="AS110" i="1"/>
  <c r="AU110" i="1"/>
  <c r="AV110" i="1"/>
  <c r="AW110" i="1" s="1"/>
  <c r="AX110" i="1"/>
  <c r="AY110" i="1"/>
  <c r="BA110" i="1"/>
  <c r="BB110" i="1"/>
  <c r="BC110" i="1"/>
  <c r="BE110" i="1"/>
  <c r="BI110" i="1"/>
  <c r="BH110" i="1" s="1"/>
  <c r="BK110" i="1"/>
  <c r="BL110" i="1"/>
  <c r="BM110" i="1"/>
  <c r="BN110" i="1"/>
  <c r="AR88" i="1"/>
  <c r="BF88" i="1" s="1"/>
  <c r="AS88" i="1"/>
  <c r="AU88" i="1"/>
  <c r="AV88" i="1"/>
  <c r="AZ88" i="1" s="1"/>
  <c r="AX88" i="1"/>
  <c r="AY88" i="1"/>
  <c r="BA88" i="1"/>
  <c r="BB88" i="1"/>
  <c r="BC88" i="1"/>
  <c r="BD88" i="1"/>
  <c r="BE88" i="1"/>
  <c r="BG88" i="1"/>
  <c r="BI88" i="1"/>
  <c r="BJ88" i="1" s="1"/>
  <c r="BK88" i="1"/>
  <c r="BL88" i="1"/>
  <c r="BM88" i="1"/>
  <c r="BN88" i="1"/>
  <c r="AR118" i="1"/>
  <c r="BF118" i="1" s="1"/>
  <c r="AS118" i="1"/>
  <c r="AU118" i="1"/>
  <c r="AV118" i="1"/>
  <c r="AZ118" i="1" s="1"/>
  <c r="AX118" i="1"/>
  <c r="AY118" i="1"/>
  <c r="BA118" i="1"/>
  <c r="BB118" i="1"/>
  <c r="BC118" i="1"/>
  <c r="BD118" i="1"/>
  <c r="BE118" i="1"/>
  <c r="BG118" i="1"/>
  <c r="BI118" i="1"/>
  <c r="BH118" i="1" s="1"/>
  <c r="BK118" i="1"/>
  <c r="BL118" i="1"/>
  <c r="BM118" i="1"/>
  <c r="BN118" i="1"/>
  <c r="AR119" i="1"/>
  <c r="BF119" i="1" s="1"/>
  <c r="AS119" i="1"/>
  <c r="AU119" i="1"/>
  <c r="AV119" i="1"/>
  <c r="AW119" i="1" s="1"/>
  <c r="AX119" i="1"/>
  <c r="AY119" i="1"/>
  <c r="BA119" i="1"/>
  <c r="BB119" i="1"/>
  <c r="BC119" i="1"/>
  <c r="BD119" i="1"/>
  <c r="BE119" i="1"/>
  <c r="BG119" i="1"/>
  <c r="BI119" i="1"/>
  <c r="BJ119" i="1" s="1"/>
  <c r="BK119" i="1"/>
  <c r="BL119" i="1"/>
  <c r="BM119" i="1"/>
  <c r="BN119" i="1"/>
  <c r="AR28" i="1"/>
  <c r="BF28" i="1" s="1"/>
  <c r="AS28" i="1"/>
  <c r="AU28" i="1"/>
  <c r="AV28" i="1"/>
  <c r="AW28" i="1" s="1"/>
  <c r="AX28" i="1"/>
  <c r="AY28" i="1"/>
  <c r="BA28" i="1"/>
  <c r="BB28" i="1"/>
  <c r="BC28" i="1"/>
  <c r="BD28" i="1"/>
  <c r="BE28" i="1"/>
  <c r="BI28" i="1"/>
  <c r="BH28" i="1" s="1"/>
  <c r="BK28" i="1"/>
  <c r="BL28" i="1"/>
  <c r="BM28" i="1"/>
  <c r="BN28" i="1"/>
  <c r="AR121" i="1"/>
  <c r="BF121" i="1" s="1"/>
  <c r="AS121" i="1"/>
  <c r="AU121" i="1"/>
  <c r="AV121" i="1"/>
  <c r="AZ121" i="1" s="1"/>
  <c r="AX121" i="1"/>
  <c r="AY121" i="1"/>
  <c r="BA121" i="1"/>
  <c r="BB121" i="1"/>
  <c r="BC121" i="1"/>
  <c r="BD121" i="1"/>
  <c r="BE121" i="1"/>
  <c r="BG121" i="1"/>
  <c r="BI121" i="1"/>
  <c r="BH121" i="1" s="1"/>
  <c r="BK121" i="1"/>
  <c r="BL121" i="1"/>
  <c r="BM121" i="1"/>
  <c r="BN121" i="1"/>
  <c r="AR122" i="1"/>
  <c r="BF122" i="1" s="1"/>
  <c r="AS122" i="1"/>
  <c r="AU122" i="1"/>
  <c r="AV122" i="1"/>
  <c r="AZ122" i="1" s="1"/>
  <c r="AX122" i="1"/>
  <c r="AY122" i="1"/>
  <c r="BA122" i="1"/>
  <c r="BB122" i="1"/>
  <c r="BC122" i="1"/>
  <c r="BD122" i="1"/>
  <c r="BE122" i="1"/>
  <c r="BG122" i="1"/>
  <c r="BI122" i="1"/>
  <c r="BH122" i="1" s="1"/>
  <c r="BK122" i="1"/>
  <c r="BL122" i="1"/>
  <c r="BM122" i="1"/>
  <c r="BN122" i="1"/>
  <c r="AR79" i="1"/>
  <c r="BF79" i="1" s="1"/>
  <c r="AS79" i="1"/>
  <c r="AU79" i="1"/>
  <c r="AV79" i="1"/>
  <c r="AW79" i="1" s="1"/>
  <c r="AX79" i="1"/>
  <c r="AY79" i="1"/>
  <c r="BA79" i="1"/>
  <c r="BB79" i="1"/>
  <c r="BC79" i="1"/>
  <c r="BD79" i="1"/>
  <c r="BE79" i="1"/>
  <c r="BI79" i="1"/>
  <c r="BJ79" i="1" s="1"/>
  <c r="BK79" i="1"/>
  <c r="BL79" i="1"/>
  <c r="BM79" i="1"/>
  <c r="BN79" i="1"/>
  <c r="AR92" i="1"/>
  <c r="BF92" i="1" s="1"/>
  <c r="AS92" i="1"/>
  <c r="AU92" i="1"/>
  <c r="AW92" i="1"/>
  <c r="AX92" i="1"/>
  <c r="AZ92" i="1"/>
  <c r="BA92" i="1"/>
  <c r="BB92" i="1"/>
  <c r="BC92" i="1"/>
  <c r="BD92" i="1"/>
  <c r="BE92" i="1"/>
  <c r="BG92" i="1"/>
  <c r="BI92" i="1"/>
  <c r="BJ92" i="1" s="1"/>
  <c r="BK92" i="1"/>
  <c r="BL92" i="1"/>
  <c r="BM92" i="1"/>
  <c r="BN92" i="1"/>
  <c r="AR125" i="1"/>
  <c r="BF125" i="1" s="1"/>
  <c r="AS125" i="1"/>
  <c r="AU125" i="1"/>
  <c r="AV125" i="1"/>
  <c r="AW125" i="1" s="1"/>
  <c r="AX125" i="1"/>
  <c r="BA125" i="1"/>
  <c r="BB125" i="1"/>
  <c r="BC125" i="1"/>
  <c r="BD125" i="1"/>
  <c r="BE125" i="1"/>
  <c r="BG125" i="1"/>
  <c r="BI125" i="1"/>
  <c r="BJ125" i="1" s="1"/>
  <c r="BK125" i="1"/>
  <c r="BL125" i="1"/>
  <c r="BM125" i="1"/>
  <c r="BN125" i="1"/>
  <c r="AR126" i="1"/>
  <c r="BF126" i="1" s="1"/>
  <c r="AS126" i="1"/>
  <c r="AU126" i="1"/>
  <c r="AV126" i="1"/>
  <c r="AZ126" i="1" s="1"/>
  <c r="AX126" i="1"/>
  <c r="AY126" i="1"/>
  <c r="BA126" i="1"/>
  <c r="BB126" i="1"/>
  <c r="BC126" i="1"/>
  <c r="BD126" i="1"/>
  <c r="BE126" i="1"/>
  <c r="BG126" i="1"/>
  <c r="BI126" i="1"/>
  <c r="BH126" i="1" s="1"/>
  <c r="BK126" i="1"/>
  <c r="BL126" i="1"/>
  <c r="BM126" i="1"/>
  <c r="BN126" i="1"/>
  <c r="AR127" i="1"/>
  <c r="BF127" i="1" s="1"/>
  <c r="AS127" i="1"/>
  <c r="AU127" i="1"/>
  <c r="AV127" i="1"/>
  <c r="AW127" i="1" s="1"/>
  <c r="AX127" i="1"/>
  <c r="BA127" i="1"/>
  <c r="BB127" i="1"/>
  <c r="BC127" i="1"/>
  <c r="BD127" i="1"/>
  <c r="BE127" i="1"/>
  <c r="BG127" i="1"/>
  <c r="BI127" i="1"/>
  <c r="BH127" i="1" s="1"/>
  <c r="BK127" i="1"/>
  <c r="BL127" i="1"/>
  <c r="BM127" i="1"/>
  <c r="BN127" i="1"/>
  <c r="AR128" i="1"/>
  <c r="BF128" i="1" s="1"/>
  <c r="AS128" i="1"/>
  <c r="AU128" i="1"/>
  <c r="AV128" i="1"/>
  <c r="AW128" i="1" s="1"/>
  <c r="AX128" i="1"/>
  <c r="BA128" i="1"/>
  <c r="BB128" i="1"/>
  <c r="BC128" i="1"/>
  <c r="BD128" i="1"/>
  <c r="BE128" i="1"/>
  <c r="BG128" i="1"/>
  <c r="BI128" i="1"/>
  <c r="BJ128" i="1" s="1"/>
  <c r="BK128" i="1"/>
  <c r="BL128" i="1"/>
  <c r="BM128" i="1"/>
  <c r="BN128" i="1"/>
  <c r="AR156" i="1"/>
  <c r="BF156" i="1" s="1"/>
  <c r="AS156" i="1"/>
  <c r="AU156" i="1"/>
  <c r="AV156" i="1"/>
  <c r="AZ156" i="1" s="1"/>
  <c r="AX156" i="1"/>
  <c r="AY156" i="1"/>
  <c r="BA156" i="1"/>
  <c r="BB156" i="1"/>
  <c r="BC156" i="1"/>
  <c r="BD156" i="1"/>
  <c r="BE156" i="1"/>
  <c r="BI156" i="1"/>
  <c r="BH156" i="1" s="1"/>
  <c r="BK156" i="1"/>
  <c r="BL156" i="1"/>
  <c r="BM156" i="1"/>
  <c r="BN156" i="1"/>
  <c r="AR114" i="1"/>
  <c r="BF114" i="1" s="1"/>
  <c r="AS114" i="1"/>
  <c r="AU114" i="1"/>
  <c r="AW114" i="1"/>
  <c r="AX114" i="1"/>
  <c r="AZ114" i="1"/>
  <c r="BA114" i="1"/>
  <c r="BB114" i="1"/>
  <c r="BC114" i="1"/>
  <c r="BD114" i="1"/>
  <c r="BE114" i="1"/>
  <c r="BG114" i="1"/>
  <c r="BI114" i="1"/>
  <c r="BH114" i="1" s="1"/>
  <c r="BK114" i="1"/>
  <c r="BL114" i="1"/>
  <c r="BM114" i="1"/>
  <c r="BN114" i="1"/>
  <c r="AR31" i="1"/>
  <c r="BF31" i="1" s="1"/>
  <c r="AS31" i="1"/>
  <c r="AU31" i="1"/>
  <c r="AW31" i="1"/>
  <c r="AX31" i="1"/>
  <c r="AY31" i="1"/>
  <c r="AZ31" i="1"/>
  <c r="BA31" i="1"/>
  <c r="BB31" i="1"/>
  <c r="BC31" i="1"/>
  <c r="BE31" i="1"/>
  <c r="BI31" i="1"/>
  <c r="BH31" i="1" s="1"/>
  <c r="BK31" i="1"/>
  <c r="BL31" i="1"/>
  <c r="BM31" i="1"/>
  <c r="BN31" i="1"/>
  <c r="H419" i="1" l="1"/>
  <c r="H400" i="1"/>
  <c r="J419" i="1"/>
  <c r="J437" i="1"/>
  <c r="H456" i="1"/>
  <c r="H381" i="1"/>
  <c r="H437" i="1"/>
  <c r="J381" i="1"/>
  <c r="J456" i="1"/>
  <c r="H454" i="1"/>
  <c r="J417" i="1"/>
  <c r="J454" i="1"/>
  <c r="J435" i="1"/>
  <c r="H435" i="1"/>
  <c r="J398" i="1"/>
  <c r="H417" i="1"/>
  <c r="J379" i="1"/>
  <c r="H398" i="1"/>
  <c r="H379" i="1"/>
  <c r="J400" i="1"/>
  <c r="AW105" i="1"/>
  <c r="BJ104" i="1"/>
  <c r="AZ125" i="1"/>
  <c r="BJ121" i="1"/>
  <c r="AW104" i="1"/>
  <c r="BJ100" i="1"/>
  <c r="BJ118" i="1"/>
  <c r="AW103" i="1"/>
  <c r="AZ22" i="1"/>
  <c r="BH86" i="1"/>
  <c r="BJ134" i="1"/>
  <c r="BH125" i="1"/>
  <c r="BH112" i="1"/>
  <c r="BH154" i="1"/>
  <c r="BH111" i="1"/>
  <c r="AW156" i="1"/>
  <c r="AZ110" i="1"/>
  <c r="BJ127" i="1"/>
  <c r="BH88" i="1"/>
  <c r="BJ110" i="1"/>
  <c r="BJ28" i="1"/>
  <c r="AW78" i="1"/>
  <c r="BJ106" i="1"/>
  <c r="BH128" i="1"/>
  <c r="AZ128" i="1"/>
  <c r="AW126" i="1"/>
  <c r="BH92" i="1"/>
  <c r="AZ79" i="1"/>
  <c r="AW88" i="1"/>
  <c r="BJ175" i="1"/>
  <c r="BJ156" i="1"/>
  <c r="AW121" i="1"/>
  <c r="BJ122" i="1"/>
  <c r="AZ28" i="1"/>
  <c r="AW112" i="1"/>
  <c r="BJ78" i="1"/>
  <c r="BJ133" i="1"/>
  <c r="AW100" i="1"/>
  <c r="AW118" i="1"/>
  <c r="BJ113" i="1"/>
  <c r="AW175" i="1"/>
  <c r="AZ71" i="1"/>
  <c r="BJ31" i="1"/>
  <c r="BJ126" i="1"/>
  <c r="AW122" i="1"/>
  <c r="AZ119" i="1"/>
  <c r="AW111" i="1"/>
  <c r="AZ134" i="1"/>
  <c r="AZ106" i="1"/>
  <c r="BJ103" i="1"/>
  <c r="AZ133" i="1"/>
  <c r="BH79" i="1"/>
  <c r="BH119" i="1"/>
  <c r="BH22" i="1"/>
  <c r="BJ114" i="1"/>
  <c r="AZ127" i="1"/>
  <c r="BH71" i="1"/>
  <c r="BH105" i="1"/>
  <c r="X196" i="1" l="1"/>
  <c r="X221" i="1" s="1"/>
  <c r="AC196" i="1" l="1"/>
  <c r="AB109" i="1"/>
  <c r="AB221" i="1" s="1"/>
  <c r="AC109" i="1" l="1"/>
  <c r="BI109" i="1"/>
  <c r="BJ109" i="1" l="1"/>
  <c r="BH109" i="1"/>
  <c r="AC85" i="1"/>
  <c r="AC221" i="1" s="1"/>
  <c r="A27" i="165" l="1"/>
  <c r="A28" i="165"/>
  <c r="A29" i="165"/>
  <c r="A30" i="165"/>
  <c r="A31" i="165"/>
  <c r="A32" i="165"/>
  <c r="A33" i="165"/>
  <c r="A34" i="165"/>
  <c r="A35" i="165"/>
  <c r="A36" i="165"/>
  <c r="A37" i="165"/>
  <c r="A25" i="165"/>
  <c r="A59" i="165"/>
  <c r="A58" i="165"/>
  <c r="A57" i="165"/>
  <c r="A56" i="165"/>
  <c r="A55" i="165"/>
  <c r="A54" i="165"/>
  <c r="A53" i="165"/>
  <c r="A52" i="165"/>
  <c r="A51" i="165"/>
  <c r="A50" i="165"/>
  <c r="A49" i="165"/>
  <c r="A48" i="165"/>
  <c r="A47" i="165"/>
  <c r="A45" i="165"/>
  <c r="A44" i="165"/>
  <c r="D70" i="154"/>
  <c r="C70" i="154"/>
  <c r="D71" i="154"/>
  <c r="C71" i="154"/>
  <c r="D72" i="154"/>
  <c r="C72" i="154"/>
  <c r="D73" i="154"/>
  <c r="C73" i="154"/>
  <c r="A113" i="165"/>
  <c r="A115" i="165"/>
  <c r="A116" i="165"/>
  <c r="A117" i="165"/>
  <c r="A118" i="165"/>
  <c r="A119" i="165"/>
  <c r="A120" i="165"/>
  <c r="A121" i="165"/>
  <c r="A122" i="165"/>
  <c r="A123" i="165"/>
  <c r="A124" i="165"/>
  <c r="A125" i="165"/>
  <c r="A126" i="165"/>
  <c r="A127" i="165"/>
  <c r="A112" i="165"/>
  <c r="A92" i="165"/>
  <c r="A93" i="165"/>
  <c r="A94" i="165"/>
  <c r="A95" i="165"/>
  <c r="A96" i="165"/>
  <c r="A97" i="165"/>
  <c r="A98" i="165"/>
  <c r="A99" i="165"/>
  <c r="A100" i="165"/>
  <c r="A101" i="165"/>
  <c r="A102" i="165"/>
  <c r="A103" i="165"/>
  <c r="A104" i="165"/>
  <c r="A105" i="165"/>
  <c r="A91" i="165"/>
  <c r="D29" i="154" l="1"/>
  <c r="E30" i="154"/>
  <c r="D30" i="154"/>
  <c r="C30" i="154"/>
  <c r="E26" i="154"/>
  <c r="C26" i="154"/>
  <c r="D25" i="154"/>
  <c r="D20" i="154"/>
  <c r="C18" i="154"/>
  <c r="C14" i="154"/>
  <c r="A84" i="165" l="1"/>
  <c r="A83" i="165"/>
  <c r="A82" i="165"/>
  <c r="A81" i="165"/>
  <c r="A80" i="165"/>
  <c r="A79" i="165"/>
  <c r="A78" i="165"/>
  <c r="A77" i="165"/>
  <c r="A76" i="165"/>
  <c r="A75" i="165"/>
  <c r="A74" i="165"/>
  <c r="A73" i="165"/>
  <c r="A72" i="165"/>
  <c r="A70" i="165"/>
  <c r="A69" i="165"/>
  <c r="T175" i="1"/>
  <c r="BK175" i="1" s="1"/>
  <c r="A18" i="165" l="1"/>
  <c r="A17" i="165"/>
  <c r="A16" i="165"/>
  <c r="A15" i="165"/>
  <c r="A14" i="165"/>
  <c r="A13" i="165"/>
  <c r="A12" i="165"/>
  <c r="A11" i="165"/>
  <c r="A10" i="165"/>
  <c r="A9" i="165"/>
  <c r="A8" i="165"/>
  <c r="A7" i="165"/>
  <c r="A6" i="165"/>
  <c r="A4" i="165"/>
  <c r="A3" i="165"/>
  <c r="E118" i="164" l="1"/>
  <c r="D118" i="164"/>
  <c r="C118" i="164"/>
  <c r="C116" i="164"/>
  <c r="B116" i="164"/>
  <c r="B118" i="164" s="1"/>
  <c r="F87" i="164"/>
  <c r="F86" i="164"/>
  <c r="F85" i="164"/>
  <c r="F84" i="164"/>
  <c r="F83" i="164"/>
  <c r="F82" i="164"/>
  <c r="F81" i="164"/>
  <c r="F80" i="164"/>
  <c r="F79" i="164"/>
  <c r="F78" i="164"/>
  <c r="P57" i="164"/>
  <c r="P56" i="164"/>
  <c r="P55" i="164"/>
  <c r="P54" i="164"/>
  <c r="P53" i="164"/>
  <c r="P52" i="164"/>
  <c r="P51" i="164"/>
  <c r="P50" i="164"/>
  <c r="P49" i="164"/>
  <c r="P48" i="164"/>
  <c r="T78" i="1"/>
  <c r="BK78" i="1" s="1"/>
  <c r="T106" i="1"/>
  <c r="BK106" i="1" s="1"/>
  <c r="T105" i="1"/>
  <c r="BK105" i="1" s="1"/>
  <c r="T104" i="1"/>
  <c r="BK104" i="1" s="1"/>
  <c r="T103" i="1"/>
  <c r="BK103" i="1" s="1"/>
  <c r="T133" i="1"/>
  <c r="AD3" i="1"/>
  <c r="AD1" i="1"/>
  <c r="T268" i="1" l="1" a="1"/>
  <c r="T268" i="1" s="1"/>
  <c r="T278" i="1" a="1"/>
  <c r="T278" i="1" s="1"/>
  <c r="T285" i="1" a="1"/>
  <c r="T285" i="1" s="1"/>
  <c r="T290" i="1" a="1"/>
  <c r="T290" i="1" s="1"/>
  <c r="T280" i="1"/>
  <c r="T277" i="1" a="1"/>
  <c r="T277" i="1" s="1"/>
  <c r="T274" i="1" a="1"/>
  <c r="T274" i="1" s="1"/>
  <c r="T291" i="1"/>
  <c r="T283" i="1" a="1"/>
  <c r="T283" i="1" s="1"/>
  <c r="T288" i="1" a="1"/>
  <c r="T288" i="1" s="1"/>
  <c r="T289" i="1" a="1"/>
  <c r="T289" i="1" s="1"/>
  <c r="T276" i="1" a="1"/>
  <c r="T276" i="1" s="1"/>
  <c r="T273" i="1" a="1"/>
  <c r="T273" i="1" s="1"/>
  <c r="T284" i="1" a="1"/>
  <c r="T284" i="1" s="1"/>
  <c r="T287" i="1" a="1"/>
  <c r="T287" i="1" s="1"/>
  <c r="T275" i="1" a="1"/>
  <c r="T275" i="1" s="1"/>
  <c r="T279" i="1" a="1"/>
  <c r="T279" i="1" s="1"/>
  <c r="T286" i="1" a="1"/>
  <c r="T286" i="1" s="1"/>
  <c r="T272" i="1" a="1"/>
  <c r="T272" i="1" s="1"/>
  <c r="T269" i="1"/>
  <c r="T263" i="1" a="1"/>
  <c r="T263" i="1" s="1"/>
  <c r="T262" i="1" a="1"/>
  <c r="T262" i="1" s="1"/>
  <c r="T266" i="1" a="1"/>
  <c r="T266" i="1" s="1"/>
  <c r="T261" i="1" a="1"/>
  <c r="T261" i="1" s="1"/>
  <c r="T264" i="1" a="1"/>
  <c r="T264" i="1" s="1"/>
  <c r="T267" i="1" a="1"/>
  <c r="T267" i="1" s="1"/>
  <c r="T265" i="1" a="1"/>
  <c r="T265" i="1" s="1"/>
  <c r="T313" i="1" a="1"/>
  <c r="T313" i="1" s="1"/>
  <c r="T226" i="1" a="1"/>
  <c r="T226" i="1" s="1"/>
  <c r="BK133" i="1"/>
  <c r="T258" i="1"/>
  <c r="Q115" i="151" l="1"/>
  <c r="P115" i="151"/>
  <c r="D26" i="154" l="1"/>
  <c r="D16" i="154" l="1"/>
  <c r="D21" i="154"/>
  <c r="AU174" i="1" l="1"/>
  <c r="AU176" i="1"/>
  <c r="AU162" i="1"/>
  <c r="AU215" i="1"/>
  <c r="AU217" i="1"/>
  <c r="AU135" i="1"/>
  <c r="AU177" i="1"/>
  <c r="AU191" i="1"/>
  <c r="AU94" i="1"/>
  <c r="AU152" i="1"/>
  <c r="AU41" i="1"/>
  <c r="AU142" i="1"/>
  <c r="AU43" i="1"/>
  <c r="AU153" i="1"/>
  <c r="AU116" i="1"/>
  <c r="AU129" i="1"/>
  <c r="AU158" i="1"/>
  <c r="AU155" i="1"/>
  <c r="AU157" i="1"/>
  <c r="AU137" i="1"/>
  <c r="AU38" i="1"/>
  <c r="AU178" i="1"/>
  <c r="AU214" i="1"/>
  <c r="AU40" i="1"/>
  <c r="AU75" i="1"/>
  <c r="AU36" i="1"/>
  <c r="AU140" i="1"/>
  <c r="AU145" i="1"/>
  <c r="AU143" i="1"/>
  <c r="AU179" i="1"/>
  <c r="AU181" i="1"/>
  <c r="AU115" i="1"/>
  <c r="AU146" i="1"/>
  <c r="AU73" i="1"/>
  <c r="AU159" i="1"/>
  <c r="AU96" i="1"/>
  <c r="AU161" i="1"/>
  <c r="AU160" i="1"/>
  <c r="AU163" i="1"/>
  <c r="AU74" i="1"/>
  <c r="AU172" i="1"/>
  <c r="AU197" i="1"/>
  <c r="AU167" i="1"/>
  <c r="AU168" i="1"/>
  <c r="AU211" i="1"/>
  <c r="AU44" i="1"/>
  <c r="AU170" i="1"/>
  <c r="AU186" i="1"/>
  <c r="AU183" i="1"/>
  <c r="AU184" i="1"/>
  <c r="AU185" i="1"/>
  <c r="AU117" i="1"/>
  <c r="AU164" i="1"/>
  <c r="AU47" i="1"/>
  <c r="AU136" i="1"/>
  <c r="AU188" i="1"/>
  <c r="AU182" i="1"/>
  <c r="AU180" i="1"/>
  <c r="AU187" i="1"/>
  <c r="AU56" i="1"/>
  <c r="AU198" i="1"/>
  <c r="AU120" i="1"/>
  <c r="AU149" i="1"/>
  <c r="AU148" i="1"/>
  <c r="AU49" i="1"/>
  <c r="AU192" i="1"/>
  <c r="AU193" i="1"/>
  <c r="AU194" i="1"/>
  <c r="AU195" i="1"/>
  <c r="AU51" i="1"/>
  <c r="AU53" i="1"/>
  <c r="AU199" i="1"/>
  <c r="AU55" i="1"/>
  <c r="AU207" i="1"/>
  <c r="AU202" i="1"/>
  <c r="AU123" i="1"/>
  <c r="AU165" i="1"/>
  <c r="AU166" i="1"/>
  <c r="AU99" i="1"/>
  <c r="AU58" i="1"/>
  <c r="AU59" i="1"/>
  <c r="AU61" i="1"/>
  <c r="AU216" i="1"/>
  <c r="AU219" i="1"/>
  <c r="AU220" i="1"/>
  <c r="AU218" i="1"/>
  <c r="AU213" i="1"/>
  <c r="AU147" i="1"/>
  <c r="AU45" i="1"/>
  <c r="AU60" i="1"/>
  <c r="D27" i="154"/>
  <c r="W56" i="1" l="1"/>
  <c r="W49" i="1"/>
  <c r="W31" i="1"/>
  <c r="W47" i="1"/>
  <c r="W36" i="1"/>
  <c r="W41" i="1"/>
  <c r="W22" i="1"/>
  <c r="W120" i="1"/>
  <c r="W164" i="1"/>
  <c r="W186" i="1"/>
  <c r="W178" i="1"/>
  <c r="W116" i="1"/>
  <c r="W129" i="1"/>
  <c r="W158" i="1"/>
  <c r="W43" i="1"/>
  <c r="BG31" i="1" l="1"/>
  <c r="BG22" i="1"/>
  <c r="Q116" i="151"/>
  <c r="P116" i="151"/>
  <c r="O115" i="151"/>
  <c r="N115" i="151"/>
  <c r="J115" i="151"/>
  <c r="H115" i="151"/>
  <c r="AR198" i="1" l="1"/>
  <c r="BF198" i="1" s="1"/>
  <c r="AS198" i="1"/>
  <c r="AV198" i="1"/>
  <c r="AW198" i="1" s="1"/>
  <c r="AX198" i="1"/>
  <c r="AY198" i="1"/>
  <c r="BA198" i="1"/>
  <c r="BB198" i="1"/>
  <c r="BC198" i="1"/>
  <c r="BD198" i="1"/>
  <c r="BE198" i="1"/>
  <c r="BG198" i="1"/>
  <c r="BI198" i="1"/>
  <c r="BJ198" i="1" s="1"/>
  <c r="BK198" i="1"/>
  <c r="BL198" i="1"/>
  <c r="BM198" i="1"/>
  <c r="BN198" i="1"/>
  <c r="AR183" i="1"/>
  <c r="BF183" i="1" s="1"/>
  <c r="AS183" i="1"/>
  <c r="AV183" i="1"/>
  <c r="AW183" i="1" s="1"/>
  <c r="AX183" i="1"/>
  <c r="AY183" i="1"/>
  <c r="BA183" i="1"/>
  <c r="BB183" i="1"/>
  <c r="BC183" i="1"/>
  <c r="BD183" i="1"/>
  <c r="BE183" i="1"/>
  <c r="BG183" i="1"/>
  <c r="BI183" i="1"/>
  <c r="BH183" i="1" s="1"/>
  <c r="BK183" i="1"/>
  <c r="BL183" i="1"/>
  <c r="BM183" i="1"/>
  <c r="BN183" i="1"/>
  <c r="AR152" i="1"/>
  <c r="BF152" i="1" s="1"/>
  <c r="AS152" i="1"/>
  <c r="AV152" i="1"/>
  <c r="AZ152" i="1" s="1"/>
  <c r="AX152" i="1"/>
  <c r="AY152" i="1"/>
  <c r="BA152" i="1"/>
  <c r="BB152" i="1"/>
  <c r="BC152" i="1"/>
  <c r="BD152" i="1"/>
  <c r="BE152" i="1"/>
  <c r="BG152" i="1"/>
  <c r="BI152" i="1"/>
  <c r="BH152" i="1" s="1"/>
  <c r="BK152" i="1"/>
  <c r="BL152" i="1"/>
  <c r="BM152" i="1"/>
  <c r="BN152" i="1"/>
  <c r="AR41" i="1"/>
  <c r="BF41" i="1" s="1"/>
  <c r="AS41" i="1"/>
  <c r="AV41" i="1"/>
  <c r="AW41" i="1" s="1"/>
  <c r="AX41" i="1"/>
  <c r="AY41" i="1"/>
  <c r="BA41" i="1"/>
  <c r="BB41" i="1"/>
  <c r="BC41" i="1"/>
  <c r="BD41" i="1"/>
  <c r="BE41" i="1"/>
  <c r="BG41" i="1"/>
  <c r="BI41" i="1"/>
  <c r="BH41" i="1" s="1"/>
  <c r="BK41" i="1"/>
  <c r="BL41" i="1"/>
  <c r="BM41" i="1"/>
  <c r="BN41" i="1"/>
  <c r="BE43" i="1"/>
  <c r="BE174" i="1"/>
  <c r="BG174" i="1"/>
  <c r="BE176" i="1"/>
  <c r="BG176" i="1"/>
  <c r="BE184" i="1"/>
  <c r="BG184" i="1"/>
  <c r="BE153" i="1"/>
  <c r="BG153" i="1"/>
  <c r="BE162" i="1"/>
  <c r="BG162" i="1"/>
  <c r="BE185" i="1"/>
  <c r="BG185" i="1"/>
  <c r="BE116" i="1"/>
  <c r="BE215" i="1"/>
  <c r="BG215" i="1"/>
  <c r="BE129" i="1"/>
  <c r="BG129" i="1"/>
  <c r="BE158" i="1"/>
  <c r="BG158" i="1"/>
  <c r="BE217" i="1"/>
  <c r="BG217" i="1"/>
  <c r="BE135" i="1"/>
  <c r="BG135" i="1"/>
  <c r="BE155" i="1"/>
  <c r="BG155" i="1"/>
  <c r="BE177" i="1"/>
  <c r="BG177" i="1"/>
  <c r="BE137" i="1"/>
  <c r="BG137" i="1"/>
  <c r="BE38" i="1"/>
  <c r="BE117" i="1"/>
  <c r="BE164" i="1"/>
  <c r="BE142" i="1"/>
  <c r="BG142" i="1"/>
  <c r="BE178" i="1"/>
  <c r="BE211" i="1"/>
  <c r="BG211" i="1"/>
  <c r="BE180" i="1"/>
  <c r="BG180" i="1"/>
  <c r="BE40" i="1"/>
  <c r="BE120" i="1"/>
  <c r="BE157" i="1"/>
  <c r="BG157" i="1"/>
  <c r="BE186" i="1"/>
  <c r="BE136" i="1"/>
  <c r="BE214" i="1"/>
  <c r="BG214" i="1"/>
  <c r="BE149" i="1"/>
  <c r="BE148" i="1"/>
  <c r="BE216" i="1"/>
  <c r="BG216" i="1"/>
  <c r="BE58" i="1"/>
  <c r="BE36" i="1"/>
  <c r="BG36" i="1"/>
  <c r="BE49" i="1"/>
  <c r="BG49" i="1"/>
  <c r="BE59" i="1"/>
  <c r="BE192" i="1"/>
  <c r="BG192" i="1"/>
  <c r="BE193" i="1"/>
  <c r="BG193" i="1"/>
  <c r="BE194" i="1"/>
  <c r="BG194" i="1"/>
  <c r="BE140" i="1"/>
  <c r="BG140" i="1"/>
  <c r="BE145" i="1"/>
  <c r="BE143" i="1"/>
  <c r="BG143" i="1"/>
  <c r="BE179" i="1"/>
  <c r="BE195" i="1"/>
  <c r="BG195" i="1"/>
  <c r="BE218" i="1"/>
  <c r="BG218" i="1"/>
  <c r="BE51" i="1"/>
  <c r="BE53" i="1"/>
  <c r="BE181" i="1"/>
  <c r="BE115" i="1"/>
  <c r="BE188" i="1"/>
  <c r="BE146" i="1"/>
  <c r="BE182" i="1"/>
  <c r="BG182" i="1"/>
  <c r="BE61" i="1"/>
  <c r="BE73" i="1"/>
  <c r="BE199" i="1"/>
  <c r="BG199" i="1"/>
  <c r="BE55" i="1"/>
  <c r="BG55" i="1"/>
  <c r="BE207" i="1"/>
  <c r="BE219" i="1"/>
  <c r="BG219" i="1"/>
  <c r="BE220" i="1"/>
  <c r="BG220" i="1"/>
  <c r="BE159" i="1"/>
  <c r="BG159" i="1"/>
  <c r="BE96" i="1"/>
  <c r="BE161" i="1"/>
  <c r="BG161" i="1"/>
  <c r="BE160" i="1"/>
  <c r="BE191" i="1"/>
  <c r="BE163" i="1"/>
  <c r="BG163" i="1"/>
  <c r="BE202" i="1"/>
  <c r="BG202" i="1"/>
  <c r="BE74" i="1"/>
  <c r="BE172" i="1"/>
  <c r="BE47" i="1"/>
  <c r="BG47" i="1"/>
  <c r="BE197" i="1"/>
  <c r="BE75" i="1"/>
  <c r="BE167" i="1"/>
  <c r="BG167" i="1"/>
  <c r="BE123" i="1"/>
  <c r="BE165" i="1"/>
  <c r="BE166" i="1"/>
  <c r="BE99" i="1"/>
  <c r="BE168" i="1"/>
  <c r="BG168" i="1"/>
  <c r="BE94" i="1"/>
  <c r="BG94" i="1"/>
  <c r="BE44" i="1"/>
  <c r="BE187" i="1"/>
  <c r="BG187" i="1"/>
  <c r="BE170" i="1"/>
  <c r="BG170" i="1"/>
  <c r="BE56" i="1"/>
  <c r="BG56" i="1"/>
  <c r="BE213" i="1"/>
  <c r="BG213" i="1"/>
  <c r="BE147" i="1"/>
  <c r="BG147" i="1"/>
  <c r="BE45" i="1"/>
  <c r="BG45" i="1"/>
  <c r="BE60" i="1"/>
  <c r="BG60" i="1"/>
  <c r="BJ41" i="1" l="1"/>
  <c r="AW152" i="1"/>
  <c r="BJ183" i="1"/>
  <c r="AZ198" i="1"/>
  <c r="AZ41" i="1"/>
  <c r="BH198" i="1"/>
  <c r="AZ183" i="1"/>
  <c r="BJ152" i="1"/>
  <c r="BN176" i="1"/>
  <c r="BM176" i="1"/>
  <c r="BL176" i="1"/>
  <c r="BK176" i="1"/>
  <c r="BI176" i="1"/>
  <c r="BJ176" i="1" s="1"/>
  <c r="BD176" i="1"/>
  <c r="BC176" i="1"/>
  <c r="BB176" i="1"/>
  <c r="BA176" i="1"/>
  <c r="AY176" i="1"/>
  <c r="AX176" i="1"/>
  <c r="AV176" i="1"/>
  <c r="AW176" i="1" s="1"/>
  <c r="AS176" i="1"/>
  <c r="AR176" i="1"/>
  <c r="BF176" i="1" s="1"/>
  <c r="AS174" i="1"/>
  <c r="AR174" i="1"/>
  <c r="AV174" i="1"/>
  <c r="AX174" i="1"/>
  <c r="AY174" i="1"/>
  <c r="BA174" i="1"/>
  <c r="BB174" i="1"/>
  <c r="BC174" i="1"/>
  <c r="BD174" i="1"/>
  <c r="BI174" i="1"/>
  <c r="BH174" i="1" s="1"/>
  <c r="BK174" i="1"/>
  <c r="BL174" i="1"/>
  <c r="BM174" i="1"/>
  <c r="BN174" i="1"/>
  <c r="AR184" i="1"/>
  <c r="BF184" i="1" s="1"/>
  <c r="AS184" i="1"/>
  <c r="AV184" i="1"/>
  <c r="AZ184" i="1" s="1"/>
  <c r="AX184" i="1"/>
  <c r="AY184" i="1"/>
  <c r="BA184" i="1"/>
  <c r="BB184" i="1"/>
  <c r="BC184" i="1"/>
  <c r="BD184" i="1"/>
  <c r="BI184" i="1"/>
  <c r="BH184" i="1" s="1"/>
  <c r="BK184" i="1"/>
  <c r="BL184" i="1"/>
  <c r="BM184" i="1"/>
  <c r="BN184" i="1"/>
  <c r="BG116" i="1"/>
  <c r="BG43" i="1"/>
  <c r="BF174" i="1" l="1"/>
  <c r="AW174" i="1"/>
  <c r="AZ174" i="1"/>
  <c r="AZ176" i="1"/>
  <c r="BH176" i="1"/>
  <c r="BJ184" i="1"/>
  <c r="AW184" i="1"/>
  <c r="BJ174" i="1"/>
  <c r="AR43" i="1" l="1"/>
  <c r="BF43" i="1" s="1"/>
  <c r="AS43" i="1"/>
  <c r="AV43" i="1"/>
  <c r="AW43" i="1" s="1"/>
  <c r="AX43" i="1"/>
  <c r="AY43" i="1"/>
  <c r="BA43" i="1"/>
  <c r="BB43" i="1"/>
  <c r="BC43" i="1"/>
  <c r="BD43" i="1"/>
  <c r="BI43" i="1"/>
  <c r="BH43" i="1" s="1"/>
  <c r="BK43" i="1"/>
  <c r="BL43" i="1"/>
  <c r="BM43" i="1"/>
  <c r="BN43" i="1"/>
  <c r="AR153" i="1"/>
  <c r="BF153" i="1" s="1"/>
  <c r="AS153" i="1"/>
  <c r="AV153" i="1"/>
  <c r="AZ153" i="1" s="1"/>
  <c r="AX153" i="1"/>
  <c r="AY153" i="1"/>
  <c r="BA153" i="1"/>
  <c r="BB153" i="1"/>
  <c r="BC153" i="1"/>
  <c r="BD153" i="1"/>
  <c r="BI153" i="1"/>
  <c r="BH153" i="1" s="1"/>
  <c r="BK153" i="1"/>
  <c r="BL153" i="1"/>
  <c r="BM153" i="1"/>
  <c r="BN153" i="1"/>
  <c r="AR162" i="1"/>
  <c r="BF162" i="1" s="1"/>
  <c r="AS162" i="1"/>
  <c r="AW162" i="1"/>
  <c r="AX162" i="1"/>
  <c r="AY162" i="1"/>
  <c r="BA162" i="1"/>
  <c r="BB162" i="1"/>
  <c r="BC162" i="1"/>
  <c r="BD162" i="1"/>
  <c r="BI162" i="1"/>
  <c r="BJ162" i="1" s="1"/>
  <c r="BK162" i="1"/>
  <c r="BL162" i="1"/>
  <c r="BM162" i="1"/>
  <c r="BN162" i="1"/>
  <c r="AR185" i="1"/>
  <c r="BF185" i="1" s="1"/>
  <c r="AS185" i="1"/>
  <c r="AV185" i="1"/>
  <c r="AZ185" i="1" s="1"/>
  <c r="AX185" i="1"/>
  <c r="AY185" i="1"/>
  <c r="BA185" i="1"/>
  <c r="BB185" i="1"/>
  <c r="BC185" i="1"/>
  <c r="BD185" i="1"/>
  <c r="BI185" i="1"/>
  <c r="BH185" i="1" s="1"/>
  <c r="BK185" i="1"/>
  <c r="BL185" i="1"/>
  <c r="BM185" i="1"/>
  <c r="BN185" i="1"/>
  <c r="AR116" i="1"/>
  <c r="BF116" i="1" s="1"/>
  <c r="AS116" i="1"/>
  <c r="AV116" i="1"/>
  <c r="AZ116" i="1" s="1"/>
  <c r="AX116" i="1"/>
  <c r="AY116" i="1"/>
  <c r="BA116" i="1"/>
  <c r="BB116" i="1"/>
  <c r="BC116" i="1"/>
  <c r="BD116" i="1"/>
  <c r="BI116" i="1"/>
  <c r="BH116" i="1" s="1"/>
  <c r="BK116" i="1"/>
  <c r="BL116" i="1"/>
  <c r="BM116" i="1"/>
  <c r="BN116" i="1"/>
  <c r="AR215" i="1"/>
  <c r="BF215" i="1" s="1"/>
  <c r="AS215" i="1"/>
  <c r="AV215" i="1"/>
  <c r="AW215" i="1" s="1"/>
  <c r="AX215" i="1"/>
  <c r="AY215" i="1"/>
  <c r="BA215" i="1"/>
  <c r="BB215" i="1"/>
  <c r="BC215" i="1"/>
  <c r="BD215" i="1"/>
  <c r="BI215" i="1"/>
  <c r="BJ215" i="1" s="1"/>
  <c r="BK215" i="1"/>
  <c r="BL215" i="1"/>
  <c r="BM215" i="1"/>
  <c r="BN215" i="1"/>
  <c r="AR129" i="1"/>
  <c r="BF129" i="1" s="1"/>
  <c r="AS129" i="1"/>
  <c r="AV129" i="1"/>
  <c r="AZ129" i="1" s="1"/>
  <c r="AX129" i="1"/>
  <c r="AY129" i="1"/>
  <c r="BA129" i="1"/>
  <c r="BB129" i="1"/>
  <c r="BC129" i="1"/>
  <c r="BD129" i="1"/>
  <c r="BI129" i="1"/>
  <c r="BH129" i="1" s="1"/>
  <c r="BK129" i="1"/>
  <c r="BL129" i="1"/>
  <c r="BM129" i="1"/>
  <c r="BN129" i="1"/>
  <c r="AR158" i="1"/>
  <c r="BF158" i="1" s="1"/>
  <c r="AS158" i="1"/>
  <c r="AV158" i="1"/>
  <c r="AW158" i="1" s="1"/>
  <c r="AX158" i="1"/>
  <c r="AY158" i="1"/>
  <c r="BA158" i="1"/>
  <c r="BB158" i="1"/>
  <c r="BC158" i="1"/>
  <c r="BD158" i="1"/>
  <c r="BI158" i="1"/>
  <c r="BH158" i="1" s="1"/>
  <c r="BK158" i="1"/>
  <c r="BL158" i="1"/>
  <c r="BM158" i="1"/>
  <c r="BN158" i="1"/>
  <c r="AR217" i="1"/>
  <c r="BF217" i="1" s="1"/>
  <c r="AS217" i="1"/>
  <c r="AV217" i="1"/>
  <c r="AZ217" i="1" s="1"/>
  <c r="AX217" i="1"/>
  <c r="AY217" i="1"/>
  <c r="BA217" i="1"/>
  <c r="BB217" i="1"/>
  <c r="BC217" i="1"/>
  <c r="BD217" i="1"/>
  <c r="BI217" i="1"/>
  <c r="BH217" i="1" s="1"/>
  <c r="BK217" i="1"/>
  <c r="BL217" i="1"/>
  <c r="BM217" i="1"/>
  <c r="BN217" i="1"/>
  <c r="AR135" i="1"/>
  <c r="BF135" i="1" s="1"/>
  <c r="AS135" i="1"/>
  <c r="AV135" i="1"/>
  <c r="AW135" i="1" s="1"/>
  <c r="AX135" i="1"/>
  <c r="AY135" i="1"/>
  <c r="BA135" i="1"/>
  <c r="BB135" i="1"/>
  <c r="BC135" i="1"/>
  <c r="BD135" i="1"/>
  <c r="BI135" i="1"/>
  <c r="BH135" i="1" s="1"/>
  <c r="BK135" i="1"/>
  <c r="BL135" i="1"/>
  <c r="BM135" i="1"/>
  <c r="BN135" i="1"/>
  <c r="AR155" i="1"/>
  <c r="BF155" i="1" s="1"/>
  <c r="AS155" i="1"/>
  <c r="AV155" i="1"/>
  <c r="AZ155" i="1" s="1"/>
  <c r="AX155" i="1"/>
  <c r="AY155" i="1"/>
  <c r="BA155" i="1"/>
  <c r="BB155" i="1"/>
  <c r="BC155" i="1"/>
  <c r="BD155" i="1"/>
  <c r="BI155" i="1"/>
  <c r="BH155" i="1" s="1"/>
  <c r="BK155" i="1"/>
  <c r="BL155" i="1"/>
  <c r="BM155" i="1"/>
  <c r="BN155" i="1"/>
  <c r="BG120" i="1"/>
  <c r="BJ135" i="1" l="1"/>
  <c r="BH162" i="1"/>
  <c r="BH215" i="1"/>
  <c r="BJ158" i="1"/>
  <c r="BJ43" i="1"/>
  <c r="BJ116" i="1"/>
  <c r="AW155" i="1"/>
  <c r="AW217" i="1"/>
  <c r="AZ158" i="1"/>
  <c r="AW129" i="1"/>
  <c r="AW153" i="1"/>
  <c r="AW185" i="1"/>
  <c r="AZ135" i="1"/>
  <c r="AZ162" i="1"/>
  <c r="BJ155" i="1"/>
  <c r="AW116" i="1"/>
  <c r="BJ185" i="1"/>
  <c r="BJ217" i="1"/>
  <c r="BJ153" i="1"/>
  <c r="AZ215" i="1"/>
  <c r="AZ43" i="1"/>
  <c r="BJ129" i="1"/>
  <c r="W197" i="1"/>
  <c r="W149" i="1"/>
  <c r="BG149" i="1" l="1"/>
  <c r="BG197" i="1"/>
  <c r="W44" i="1"/>
  <c r="W166" i="1"/>
  <c r="W207" i="1"/>
  <c r="W145" i="1"/>
  <c r="W134" i="1"/>
  <c r="W28" i="1"/>
  <c r="W79" i="1"/>
  <c r="W96" i="1"/>
  <c r="W86" i="1"/>
  <c r="W74" i="1"/>
  <c r="W191" i="1"/>
  <c r="W188" i="1"/>
  <c r="W115" i="1"/>
  <c r="W181" i="1"/>
  <c r="W110" i="1"/>
  <c r="W179" i="1"/>
  <c r="W59" i="1"/>
  <c r="W58" i="1"/>
  <c r="W38" i="1"/>
  <c r="W99" i="1"/>
  <c r="W165" i="1"/>
  <c r="W123" i="1"/>
  <c r="W156" i="1"/>
  <c r="W75" i="1"/>
  <c r="W172" i="1"/>
  <c r="W160" i="1"/>
  <c r="W73" i="1"/>
  <c r="W61" i="1"/>
  <c r="W146" i="1"/>
  <c r="W53" i="1"/>
  <c r="W51" i="1"/>
  <c r="W148" i="1"/>
  <c r="W136" i="1"/>
  <c r="W40" i="1"/>
  <c r="W117" i="1"/>
  <c r="BG186" i="1"/>
  <c r="BG178" i="1"/>
  <c r="BG28" i="1" l="1"/>
  <c r="BG134" i="1"/>
  <c r="BG86" i="1"/>
  <c r="BG156" i="1"/>
  <c r="BG110" i="1"/>
  <c r="BG79" i="1"/>
  <c r="BG117" i="1"/>
  <c r="BG99" i="1"/>
  <c r="BG73" i="1"/>
  <c r="BG166" i="1"/>
  <c r="BG148" i="1"/>
  <c r="BG145" i="1"/>
  <c r="BG191" i="1"/>
  <c r="BG160" i="1"/>
  <c r="BG59" i="1"/>
  <c r="BG96" i="1"/>
  <c r="BG51" i="1"/>
  <c r="BG188" i="1"/>
  <c r="BG38" i="1"/>
  <c r="BG58" i="1"/>
  <c r="BG136" i="1"/>
  <c r="BG44" i="1"/>
  <c r="BG179" i="1"/>
  <c r="BG53" i="1"/>
  <c r="BG123" i="1"/>
  <c r="BG181" i="1"/>
  <c r="BG61" i="1"/>
  <c r="BG40" i="1"/>
  <c r="BG207" i="1"/>
  <c r="BG74" i="1"/>
  <c r="BG172" i="1"/>
  <c r="BG75" i="1"/>
  <c r="BG146" i="1"/>
  <c r="BG165" i="1"/>
  <c r="BG115" i="1"/>
  <c r="BG164" i="1"/>
  <c r="BI60" i="1"/>
  <c r="BH60" i="1" s="1"/>
  <c r="BI45" i="1"/>
  <c r="BH45" i="1" s="1"/>
  <c r="BI147" i="1"/>
  <c r="BH147" i="1" s="1"/>
  <c r="BI213" i="1"/>
  <c r="BH213" i="1" s="1"/>
  <c r="BI170" i="1"/>
  <c r="BH170" i="1" s="1"/>
  <c r="BI164" i="1"/>
  <c r="BH164" i="1" s="1"/>
  <c r="BI214" i="1"/>
  <c r="BH214" i="1" s="1"/>
  <c r="BI178" i="1"/>
  <c r="BH178" i="1" s="1"/>
  <c r="BI177" i="1"/>
  <c r="BH177" i="1" s="1"/>
  <c r="BI186" i="1"/>
  <c r="BH186" i="1" s="1"/>
  <c r="BI117" i="1"/>
  <c r="BH117" i="1" s="1"/>
  <c r="BI211" i="1"/>
  <c r="BH211" i="1" s="1"/>
  <c r="BI142" i="1"/>
  <c r="BH142" i="1" s="1"/>
  <c r="BI120" i="1"/>
  <c r="BH120" i="1" s="1"/>
  <c r="BI180" i="1"/>
  <c r="BH180" i="1" s="1"/>
  <c r="BI38" i="1"/>
  <c r="BH38" i="1" s="1"/>
  <c r="BI40" i="1"/>
  <c r="BH40" i="1" s="1"/>
  <c r="BI137" i="1"/>
  <c r="BH137" i="1" s="1"/>
  <c r="BI136" i="1"/>
  <c r="BH136" i="1" s="1"/>
  <c r="BI157" i="1"/>
  <c r="BH157" i="1" s="1"/>
  <c r="BI149" i="1"/>
  <c r="BH149" i="1" s="1"/>
  <c r="BI148" i="1"/>
  <c r="BH148" i="1" s="1"/>
  <c r="BI216" i="1"/>
  <c r="BH216" i="1" s="1"/>
  <c r="BI58" i="1"/>
  <c r="BH58" i="1" s="1"/>
  <c r="BI36" i="1"/>
  <c r="BH36" i="1" s="1"/>
  <c r="BI49" i="1"/>
  <c r="BH49" i="1" s="1"/>
  <c r="BI59" i="1"/>
  <c r="BH59" i="1" s="1"/>
  <c r="BI192" i="1"/>
  <c r="BH192" i="1" s="1"/>
  <c r="BI193" i="1"/>
  <c r="BH193" i="1" s="1"/>
  <c r="BI194" i="1"/>
  <c r="BH194" i="1" s="1"/>
  <c r="BI140" i="1"/>
  <c r="BH140" i="1" s="1"/>
  <c r="BI145" i="1"/>
  <c r="BH145" i="1" s="1"/>
  <c r="BI143" i="1"/>
  <c r="BH143" i="1" s="1"/>
  <c r="BI179" i="1"/>
  <c r="BH179" i="1" s="1"/>
  <c r="BI195" i="1"/>
  <c r="BH195" i="1" s="1"/>
  <c r="BI218" i="1"/>
  <c r="BH218" i="1" s="1"/>
  <c r="BI51" i="1"/>
  <c r="BH51" i="1" s="1"/>
  <c r="BI53" i="1"/>
  <c r="BH53" i="1" s="1"/>
  <c r="BI181" i="1"/>
  <c r="BH181" i="1" s="1"/>
  <c r="BI115" i="1"/>
  <c r="BH115" i="1" s="1"/>
  <c r="BI188" i="1"/>
  <c r="BH188" i="1" s="1"/>
  <c r="BI146" i="1"/>
  <c r="BH146" i="1" s="1"/>
  <c r="BI182" i="1"/>
  <c r="BH182" i="1" s="1"/>
  <c r="BI61" i="1"/>
  <c r="BH61" i="1" s="1"/>
  <c r="BI73" i="1"/>
  <c r="BH73" i="1" s="1"/>
  <c r="BI199" i="1"/>
  <c r="BH199" i="1" s="1"/>
  <c r="BI55" i="1"/>
  <c r="BH55" i="1" s="1"/>
  <c r="BI207" i="1"/>
  <c r="BH207" i="1" s="1"/>
  <c r="BI219" i="1"/>
  <c r="BH219" i="1" s="1"/>
  <c r="BI220" i="1"/>
  <c r="BH220" i="1" s="1"/>
  <c r="BI159" i="1"/>
  <c r="BH159" i="1" s="1"/>
  <c r="BI96" i="1"/>
  <c r="BH96" i="1" s="1"/>
  <c r="BI161" i="1"/>
  <c r="BH161" i="1" s="1"/>
  <c r="BI160" i="1"/>
  <c r="BH160" i="1" s="1"/>
  <c r="BI191" i="1"/>
  <c r="BH191" i="1" s="1"/>
  <c r="BI163" i="1"/>
  <c r="BH163" i="1" s="1"/>
  <c r="BI202" i="1"/>
  <c r="BH202" i="1" s="1"/>
  <c r="BI74" i="1"/>
  <c r="BH74" i="1" s="1"/>
  <c r="BI172" i="1"/>
  <c r="BH172" i="1" s="1"/>
  <c r="BI47" i="1"/>
  <c r="BH47" i="1" s="1"/>
  <c r="BI197" i="1"/>
  <c r="BH197" i="1" s="1"/>
  <c r="BI75" i="1"/>
  <c r="BH75" i="1" s="1"/>
  <c r="BI167" i="1"/>
  <c r="BH167" i="1" s="1"/>
  <c r="BI123" i="1"/>
  <c r="BH123" i="1" s="1"/>
  <c r="BI165" i="1"/>
  <c r="BH165" i="1" s="1"/>
  <c r="BI166" i="1"/>
  <c r="BH166" i="1" s="1"/>
  <c r="BI99" i="1"/>
  <c r="BH99" i="1" s="1"/>
  <c r="BI168" i="1"/>
  <c r="BH168" i="1" s="1"/>
  <c r="BI94" i="1"/>
  <c r="BH94" i="1" s="1"/>
  <c r="BI44" i="1"/>
  <c r="BH44" i="1" s="1"/>
  <c r="BI187" i="1"/>
  <c r="BH187" i="1" s="1"/>
  <c r="BI56" i="1"/>
  <c r="BH56" i="1" s="1"/>
  <c r="BJ179" i="1" l="1"/>
  <c r="BJ192" i="1"/>
  <c r="BJ148" i="1"/>
  <c r="BJ38" i="1"/>
  <c r="BJ178" i="1"/>
  <c r="BJ213" i="1"/>
  <c r="BJ75" i="1"/>
  <c r="BJ191" i="1"/>
  <c r="BJ55" i="1"/>
  <c r="BJ181" i="1"/>
  <c r="BJ143" i="1"/>
  <c r="BJ149" i="1"/>
  <c r="BJ180" i="1"/>
  <c r="BJ214" i="1"/>
  <c r="BJ147" i="1"/>
  <c r="BJ94" i="1"/>
  <c r="BJ202" i="1"/>
  <c r="BJ195" i="1"/>
  <c r="BJ168" i="1"/>
  <c r="BJ53" i="1"/>
  <c r="BJ59" i="1"/>
  <c r="BJ157" i="1"/>
  <c r="BJ120" i="1"/>
  <c r="BJ164" i="1"/>
  <c r="BJ219" i="1"/>
  <c r="BJ193" i="1"/>
  <c r="BJ207" i="1"/>
  <c r="BJ160" i="1"/>
  <c r="BJ47" i="1"/>
  <c r="BJ73" i="1"/>
  <c r="BJ145" i="1"/>
  <c r="BJ136" i="1"/>
  <c r="BJ142" i="1"/>
  <c r="BJ166" i="1"/>
  <c r="BJ96" i="1"/>
  <c r="BJ218" i="1"/>
  <c r="BJ140" i="1"/>
  <c r="BJ211" i="1"/>
  <c r="BJ159" i="1"/>
  <c r="BJ137" i="1"/>
  <c r="BJ117" i="1"/>
  <c r="BJ45" i="1"/>
  <c r="BJ167" i="1"/>
  <c r="BJ188" i="1"/>
  <c r="BJ177" i="1"/>
  <c r="BJ163" i="1"/>
  <c r="BJ115" i="1"/>
  <c r="BJ197" i="1"/>
  <c r="BJ199" i="1"/>
  <c r="BJ99" i="1"/>
  <c r="BJ161" i="1"/>
  <c r="BJ51" i="1"/>
  <c r="BJ49" i="1"/>
  <c r="BJ56" i="1"/>
  <c r="BJ172" i="1"/>
  <c r="BJ61" i="1"/>
  <c r="BJ36" i="1"/>
  <c r="BJ170" i="1"/>
  <c r="BJ187" i="1"/>
  <c r="BJ165" i="1"/>
  <c r="BJ182" i="1"/>
  <c r="BJ58" i="1"/>
  <c r="BJ44" i="1"/>
  <c r="BJ123" i="1"/>
  <c r="BJ74" i="1"/>
  <c r="BJ220" i="1"/>
  <c r="BJ146" i="1"/>
  <c r="BJ194" i="1"/>
  <c r="BJ216" i="1"/>
  <c r="BJ40" i="1"/>
  <c r="BJ186" i="1"/>
  <c r="BJ60" i="1"/>
  <c r="I326" i="1" a="1"/>
  <c r="I326" i="1" s="1"/>
  <c r="I307" i="1" a="1"/>
  <c r="I307" i="1" s="1"/>
  <c r="C37" i="165" s="1"/>
  <c r="E44" i="180" s="1"/>
  <c r="C59" i="165" l="1"/>
  <c r="E45" i="180" s="1"/>
  <c r="AY164" i="1"/>
  <c r="AY214" i="1"/>
  <c r="AY178" i="1"/>
  <c r="AY177" i="1"/>
  <c r="AY186" i="1"/>
  <c r="AY117" i="1"/>
  <c r="AY211" i="1"/>
  <c r="AY142" i="1"/>
  <c r="AY120" i="1"/>
  <c r="AY180" i="1"/>
  <c r="AY38" i="1"/>
  <c r="AY40" i="1"/>
  <c r="AY137" i="1"/>
  <c r="AY136" i="1"/>
  <c r="AY157" i="1"/>
  <c r="AY149" i="1"/>
  <c r="AY148" i="1"/>
  <c r="AY216" i="1"/>
  <c r="AY58" i="1"/>
  <c r="AY36" i="1"/>
  <c r="AY49" i="1"/>
  <c r="AY59" i="1"/>
  <c r="AY192" i="1"/>
  <c r="AY193" i="1"/>
  <c r="AY194" i="1"/>
  <c r="AY140" i="1"/>
  <c r="AY145" i="1"/>
  <c r="AY143" i="1"/>
  <c r="AY179" i="1"/>
  <c r="AY195" i="1"/>
  <c r="AY218" i="1"/>
  <c r="AY51" i="1"/>
  <c r="AY53" i="1"/>
  <c r="AY181" i="1"/>
  <c r="AY115" i="1"/>
  <c r="AY188" i="1"/>
  <c r="AY146" i="1"/>
  <c r="AY182" i="1"/>
  <c r="AY61" i="1"/>
  <c r="AY73" i="1"/>
  <c r="AY199" i="1"/>
  <c r="AY55" i="1"/>
  <c r="AY207" i="1"/>
  <c r="AY219" i="1"/>
  <c r="AY220" i="1"/>
  <c r="AY159" i="1"/>
  <c r="AY96" i="1"/>
  <c r="AY161" i="1"/>
  <c r="AY160" i="1"/>
  <c r="AY191" i="1"/>
  <c r="AY163" i="1"/>
  <c r="AY202" i="1"/>
  <c r="AY74" i="1"/>
  <c r="AY172" i="1"/>
  <c r="AY47" i="1"/>
  <c r="AP22" i="1" l="1"/>
  <c r="AQ22" i="1"/>
  <c r="AP164" i="1"/>
  <c r="AQ164" i="1"/>
  <c r="AR164" i="1"/>
  <c r="BF164" i="1" s="1"/>
  <c r="AS164" i="1"/>
  <c r="AV164" i="1"/>
  <c r="AZ164" i="1" s="1"/>
  <c r="AX164" i="1"/>
  <c r="BA164" i="1"/>
  <c r="BB164" i="1"/>
  <c r="BC164" i="1"/>
  <c r="BD164" i="1"/>
  <c r="BK164" i="1"/>
  <c r="BL164" i="1"/>
  <c r="BM164" i="1"/>
  <c r="BN164" i="1"/>
  <c r="AP214" i="1"/>
  <c r="AQ214" i="1"/>
  <c r="AR214" i="1"/>
  <c r="BF214" i="1" s="1"/>
  <c r="AS214" i="1"/>
  <c r="AV214" i="1"/>
  <c r="AW214" i="1" s="1"/>
  <c r="AX214" i="1"/>
  <c r="BA214" i="1"/>
  <c r="BB214" i="1"/>
  <c r="BC214" i="1"/>
  <c r="BD214" i="1"/>
  <c r="BK214" i="1"/>
  <c r="BL214" i="1"/>
  <c r="BM214" i="1"/>
  <c r="BN214" i="1"/>
  <c r="AP178" i="1"/>
  <c r="AQ178" i="1"/>
  <c r="AR178" i="1"/>
  <c r="BF178" i="1" s="1"/>
  <c r="AS178" i="1"/>
  <c r="AV178" i="1"/>
  <c r="AZ178" i="1" s="1"/>
  <c r="AX178" i="1"/>
  <c r="BA178" i="1"/>
  <c r="BB178" i="1"/>
  <c r="BC178" i="1"/>
  <c r="BD178" i="1"/>
  <c r="BK178" i="1"/>
  <c r="BL178" i="1"/>
  <c r="BM178" i="1"/>
  <c r="BN178" i="1"/>
  <c r="AP177" i="1"/>
  <c r="AQ177" i="1"/>
  <c r="AR177" i="1"/>
  <c r="BF177" i="1" s="1"/>
  <c r="AS177" i="1"/>
  <c r="AV177" i="1"/>
  <c r="AW177" i="1" s="1"/>
  <c r="AX177" i="1"/>
  <c r="BA177" i="1"/>
  <c r="BB177" i="1"/>
  <c r="BC177" i="1"/>
  <c r="BD177" i="1"/>
  <c r="BK177" i="1"/>
  <c r="BL177" i="1"/>
  <c r="BM177" i="1"/>
  <c r="BN177" i="1"/>
  <c r="AP186" i="1"/>
  <c r="AQ186" i="1"/>
  <c r="AR186" i="1"/>
  <c r="BF186" i="1" s="1"/>
  <c r="AS186" i="1"/>
  <c r="AV186" i="1"/>
  <c r="AZ186" i="1" s="1"/>
  <c r="AX186" i="1"/>
  <c r="BA186" i="1"/>
  <c r="BB186" i="1"/>
  <c r="BC186" i="1"/>
  <c r="BD186" i="1"/>
  <c r="BK186" i="1"/>
  <c r="BL186" i="1"/>
  <c r="BM186" i="1"/>
  <c r="BN186" i="1"/>
  <c r="AP117" i="1"/>
  <c r="AQ117" i="1"/>
  <c r="AR117" i="1"/>
  <c r="BF117" i="1" s="1"/>
  <c r="AS117" i="1"/>
  <c r="AV117" i="1"/>
  <c r="AW117" i="1" s="1"/>
  <c r="AX117" i="1"/>
  <c r="BA117" i="1"/>
  <c r="BB117" i="1"/>
  <c r="BC117" i="1"/>
  <c r="BD117" i="1"/>
  <c r="BK117" i="1"/>
  <c r="BL117" i="1"/>
  <c r="BM117" i="1"/>
  <c r="BN117" i="1"/>
  <c r="AP211" i="1"/>
  <c r="AQ211" i="1"/>
  <c r="AR211" i="1"/>
  <c r="BF211" i="1" s="1"/>
  <c r="AS211" i="1"/>
  <c r="AV211" i="1"/>
  <c r="AW211" i="1" s="1"/>
  <c r="AX211" i="1"/>
  <c r="BA211" i="1"/>
  <c r="BB211" i="1"/>
  <c r="BC211" i="1"/>
  <c r="BD211" i="1"/>
  <c r="BK211" i="1"/>
  <c r="BL211" i="1"/>
  <c r="BM211" i="1"/>
  <c r="BN211" i="1"/>
  <c r="J409" i="1" l="1"/>
  <c r="H446" i="1"/>
  <c r="J390" i="1"/>
  <c r="J446" i="1"/>
  <c r="H390" i="1"/>
  <c r="H371" i="1"/>
  <c r="J428" i="1"/>
  <c r="H428" i="1"/>
  <c r="H409" i="1"/>
  <c r="J371" i="1"/>
  <c r="AW178" i="1"/>
  <c r="AW164" i="1"/>
  <c r="AZ211" i="1"/>
  <c r="AW186" i="1"/>
  <c r="AZ117" i="1"/>
  <c r="AZ177" i="1"/>
  <c r="AZ214" i="1"/>
  <c r="AD2" i="1" l="1"/>
  <c r="H320" i="1" l="1"/>
  <c r="B53" i="165" s="1"/>
  <c r="I320" i="1" a="1"/>
  <c r="I320" i="1" s="1"/>
  <c r="C53" i="165" s="1"/>
  <c r="J320" i="1"/>
  <c r="D53" i="165" s="1"/>
  <c r="N320" i="1" a="1"/>
  <c r="N320" i="1" s="1"/>
  <c r="O320" i="1" a="1"/>
  <c r="O320" i="1" s="1"/>
  <c r="F53" i="165" s="1"/>
  <c r="P320" i="1" a="1"/>
  <c r="P320" i="1" s="1"/>
  <c r="Q320" i="1" a="1"/>
  <c r="Q320" i="1" s="1"/>
  <c r="G53" i="165" s="1"/>
  <c r="R320" i="1" a="1"/>
  <c r="R320" i="1" s="1"/>
  <c r="H53" i="165" s="1"/>
  <c r="S320" i="1" a="1"/>
  <c r="S320" i="1" s="1"/>
  <c r="I53" i="165" s="1"/>
  <c r="T320" i="1" a="1"/>
  <c r="T320" i="1" s="1"/>
  <c r="U320" i="1" a="1"/>
  <c r="U320" i="1" s="1"/>
  <c r="H302" i="1"/>
  <c r="B32" i="165" s="1"/>
  <c r="I302" i="1" a="1"/>
  <c r="I302" i="1" s="1"/>
  <c r="C32" i="165" s="1"/>
  <c r="J302" i="1"/>
  <c r="D32" i="165" s="1"/>
  <c r="N302" i="1" a="1"/>
  <c r="N302" i="1" s="1"/>
  <c r="E32" i="165" s="1"/>
  <c r="O302" i="1" a="1"/>
  <c r="O302" i="1" s="1"/>
  <c r="F32" i="165" s="1"/>
  <c r="P302" i="1" a="1"/>
  <c r="P302" i="1" s="1"/>
  <c r="Q302" i="1" a="1"/>
  <c r="Q302" i="1" s="1"/>
  <c r="G32" i="165" s="1"/>
  <c r="R302" i="1" a="1"/>
  <c r="R302" i="1" s="1"/>
  <c r="H32" i="165" s="1"/>
  <c r="S302" i="1" a="1"/>
  <c r="S302" i="1" s="1"/>
  <c r="I32" i="165" s="1"/>
  <c r="T302" i="1" a="1"/>
  <c r="T302" i="1" s="1"/>
  <c r="U302" i="1" a="1"/>
  <c r="U302" i="1" s="1"/>
  <c r="N233" i="1" a="1"/>
  <c r="N233" i="1" s="1"/>
  <c r="H233" i="1"/>
  <c r="B12" i="165" s="1"/>
  <c r="I233" i="1" a="1"/>
  <c r="I233" i="1" s="1"/>
  <c r="C12" i="165" s="1"/>
  <c r="J233" i="1"/>
  <c r="D12" i="165" s="1"/>
  <c r="O233" i="1" a="1"/>
  <c r="O233" i="1" s="1"/>
  <c r="F12" i="165" s="1"/>
  <c r="P233" i="1" a="1"/>
  <c r="P233" i="1" s="1"/>
  <c r="Q233" i="1" a="1"/>
  <c r="Q233" i="1" s="1"/>
  <c r="G12" i="165" s="1"/>
  <c r="R233" i="1" a="1"/>
  <c r="R233" i="1" s="1"/>
  <c r="H12" i="165" s="1"/>
  <c r="S233" i="1" a="1"/>
  <c r="S233" i="1" s="1"/>
  <c r="I12" i="165" s="1"/>
  <c r="T233" i="1" a="1"/>
  <c r="T233" i="1" s="1"/>
  <c r="U233" i="1" a="1"/>
  <c r="U233" i="1" s="1"/>
  <c r="AD233" i="1"/>
  <c r="AG233" i="1" a="1"/>
  <c r="AG233" i="1" s="1"/>
  <c r="AH233" i="1" a="1"/>
  <c r="AH233" i="1" s="1"/>
  <c r="AP142" i="1"/>
  <c r="AQ142" i="1"/>
  <c r="AR142" i="1"/>
  <c r="BF142" i="1" s="1"/>
  <c r="AS142" i="1"/>
  <c r="AV142" i="1"/>
  <c r="AZ142" i="1" s="1"/>
  <c r="AX142" i="1"/>
  <c r="BA142" i="1"/>
  <c r="BB142" i="1"/>
  <c r="BC142" i="1"/>
  <c r="BD142" i="1"/>
  <c r="BK142" i="1"/>
  <c r="BL142" i="1"/>
  <c r="BM142" i="1"/>
  <c r="BN142" i="1"/>
  <c r="B78" i="165" l="1"/>
  <c r="X320" i="1" a="1"/>
  <c r="X320" i="1" s="1"/>
  <c r="J53" i="165" s="1"/>
  <c r="E53" i="165"/>
  <c r="X302" i="1" a="1"/>
  <c r="X302" i="1" s="1"/>
  <c r="J32" i="165" s="1"/>
  <c r="X233" i="1" a="1"/>
  <c r="X233" i="1" s="1"/>
  <c r="J12" i="165" s="1"/>
  <c r="E12" i="165"/>
  <c r="H340" i="1"/>
  <c r="D121" i="165"/>
  <c r="B121" i="165"/>
  <c r="D99" i="165"/>
  <c r="Z302" i="1"/>
  <c r="K32" i="165" s="1"/>
  <c r="B99" i="165"/>
  <c r="D78" i="165"/>
  <c r="J360" i="1"/>
  <c r="H360" i="1"/>
  <c r="J340" i="1"/>
  <c r="Z320" i="1"/>
  <c r="K53" i="165" s="1"/>
  <c r="Z233" i="1"/>
  <c r="K12" i="165" s="1"/>
  <c r="AW142" i="1"/>
  <c r="AP120" i="1" l="1"/>
  <c r="AQ120" i="1"/>
  <c r="AR120" i="1"/>
  <c r="BF120" i="1" s="1"/>
  <c r="AS120" i="1"/>
  <c r="AV120" i="1"/>
  <c r="AW120" i="1" s="1"/>
  <c r="AX120" i="1"/>
  <c r="BA120" i="1"/>
  <c r="BB120" i="1"/>
  <c r="BC120" i="1"/>
  <c r="BD120" i="1"/>
  <c r="BK120" i="1"/>
  <c r="BL120" i="1"/>
  <c r="BM120" i="1"/>
  <c r="BN120" i="1"/>
  <c r="N295" i="1" a="1"/>
  <c r="N295" i="1" s="1"/>
  <c r="E25" i="165" s="1"/>
  <c r="N238" i="1" a="1"/>
  <c r="N238" i="1" s="1"/>
  <c r="N237" i="1" a="1"/>
  <c r="N237" i="1" s="1"/>
  <c r="N236" i="1" a="1"/>
  <c r="N236" i="1" s="1"/>
  <c r="N235" i="1" a="1"/>
  <c r="N235" i="1" s="1"/>
  <c r="N234" i="1" a="1"/>
  <c r="N234" i="1" s="1"/>
  <c r="N232" i="1" a="1"/>
  <c r="N232" i="1" s="1"/>
  <c r="N231" i="1" a="1"/>
  <c r="N231" i="1" s="1"/>
  <c r="N230" i="1" a="1"/>
  <c r="N230" i="1" s="1"/>
  <c r="N229" i="1" a="1"/>
  <c r="N229" i="1" s="1"/>
  <c r="N228" i="1" a="1"/>
  <c r="N228" i="1" s="1"/>
  <c r="N227" i="1" a="1"/>
  <c r="N227" i="1" s="1"/>
  <c r="N224" i="1" a="1"/>
  <c r="N224" i="1" s="1"/>
  <c r="E3" i="165" s="1"/>
  <c r="N225" i="1" a="1"/>
  <c r="N225" i="1" s="1"/>
  <c r="I325" i="1" a="1"/>
  <c r="I325" i="1" s="1"/>
  <c r="C58" i="165" s="1"/>
  <c r="I312" i="1" a="1"/>
  <c r="I312" i="1" s="1"/>
  <c r="C45" i="165" s="1"/>
  <c r="I314" i="1" a="1"/>
  <c r="I314" i="1" s="1"/>
  <c r="I315" i="1" a="1"/>
  <c r="I315" i="1" s="1"/>
  <c r="C48" i="165" s="1"/>
  <c r="I316" i="1" a="1"/>
  <c r="I316" i="1" s="1"/>
  <c r="C49" i="165" s="1"/>
  <c r="I317" i="1" a="1"/>
  <c r="I317" i="1" s="1"/>
  <c r="C50" i="165" s="1"/>
  <c r="I318" i="1" a="1"/>
  <c r="I318" i="1" s="1"/>
  <c r="C51" i="165" s="1"/>
  <c r="I319" i="1" a="1"/>
  <c r="I319" i="1" s="1"/>
  <c r="C52" i="165" s="1"/>
  <c r="I321" i="1" a="1"/>
  <c r="I321" i="1" s="1"/>
  <c r="C54" i="165" s="1"/>
  <c r="I322" i="1" a="1"/>
  <c r="I322" i="1" s="1"/>
  <c r="C55" i="165" s="1"/>
  <c r="I323" i="1" a="1"/>
  <c r="I323" i="1" s="1"/>
  <c r="C56" i="165" s="1"/>
  <c r="I324" i="1" a="1"/>
  <c r="I324" i="1" s="1"/>
  <c r="C57" i="165" s="1"/>
  <c r="I311" i="1" a="1"/>
  <c r="I311" i="1" s="1"/>
  <c r="C44" i="165" s="1"/>
  <c r="I296" i="1" a="1"/>
  <c r="I296" i="1" s="1"/>
  <c r="C26" i="165" s="1"/>
  <c r="I297" i="1" a="1"/>
  <c r="I297" i="1" s="1"/>
  <c r="C27" i="165" s="1"/>
  <c r="I298" i="1" a="1"/>
  <c r="I298" i="1" s="1"/>
  <c r="C28" i="165" s="1"/>
  <c r="I299" i="1" a="1"/>
  <c r="I299" i="1" s="1"/>
  <c r="C29" i="165" s="1"/>
  <c r="I300" i="1" a="1"/>
  <c r="I300" i="1" s="1"/>
  <c r="C30" i="165" s="1"/>
  <c r="I301" i="1" a="1"/>
  <c r="I301" i="1" s="1"/>
  <c r="C31" i="165" s="1"/>
  <c r="I303" i="1" a="1"/>
  <c r="I303" i="1" s="1"/>
  <c r="C33" i="165" s="1"/>
  <c r="I304" i="1" a="1"/>
  <c r="I304" i="1" s="1"/>
  <c r="C34" i="165" s="1"/>
  <c r="I305" i="1" a="1"/>
  <c r="I305" i="1" s="1"/>
  <c r="C35" i="165" s="1"/>
  <c r="I306" i="1" a="1"/>
  <c r="I306" i="1" s="1"/>
  <c r="C36" i="165" s="1"/>
  <c r="I295" i="1" a="1"/>
  <c r="I295" i="1" s="1"/>
  <c r="C25" i="165" s="1"/>
  <c r="BB180" i="1"/>
  <c r="BB38" i="1"/>
  <c r="BB40" i="1"/>
  <c r="BB137" i="1"/>
  <c r="BB136" i="1"/>
  <c r="BB157" i="1"/>
  <c r="BB149" i="1"/>
  <c r="BB148" i="1"/>
  <c r="BB216" i="1"/>
  <c r="BB58" i="1"/>
  <c r="BB36" i="1"/>
  <c r="BB49" i="1"/>
  <c r="BB59" i="1"/>
  <c r="BB192" i="1"/>
  <c r="BB193" i="1"/>
  <c r="BB194" i="1"/>
  <c r="BB140" i="1"/>
  <c r="BB145" i="1"/>
  <c r="BB143" i="1"/>
  <c r="BB179" i="1"/>
  <c r="BB195" i="1"/>
  <c r="BB218" i="1"/>
  <c r="BB51" i="1"/>
  <c r="BB53" i="1"/>
  <c r="BB181" i="1"/>
  <c r="BB115" i="1"/>
  <c r="BB188" i="1"/>
  <c r="BB146" i="1"/>
  <c r="BB182" i="1"/>
  <c r="BB61" i="1"/>
  <c r="BB73" i="1"/>
  <c r="BB199" i="1"/>
  <c r="BB55" i="1"/>
  <c r="BB207" i="1"/>
  <c r="BB219" i="1"/>
  <c r="BB220" i="1"/>
  <c r="BB159" i="1"/>
  <c r="BB96" i="1"/>
  <c r="BB161" i="1"/>
  <c r="BB160" i="1"/>
  <c r="BB191" i="1"/>
  <c r="BB163" i="1"/>
  <c r="BB202" i="1"/>
  <c r="BB74" i="1"/>
  <c r="BB172" i="1"/>
  <c r="BB47" i="1"/>
  <c r="BB197" i="1"/>
  <c r="BB75" i="1"/>
  <c r="BB167" i="1"/>
  <c r="BB123" i="1"/>
  <c r="BB165" i="1"/>
  <c r="BB166" i="1"/>
  <c r="BB99" i="1"/>
  <c r="BB168" i="1"/>
  <c r="BB94" i="1"/>
  <c r="BB44" i="1"/>
  <c r="BB187" i="1"/>
  <c r="BB170" i="1"/>
  <c r="BB56" i="1"/>
  <c r="BB213" i="1"/>
  <c r="BB147" i="1"/>
  <c r="BB45" i="1"/>
  <c r="BB60" i="1"/>
  <c r="C47" i="165" l="1"/>
  <c r="X230" i="1" a="1"/>
  <c r="X230" i="1" s="1"/>
  <c r="J9" i="165" s="1"/>
  <c r="E9" i="165"/>
  <c r="X231" i="1" a="1"/>
  <c r="X231" i="1" s="1"/>
  <c r="J10" i="165" s="1"/>
  <c r="E10" i="165"/>
  <c r="X232" i="1" a="1"/>
  <c r="X232" i="1" s="1"/>
  <c r="J11" i="165" s="1"/>
  <c r="E11" i="165"/>
  <c r="X235" i="1" a="1"/>
  <c r="X235" i="1" s="1"/>
  <c r="J14" i="165" s="1"/>
  <c r="E14" i="165"/>
  <c r="X227" i="1" a="1"/>
  <c r="X227" i="1" s="1"/>
  <c r="J6" i="165" s="1"/>
  <c r="E6" i="165"/>
  <c r="X236" i="1" a="1"/>
  <c r="X236" i="1" s="1"/>
  <c r="J15" i="165" s="1"/>
  <c r="E15" i="165"/>
  <c r="X225" i="1" a="1"/>
  <c r="X225" i="1" s="1"/>
  <c r="J4" i="165" s="1"/>
  <c r="E4" i="165"/>
  <c r="X228" i="1" a="1"/>
  <c r="X228" i="1" s="1"/>
  <c r="J7" i="165" s="1"/>
  <c r="E7" i="165"/>
  <c r="X237" i="1" a="1"/>
  <c r="X237" i="1" s="1"/>
  <c r="J16" i="165" s="1"/>
  <c r="E16" i="165"/>
  <c r="X234" i="1" a="1"/>
  <c r="X234" i="1" s="1"/>
  <c r="J13" i="165" s="1"/>
  <c r="E13" i="165"/>
  <c r="X229" i="1" a="1"/>
  <c r="X229" i="1" s="1"/>
  <c r="J8" i="165" s="1"/>
  <c r="E8" i="165"/>
  <c r="X238" i="1" a="1"/>
  <c r="X238" i="1" s="1"/>
  <c r="J17" i="165" s="1"/>
  <c r="E17" i="165"/>
  <c r="AZ120" i="1"/>
  <c r="U295" i="1" a="1"/>
  <c r="U295" i="1" s="1"/>
  <c r="AV58" i="1"/>
  <c r="AV207" i="1"/>
  <c r="AZ207" i="1" s="1"/>
  <c r="T312" i="1" a="1"/>
  <c r="T312" i="1" s="1"/>
  <c r="AP180" i="1"/>
  <c r="AQ180" i="1"/>
  <c r="AR180" i="1"/>
  <c r="BF180" i="1" s="1"/>
  <c r="AS180" i="1"/>
  <c r="AV180" i="1"/>
  <c r="AZ180" i="1" s="1"/>
  <c r="AX180" i="1"/>
  <c r="BA180" i="1"/>
  <c r="BC180" i="1"/>
  <c r="BD180" i="1"/>
  <c r="BK180" i="1"/>
  <c r="BL180" i="1"/>
  <c r="BM180" i="1"/>
  <c r="BN180" i="1"/>
  <c r="AP38" i="1"/>
  <c r="AQ38" i="1"/>
  <c r="AR38" i="1"/>
  <c r="BF38" i="1" s="1"/>
  <c r="AS38" i="1"/>
  <c r="AV38" i="1"/>
  <c r="AZ38" i="1" s="1"/>
  <c r="AX38" i="1"/>
  <c r="BA38" i="1"/>
  <c r="BC38" i="1"/>
  <c r="BD38" i="1"/>
  <c r="BK38" i="1"/>
  <c r="BL38" i="1"/>
  <c r="BM38" i="1"/>
  <c r="BN38" i="1"/>
  <c r="AP121" i="1"/>
  <c r="AQ121" i="1"/>
  <c r="AP40" i="1"/>
  <c r="AQ40" i="1"/>
  <c r="AR40" i="1"/>
  <c r="BF40" i="1" s="1"/>
  <c r="AS40" i="1"/>
  <c r="AV40" i="1"/>
  <c r="AW40" i="1" s="1"/>
  <c r="AX40" i="1"/>
  <c r="BA40" i="1"/>
  <c r="BC40" i="1"/>
  <c r="BD40" i="1"/>
  <c r="BK40" i="1"/>
  <c r="BL40" i="1"/>
  <c r="BM40" i="1"/>
  <c r="BN40" i="1"/>
  <c r="AP137" i="1"/>
  <c r="AQ137" i="1"/>
  <c r="AR137" i="1"/>
  <c r="BF137" i="1" s="1"/>
  <c r="AS137" i="1"/>
  <c r="AV137" i="1"/>
  <c r="AZ137" i="1" s="1"/>
  <c r="AX137" i="1"/>
  <c r="BA137" i="1"/>
  <c r="BC137" i="1"/>
  <c r="BD137" i="1"/>
  <c r="BK137" i="1"/>
  <c r="BL137" i="1"/>
  <c r="BM137" i="1"/>
  <c r="BN137" i="1"/>
  <c r="AP122" i="1"/>
  <c r="AQ122" i="1"/>
  <c r="AP136" i="1"/>
  <c r="AQ136" i="1"/>
  <c r="AR136" i="1"/>
  <c r="BF136" i="1" s="1"/>
  <c r="AS136" i="1"/>
  <c r="AV136" i="1"/>
  <c r="AW136" i="1" s="1"/>
  <c r="AX136" i="1"/>
  <c r="BA136" i="1"/>
  <c r="BC136" i="1"/>
  <c r="BD136" i="1"/>
  <c r="BK136" i="1"/>
  <c r="BL136" i="1"/>
  <c r="BM136" i="1"/>
  <c r="BN136" i="1"/>
  <c r="AP157" i="1"/>
  <c r="AQ157" i="1"/>
  <c r="AR157" i="1"/>
  <c r="BF157" i="1" s="1"/>
  <c r="AS157" i="1"/>
  <c r="AV157" i="1"/>
  <c r="AX157" i="1"/>
  <c r="BA157" i="1"/>
  <c r="BC157" i="1"/>
  <c r="BD157" i="1"/>
  <c r="BK157" i="1"/>
  <c r="BL157" i="1"/>
  <c r="BM157" i="1"/>
  <c r="BN157" i="1"/>
  <c r="J297" i="1"/>
  <c r="D27" i="165" s="1"/>
  <c r="AW157" i="1" l="1"/>
  <c r="AZ157" i="1"/>
  <c r="AZ136" i="1"/>
  <c r="AW38" i="1"/>
  <c r="AW137" i="1"/>
  <c r="AW180" i="1"/>
  <c r="AZ40" i="1"/>
  <c r="AP149" i="1"/>
  <c r="AQ149" i="1"/>
  <c r="AP148" i="1"/>
  <c r="AQ148" i="1"/>
  <c r="AP134" i="1"/>
  <c r="AQ134" i="1"/>
  <c r="AP216" i="1"/>
  <c r="AP58" i="1"/>
  <c r="AQ58" i="1"/>
  <c r="AP36" i="1"/>
  <c r="AQ36" i="1"/>
  <c r="AP49" i="1"/>
  <c r="AQ49" i="1"/>
  <c r="AP59" i="1"/>
  <c r="AQ59" i="1"/>
  <c r="AP31" i="1"/>
  <c r="AP192" i="1"/>
  <c r="AQ192" i="1"/>
  <c r="AP193" i="1"/>
  <c r="AQ193" i="1"/>
  <c r="AP194" i="1"/>
  <c r="AQ194" i="1"/>
  <c r="AP112" i="1"/>
  <c r="AQ112" i="1"/>
  <c r="AP140" i="1"/>
  <c r="AQ140" i="1"/>
  <c r="AP145" i="1"/>
  <c r="AQ145" i="1"/>
  <c r="AP86" i="1"/>
  <c r="AQ86" i="1"/>
  <c r="AP143" i="1"/>
  <c r="AQ143" i="1"/>
  <c r="AP179" i="1"/>
  <c r="AQ179" i="1"/>
  <c r="AP195" i="1"/>
  <c r="AQ195" i="1"/>
  <c r="AP110" i="1"/>
  <c r="AP118" i="1"/>
  <c r="AQ118" i="1"/>
  <c r="AP218" i="1"/>
  <c r="AQ218" i="1"/>
  <c r="AP51" i="1"/>
  <c r="AQ51" i="1"/>
  <c r="AP53" i="1"/>
  <c r="AQ53" i="1"/>
  <c r="AP181" i="1"/>
  <c r="AQ181" i="1"/>
  <c r="AP115" i="1"/>
  <c r="AQ115" i="1"/>
  <c r="AP188" i="1"/>
  <c r="AQ188" i="1"/>
  <c r="AP146" i="1"/>
  <c r="AQ146" i="1"/>
  <c r="AP182" i="1"/>
  <c r="AQ182" i="1"/>
  <c r="AP61" i="1"/>
  <c r="AQ61" i="1"/>
  <c r="AP73" i="1"/>
  <c r="AQ73" i="1"/>
  <c r="AP199" i="1"/>
  <c r="AQ199" i="1"/>
  <c r="AP55" i="1"/>
  <c r="AQ55" i="1"/>
  <c r="AP207" i="1"/>
  <c r="AQ207" i="1"/>
  <c r="AP125" i="1"/>
  <c r="AQ125" i="1"/>
  <c r="AP219" i="1"/>
  <c r="AQ219" i="1"/>
  <c r="AP220" i="1"/>
  <c r="AQ220" i="1"/>
  <c r="AP159" i="1"/>
  <c r="AQ159" i="1"/>
  <c r="AP96" i="1"/>
  <c r="AQ96" i="1"/>
  <c r="AP127" i="1"/>
  <c r="AQ127" i="1"/>
  <c r="AP161" i="1"/>
  <c r="AQ161" i="1"/>
  <c r="AP128" i="1"/>
  <c r="AQ128" i="1"/>
  <c r="AP160" i="1"/>
  <c r="AQ160" i="1"/>
  <c r="AP191" i="1"/>
  <c r="AQ191" i="1"/>
  <c r="AP163" i="1"/>
  <c r="AQ163" i="1"/>
  <c r="AP202" i="1"/>
  <c r="AQ202" i="1"/>
  <c r="AP74" i="1"/>
  <c r="AQ74" i="1"/>
  <c r="AP79" i="1"/>
  <c r="AQ79" i="1"/>
  <c r="AP172" i="1"/>
  <c r="AQ172" i="1"/>
  <c r="AP47" i="1"/>
  <c r="AQ47" i="1"/>
  <c r="AP114" i="1"/>
  <c r="AQ114" i="1"/>
  <c r="AP123" i="1"/>
  <c r="AQ123" i="1"/>
  <c r="AP165" i="1"/>
  <c r="AQ165" i="1"/>
  <c r="AP166" i="1"/>
  <c r="AQ166" i="1"/>
  <c r="AP147" i="1"/>
  <c r="AQ147" i="1"/>
  <c r="AP56" i="1"/>
  <c r="AQ56" i="1"/>
  <c r="AP170" i="1"/>
  <c r="AQ170" i="1"/>
  <c r="AP197" i="1"/>
  <c r="AQ197" i="1"/>
  <c r="AP213" i="1"/>
  <c r="AQ213" i="1"/>
  <c r="AP88" i="1"/>
  <c r="AQ88" i="1"/>
  <c r="AP167" i="1"/>
  <c r="AQ167" i="1"/>
  <c r="AP168" i="1"/>
  <c r="AQ168" i="1"/>
  <c r="AP126" i="1"/>
  <c r="AQ126" i="1"/>
  <c r="AP28" i="1"/>
  <c r="AQ28" i="1"/>
  <c r="AP44" i="1"/>
  <c r="AQ44" i="1"/>
  <c r="AP75" i="1"/>
  <c r="AQ75" i="1"/>
  <c r="AP92" i="1"/>
  <c r="AQ92" i="1"/>
  <c r="AP60" i="1"/>
  <c r="AP45" i="1"/>
  <c r="AQ45" i="1"/>
  <c r="AP156" i="1"/>
  <c r="AQ156" i="1"/>
  <c r="AP187" i="1"/>
  <c r="AQ187" i="1"/>
  <c r="AP94" i="1"/>
  <c r="AQ94" i="1"/>
  <c r="AQ111" i="1"/>
  <c r="AP111" i="1"/>
  <c r="AI125" i="1" l="1"/>
  <c r="AJ125" i="1"/>
  <c r="AI219" i="1"/>
  <c r="AJ219" i="1"/>
  <c r="AI220" i="1"/>
  <c r="AJ220" i="1"/>
  <c r="AI111" i="1"/>
  <c r="AJ111" i="1"/>
  <c r="AI149" i="1"/>
  <c r="AJ149" i="1"/>
  <c r="AI148" i="1"/>
  <c r="AJ148" i="1"/>
  <c r="AI159" i="1"/>
  <c r="AJ159" i="1"/>
  <c r="AI96" i="1"/>
  <c r="AJ96" i="1"/>
  <c r="AI127" i="1"/>
  <c r="AJ127" i="1"/>
  <c r="AI161" i="1"/>
  <c r="AJ161" i="1"/>
  <c r="AI128" i="1"/>
  <c r="AJ128" i="1"/>
  <c r="AI134" i="1"/>
  <c r="AJ134" i="1"/>
  <c r="AI58" i="1"/>
  <c r="AJ58" i="1"/>
  <c r="AI36" i="1"/>
  <c r="AJ36" i="1"/>
  <c r="AI49" i="1"/>
  <c r="AJ49" i="1"/>
  <c r="AI192" i="1"/>
  <c r="AJ192" i="1"/>
  <c r="AI193" i="1"/>
  <c r="AJ193" i="1"/>
  <c r="AI194" i="1"/>
  <c r="AJ194" i="1"/>
  <c r="AI112" i="1"/>
  <c r="AJ112" i="1"/>
  <c r="AI140" i="1"/>
  <c r="AJ140" i="1"/>
  <c r="AI145" i="1"/>
  <c r="AJ145" i="1"/>
  <c r="AI123" i="1"/>
  <c r="AJ123" i="1"/>
  <c r="AI165" i="1"/>
  <c r="AJ165" i="1"/>
  <c r="AI160" i="1"/>
  <c r="AJ160" i="1"/>
  <c r="AI86" i="1"/>
  <c r="AJ86" i="1"/>
  <c r="AI143" i="1"/>
  <c r="AJ143" i="1"/>
  <c r="AI59" i="1"/>
  <c r="AJ59" i="1"/>
  <c r="AI31" i="1"/>
  <c r="AI199" i="1"/>
  <c r="AJ199" i="1"/>
  <c r="AI191" i="1"/>
  <c r="AJ191" i="1"/>
  <c r="AI163" i="1"/>
  <c r="AJ163" i="1"/>
  <c r="AI202" i="1"/>
  <c r="AJ202" i="1"/>
  <c r="AI74" i="1"/>
  <c r="AJ74" i="1"/>
  <c r="AI79" i="1"/>
  <c r="AJ79" i="1"/>
  <c r="AI172" i="1"/>
  <c r="AJ172" i="1"/>
  <c r="AI47" i="1"/>
  <c r="AJ47" i="1"/>
  <c r="AI114" i="1"/>
  <c r="AJ114" i="1"/>
  <c r="AI147" i="1"/>
  <c r="AJ147" i="1"/>
  <c r="AI56" i="1"/>
  <c r="AJ56" i="1"/>
  <c r="AI179" i="1"/>
  <c r="AJ179" i="1"/>
  <c r="AI195" i="1"/>
  <c r="AJ195" i="1"/>
  <c r="AI110" i="1"/>
  <c r="AI118" i="1"/>
  <c r="AJ118" i="1"/>
  <c r="AI218" i="1"/>
  <c r="AJ218" i="1"/>
  <c r="AI166" i="1"/>
  <c r="AJ166" i="1"/>
  <c r="AI55" i="1"/>
  <c r="AJ55" i="1"/>
  <c r="AI170" i="1"/>
  <c r="AJ170" i="1"/>
  <c r="AI197" i="1"/>
  <c r="AJ197" i="1"/>
  <c r="AI213" i="1"/>
  <c r="AJ213" i="1"/>
  <c r="AI88" i="1"/>
  <c r="AJ88" i="1"/>
  <c r="AI167" i="1"/>
  <c r="AJ167" i="1"/>
  <c r="AI168" i="1"/>
  <c r="AJ168" i="1"/>
  <c r="AI51" i="1"/>
  <c r="AJ51" i="1"/>
  <c r="AI53" i="1"/>
  <c r="AJ53" i="1"/>
  <c r="AI181" i="1"/>
  <c r="AJ181" i="1"/>
  <c r="AI115" i="1"/>
  <c r="AJ115" i="1"/>
  <c r="AI126" i="1"/>
  <c r="AJ126" i="1"/>
  <c r="AI28" i="1"/>
  <c r="AJ28" i="1"/>
  <c r="AI44" i="1"/>
  <c r="AJ44" i="1"/>
  <c r="AI188" i="1"/>
  <c r="AJ188" i="1"/>
  <c r="AI146" i="1"/>
  <c r="AJ146" i="1"/>
  <c r="AI75" i="1"/>
  <c r="AJ75" i="1"/>
  <c r="AI92" i="1"/>
  <c r="AJ92" i="1"/>
  <c r="AI182" i="1"/>
  <c r="AJ182" i="1"/>
  <c r="AI60" i="1"/>
  <c r="AI45" i="1"/>
  <c r="AJ45" i="1"/>
  <c r="AI156" i="1"/>
  <c r="AJ156" i="1"/>
  <c r="AI61" i="1"/>
  <c r="AJ61" i="1"/>
  <c r="AI187" i="1"/>
  <c r="AJ187" i="1"/>
  <c r="AI73" i="1"/>
  <c r="AJ73" i="1"/>
  <c r="AI94" i="1"/>
  <c r="AJ94" i="1"/>
  <c r="AJ207" i="1"/>
  <c r="AI207" i="1"/>
  <c r="I239" i="1"/>
  <c r="C18" i="165" s="1"/>
  <c r="I225" i="1" a="1"/>
  <c r="I225" i="1" s="1"/>
  <c r="C4" i="165" s="1"/>
  <c r="I227" i="1" a="1"/>
  <c r="I227" i="1" s="1"/>
  <c r="C6" i="165" s="1"/>
  <c r="I228" i="1" a="1"/>
  <c r="I228" i="1" s="1"/>
  <c r="C7" i="165" s="1"/>
  <c r="I229" i="1" a="1"/>
  <c r="I229" i="1" s="1"/>
  <c r="C8" i="165" s="1"/>
  <c r="I230" i="1" a="1"/>
  <c r="I230" i="1" s="1"/>
  <c r="C9" i="165" s="1"/>
  <c r="I231" i="1" a="1"/>
  <c r="I231" i="1" s="1"/>
  <c r="C10" i="165" s="1"/>
  <c r="I232" i="1" a="1"/>
  <c r="I232" i="1" s="1"/>
  <c r="C11" i="165" s="1"/>
  <c r="I234" i="1" a="1"/>
  <c r="I234" i="1" s="1"/>
  <c r="C13" i="165" s="1"/>
  <c r="I235" i="1" a="1"/>
  <c r="I235" i="1" s="1"/>
  <c r="C14" i="165" s="1"/>
  <c r="I236" i="1" a="1"/>
  <c r="I236" i="1" s="1"/>
  <c r="C15" i="165" s="1"/>
  <c r="I237" i="1" a="1"/>
  <c r="I237" i="1" s="1"/>
  <c r="C16" i="165" s="1"/>
  <c r="I238" i="1" a="1"/>
  <c r="I238" i="1" s="1"/>
  <c r="C17" i="165" s="1"/>
  <c r="I224" i="1" a="1"/>
  <c r="I224" i="1" s="1"/>
  <c r="C3" i="165" s="1"/>
  <c r="B444" i="1" l="1"/>
  <c r="B426" i="1"/>
  <c r="B407" i="1"/>
  <c r="B388" i="1"/>
  <c r="AD224" i="1" l="1"/>
  <c r="AD225" i="1"/>
  <c r="AD227" i="1"/>
  <c r="AD228" i="1"/>
  <c r="AD229" i="1"/>
  <c r="AD230" i="1"/>
  <c r="AD231" i="1"/>
  <c r="AD232" i="1"/>
  <c r="AD234" i="1"/>
  <c r="AD235" i="1"/>
  <c r="AD236" i="1"/>
  <c r="AD237" i="1"/>
  <c r="AD238" i="1"/>
  <c r="AD239" i="1" l="1"/>
  <c r="J312" i="1"/>
  <c r="D45" i="165" s="1"/>
  <c r="J314" i="1"/>
  <c r="J315" i="1"/>
  <c r="D48" i="165" s="1"/>
  <c r="J316" i="1"/>
  <c r="D49" i="165" s="1"/>
  <c r="J317" i="1"/>
  <c r="D50" i="165" s="1"/>
  <c r="J318" i="1"/>
  <c r="D51" i="165" s="1"/>
  <c r="J319" i="1"/>
  <c r="D52" i="165" s="1"/>
  <c r="J321" i="1"/>
  <c r="D54" i="165" s="1"/>
  <c r="J322" i="1"/>
  <c r="D55" i="165" s="1"/>
  <c r="J323" i="1"/>
  <c r="D56" i="165" s="1"/>
  <c r="J324" i="1"/>
  <c r="D57" i="165" s="1"/>
  <c r="J325" i="1"/>
  <c r="D58" i="165" s="1"/>
  <c r="J311" i="1"/>
  <c r="D44" i="165" s="1"/>
  <c r="J296" i="1"/>
  <c r="D26" i="165" s="1"/>
  <c r="J298" i="1"/>
  <c r="D28" i="165" s="1"/>
  <c r="J299" i="1"/>
  <c r="D29" i="165" s="1"/>
  <c r="J300" i="1"/>
  <c r="D30" i="165" s="1"/>
  <c r="J301" i="1"/>
  <c r="D31" i="165" s="1"/>
  <c r="J303" i="1"/>
  <c r="D33" i="165" s="1"/>
  <c r="J304" i="1"/>
  <c r="D34" i="165" s="1"/>
  <c r="J305" i="1"/>
  <c r="D35" i="165" s="1"/>
  <c r="J306" i="1"/>
  <c r="D36" i="165" s="1"/>
  <c r="J295" i="1"/>
  <c r="D25" i="165" s="1"/>
  <c r="H312" i="1"/>
  <c r="B45" i="165" s="1"/>
  <c r="H314" i="1"/>
  <c r="H315" i="1"/>
  <c r="B48" i="165" s="1"/>
  <c r="H316" i="1"/>
  <c r="B49" i="165" s="1"/>
  <c r="H317" i="1"/>
  <c r="B50" i="165" s="1"/>
  <c r="H318" i="1"/>
  <c r="B51" i="165" s="1"/>
  <c r="H319" i="1"/>
  <c r="B52" i="165" s="1"/>
  <c r="H321" i="1"/>
  <c r="B54" i="165" s="1"/>
  <c r="H322" i="1"/>
  <c r="B55" i="165" s="1"/>
  <c r="H323" i="1"/>
  <c r="B56" i="165" s="1"/>
  <c r="H324" i="1"/>
  <c r="B57" i="165" s="1"/>
  <c r="H325" i="1"/>
  <c r="B58" i="165" s="1"/>
  <c r="H311" i="1"/>
  <c r="H296" i="1"/>
  <c r="B26" i="165" s="1"/>
  <c r="H297" i="1"/>
  <c r="B27" i="165" s="1"/>
  <c r="H298" i="1"/>
  <c r="B28" i="165" s="1"/>
  <c r="H299" i="1"/>
  <c r="B29" i="165" s="1"/>
  <c r="H300" i="1"/>
  <c r="B30" i="165" s="1"/>
  <c r="H301" i="1"/>
  <c r="B31" i="165" s="1"/>
  <c r="H303" i="1"/>
  <c r="B33" i="165" s="1"/>
  <c r="H304" i="1"/>
  <c r="B34" i="165" s="1"/>
  <c r="H305" i="1"/>
  <c r="B35" i="165" s="1"/>
  <c r="H306" i="1"/>
  <c r="B36" i="165" s="1"/>
  <c r="H295" i="1"/>
  <c r="B25" i="165" s="1"/>
  <c r="AH239" i="1"/>
  <c r="AH225" i="1" a="1"/>
  <c r="AH225" i="1" s="1"/>
  <c r="AH227" i="1" a="1"/>
  <c r="AH227" i="1" s="1"/>
  <c r="AH228" i="1" a="1"/>
  <c r="AH228" i="1" s="1"/>
  <c r="AH229" i="1" a="1"/>
  <c r="AH229" i="1" s="1"/>
  <c r="AH230" i="1" a="1"/>
  <c r="AH230" i="1" s="1"/>
  <c r="AH231" i="1" a="1"/>
  <c r="AH231" i="1" s="1"/>
  <c r="AH232" i="1" a="1"/>
  <c r="AH232" i="1" s="1"/>
  <c r="AH234" i="1" a="1"/>
  <c r="AH234" i="1" s="1"/>
  <c r="AH235" i="1" a="1"/>
  <c r="AH235" i="1" s="1"/>
  <c r="AH236" i="1" a="1"/>
  <c r="AH236" i="1" s="1"/>
  <c r="AH237" i="1" a="1"/>
  <c r="AH237" i="1" s="1"/>
  <c r="AH238" i="1" a="1"/>
  <c r="AH238" i="1" s="1"/>
  <c r="AH224" i="1" a="1"/>
  <c r="AH224" i="1" s="1"/>
  <c r="AG239" i="1"/>
  <c r="AG225" i="1" a="1"/>
  <c r="AG225" i="1" s="1"/>
  <c r="AG227" i="1" a="1"/>
  <c r="AG227" i="1" s="1"/>
  <c r="AG228" i="1" a="1"/>
  <c r="AG228" i="1" s="1"/>
  <c r="AG229" i="1" a="1"/>
  <c r="AG229" i="1" s="1"/>
  <c r="AG230" i="1" a="1"/>
  <c r="AG230" i="1" s="1"/>
  <c r="AG231" i="1" a="1"/>
  <c r="AG231" i="1" s="1"/>
  <c r="AG232" i="1" a="1"/>
  <c r="AG232" i="1" s="1"/>
  <c r="AG234" i="1" a="1"/>
  <c r="AG234" i="1" s="1"/>
  <c r="AG235" i="1" a="1"/>
  <c r="AG235" i="1" s="1"/>
  <c r="AG236" i="1" a="1"/>
  <c r="AG236" i="1" s="1"/>
  <c r="AG237" i="1" a="1"/>
  <c r="AG237" i="1" s="1"/>
  <c r="AG238" i="1" a="1"/>
  <c r="AG238" i="1" s="1"/>
  <c r="AG224" i="1" a="1"/>
  <c r="AG224" i="1" s="1"/>
  <c r="H225" i="1"/>
  <c r="B4" i="165" s="1"/>
  <c r="J225" i="1"/>
  <c r="D4" i="165" s="1"/>
  <c r="H227" i="1"/>
  <c r="B6" i="165" s="1"/>
  <c r="J227" i="1"/>
  <c r="D6" i="165" s="1"/>
  <c r="H228" i="1"/>
  <c r="B7" i="165" s="1"/>
  <c r="J228" i="1"/>
  <c r="D7" i="165" s="1"/>
  <c r="H229" i="1"/>
  <c r="B8" i="165" s="1"/>
  <c r="J229" i="1"/>
  <c r="D8" i="165" s="1"/>
  <c r="H230" i="1"/>
  <c r="B9" i="165" s="1"/>
  <c r="J230" i="1"/>
  <c r="D9" i="165" s="1"/>
  <c r="H231" i="1"/>
  <c r="B10" i="165" s="1"/>
  <c r="J231" i="1"/>
  <c r="D10" i="165" s="1"/>
  <c r="H232" i="1"/>
  <c r="B11" i="165" s="1"/>
  <c r="J232" i="1"/>
  <c r="D11" i="165" s="1"/>
  <c r="H234" i="1"/>
  <c r="B13" i="165" s="1"/>
  <c r="J234" i="1"/>
  <c r="D13" i="165" s="1"/>
  <c r="H235" i="1"/>
  <c r="B14" i="165" s="1"/>
  <c r="J235" i="1"/>
  <c r="D14" i="165" s="1"/>
  <c r="H236" i="1"/>
  <c r="B15" i="165" s="1"/>
  <c r="J236" i="1"/>
  <c r="D15" i="165" s="1"/>
  <c r="H237" i="1"/>
  <c r="B16" i="165" s="1"/>
  <c r="J237" i="1"/>
  <c r="D16" i="165" s="1"/>
  <c r="H238" i="1"/>
  <c r="B17" i="165" s="1"/>
  <c r="J238" i="1"/>
  <c r="D17" i="165" s="1"/>
  <c r="J224" i="1"/>
  <c r="D3" i="165" s="1"/>
  <c r="H224" i="1"/>
  <c r="Q311" i="1" a="1"/>
  <c r="Q311" i="1" s="1"/>
  <c r="G44" i="165" s="1"/>
  <c r="P311" i="1" a="1"/>
  <c r="P311" i="1" s="1"/>
  <c r="O311" i="1" a="1"/>
  <c r="O311" i="1" s="1"/>
  <c r="F44" i="165" s="1"/>
  <c r="N311" i="1" a="1"/>
  <c r="N311" i="1" s="1"/>
  <c r="E44" i="165" s="1"/>
  <c r="O326" i="1" a="1"/>
  <c r="O326" i="1" s="1"/>
  <c r="N326" i="1" a="1"/>
  <c r="N326" i="1" s="1"/>
  <c r="N307" i="1" a="1"/>
  <c r="N307" i="1" s="1"/>
  <c r="O307" i="1" a="1"/>
  <c r="O307" i="1" s="1"/>
  <c r="F37" i="165" s="1"/>
  <c r="P307" i="1" a="1"/>
  <c r="P307" i="1" s="1"/>
  <c r="Q306" i="1" a="1"/>
  <c r="Q306" i="1" s="1"/>
  <c r="G36" i="165" s="1"/>
  <c r="P306" i="1" a="1"/>
  <c r="P306" i="1" s="1"/>
  <c r="O306" i="1" a="1"/>
  <c r="O306" i="1" s="1"/>
  <c r="F36" i="165" s="1"/>
  <c r="N306" i="1" a="1"/>
  <c r="N306" i="1" s="1"/>
  <c r="E36" i="165" s="1"/>
  <c r="Q326" i="1" a="1"/>
  <c r="Q326" i="1" s="1"/>
  <c r="P326" i="1" a="1"/>
  <c r="P326" i="1" s="1"/>
  <c r="Q325" i="1" a="1"/>
  <c r="Q325" i="1" s="1"/>
  <c r="G58" i="165" s="1"/>
  <c r="P325" i="1" a="1"/>
  <c r="P325" i="1" s="1"/>
  <c r="O325" i="1" a="1"/>
  <c r="O325" i="1" s="1"/>
  <c r="F58" i="165" s="1"/>
  <c r="N325" i="1" a="1"/>
  <c r="N325" i="1" s="1"/>
  <c r="Q324" i="1" a="1"/>
  <c r="Q324" i="1" s="1"/>
  <c r="G57" i="165" s="1"/>
  <c r="P324" i="1" a="1"/>
  <c r="P324" i="1" s="1"/>
  <c r="O324" i="1" a="1"/>
  <c r="O324" i="1" s="1"/>
  <c r="F57" i="165" s="1"/>
  <c r="N324" i="1" a="1"/>
  <c r="N324" i="1" s="1"/>
  <c r="Q323" i="1" a="1"/>
  <c r="Q323" i="1" s="1"/>
  <c r="G56" i="165" s="1"/>
  <c r="P323" i="1" a="1"/>
  <c r="P323" i="1" s="1"/>
  <c r="O323" i="1" a="1"/>
  <c r="O323" i="1" s="1"/>
  <c r="F56" i="165" s="1"/>
  <c r="N323" i="1" a="1"/>
  <c r="N323" i="1" s="1"/>
  <c r="N312" i="1" a="1"/>
  <c r="N312" i="1" s="1"/>
  <c r="O312" i="1" a="1"/>
  <c r="O312" i="1" s="1"/>
  <c r="F45" i="165" s="1"/>
  <c r="P312" i="1" a="1"/>
  <c r="P312" i="1" s="1"/>
  <c r="Q312" i="1" a="1"/>
  <c r="Q312" i="1" s="1"/>
  <c r="G45" i="165" s="1"/>
  <c r="N314" i="1" a="1"/>
  <c r="N314" i="1" s="1"/>
  <c r="O314" i="1" a="1"/>
  <c r="O314" i="1" s="1"/>
  <c r="P314" i="1" a="1"/>
  <c r="P314" i="1" s="1"/>
  <c r="Q314" i="1" a="1"/>
  <c r="Q314" i="1" s="1"/>
  <c r="N315" i="1" a="1"/>
  <c r="N315" i="1" s="1"/>
  <c r="O315" i="1" a="1"/>
  <c r="O315" i="1" s="1"/>
  <c r="F48" i="165" s="1"/>
  <c r="P315" i="1" a="1"/>
  <c r="P315" i="1" s="1"/>
  <c r="Q315" i="1" a="1"/>
  <c r="Q315" i="1" s="1"/>
  <c r="G48" i="165" s="1"/>
  <c r="N316" i="1" a="1"/>
  <c r="N316" i="1" s="1"/>
  <c r="O316" i="1" a="1"/>
  <c r="O316" i="1" s="1"/>
  <c r="F49" i="165" s="1"/>
  <c r="P316" i="1" a="1"/>
  <c r="P316" i="1" s="1"/>
  <c r="Q316" i="1" a="1"/>
  <c r="Q316" i="1" s="1"/>
  <c r="G49" i="165" s="1"/>
  <c r="N317" i="1" a="1"/>
  <c r="N317" i="1" s="1"/>
  <c r="O317" i="1" a="1"/>
  <c r="O317" i="1" s="1"/>
  <c r="F50" i="165" s="1"/>
  <c r="P317" i="1" a="1"/>
  <c r="P317" i="1" s="1"/>
  <c r="Q317" i="1" a="1"/>
  <c r="Q317" i="1" s="1"/>
  <c r="G50" i="165" s="1"/>
  <c r="N318" i="1" a="1"/>
  <c r="N318" i="1" s="1"/>
  <c r="O318" i="1" a="1"/>
  <c r="O318" i="1" s="1"/>
  <c r="F51" i="165" s="1"/>
  <c r="P318" i="1" a="1"/>
  <c r="P318" i="1" s="1"/>
  <c r="Q318" i="1" a="1"/>
  <c r="Q318" i="1" s="1"/>
  <c r="G51" i="165" s="1"/>
  <c r="N319" i="1" a="1"/>
  <c r="N319" i="1" s="1"/>
  <c r="O319" i="1" a="1"/>
  <c r="O319" i="1" s="1"/>
  <c r="F52" i="165" s="1"/>
  <c r="P319" i="1" a="1"/>
  <c r="P319" i="1" s="1"/>
  <c r="Q319" i="1" a="1"/>
  <c r="Q319" i="1" s="1"/>
  <c r="G52" i="165" s="1"/>
  <c r="N321" i="1" a="1"/>
  <c r="N321" i="1" s="1"/>
  <c r="O321" i="1" a="1"/>
  <c r="O321" i="1" s="1"/>
  <c r="F54" i="165" s="1"/>
  <c r="P321" i="1" a="1"/>
  <c r="P321" i="1" s="1"/>
  <c r="Q321" i="1" a="1"/>
  <c r="Q321" i="1" s="1"/>
  <c r="G54" i="165" s="1"/>
  <c r="N322" i="1" a="1"/>
  <c r="N322" i="1" s="1"/>
  <c r="O322" i="1" a="1"/>
  <c r="O322" i="1" s="1"/>
  <c r="F55" i="165" s="1"/>
  <c r="P322" i="1" a="1"/>
  <c r="P322" i="1" s="1"/>
  <c r="Q322" i="1" a="1"/>
  <c r="Q322" i="1" s="1"/>
  <c r="G55" i="165" s="1"/>
  <c r="Q307" i="1" a="1"/>
  <c r="Q307" i="1" s="1"/>
  <c r="N305" i="1" a="1"/>
  <c r="N305" i="1" s="1"/>
  <c r="E35" i="165" s="1"/>
  <c r="N304" i="1" a="1"/>
  <c r="N304" i="1" s="1"/>
  <c r="E34" i="165" s="1"/>
  <c r="N303" i="1" a="1"/>
  <c r="N303" i="1" s="1"/>
  <c r="E33" i="165" s="1"/>
  <c r="N301" i="1" a="1"/>
  <c r="N301" i="1" s="1"/>
  <c r="E31" i="165" s="1"/>
  <c r="N300" i="1" a="1"/>
  <c r="N300" i="1" s="1"/>
  <c r="E30" i="165" s="1"/>
  <c r="N299" i="1" a="1"/>
  <c r="N299" i="1" s="1"/>
  <c r="E29" i="165" s="1"/>
  <c r="N298" i="1" a="1"/>
  <c r="N298" i="1" s="1"/>
  <c r="E28" i="165" s="1"/>
  <c r="N297" i="1" a="1"/>
  <c r="N297" i="1" s="1"/>
  <c r="N296" i="1" a="1"/>
  <c r="N296" i="1" s="1"/>
  <c r="E26" i="165" s="1"/>
  <c r="X295" i="1" a="1"/>
  <c r="X295" i="1" s="1"/>
  <c r="J25" i="165" s="1"/>
  <c r="Q305" i="1" a="1"/>
  <c r="Q305" i="1" s="1"/>
  <c r="G35" i="165" s="1"/>
  <c r="P305" i="1" a="1"/>
  <c r="P305" i="1" s="1"/>
  <c r="O305" i="1" a="1"/>
  <c r="O305" i="1" s="1"/>
  <c r="F35" i="165" s="1"/>
  <c r="Q304" i="1" a="1"/>
  <c r="Q304" i="1" s="1"/>
  <c r="G34" i="165" s="1"/>
  <c r="P304" i="1" a="1"/>
  <c r="P304" i="1" s="1"/>
  <c r="O304" i="1" a="1"/>
  <c r="O304" i="1" s="1"/>
  <c r="F34" i="165" s="1"/>
  <c r="Q303" i="1" a="1"/>
  <c r="Q303" i="1" s="1"/>
  <c r="G33" i="165" s="1"/>
  <c r="P303" i="1" a="1"/>
  <c r="P303" i="1" s="1"/>
  <c r="O303" i="1" a="1"/>
  <c r="O303" i="1" s="1"/>
  <c r="F33" i="165" s="1"/>
  <c r="Q301" i="1" a="1"/>
  <c r="Q301" i="1" s="1"/>
  <c r="G31" i="165" s="1"/>
  <c r="P301" i="1" a="1"/>
  <c r="P301" i="1" s="1"/>
  <c r="O301" i="1" a="1"/>
  <c r="O301" i="1" s="1"/>
  <c r="F31" i="165" s="1"/>
  <c r="Q300" i="1" a="1"/>
  <c r="Q300" i="1" s="1"/>
  <c r="G30" i="165" s="1"/>
  <c r="P300" i="1" a="1"/>
  <c r="P300" i="1" s="1"/>
  <c r="O300" i="1" a="1"/>
  <c r="O300" i="1" s="1"/>
  <c r="F30" i="165" s="1"/>
  <c r="Q299" i="1" a="1"/>
  <c r="Q299" i="1" s="1"/>
  <c r="G29" i="165" s="1"/>
  <c r="P299" i="1" a="1"/>
  <c r="P299" i="1" s="1"/>
  <c r="O299" i="1" a="1"/>
  <c r="O299" i="1" s="1"/>
  <c r="F29" i="165" s="1"/>
  <c r="Q298" i="1" a="1"/>
  <c r="Q298" i="1" s="1"/>
  <c r="G28" i="165" s="1"/>
  <c r="P298" i="1" a="1"/>
  <c r="P298" i="1" s="1"/>
  <c r="O298" i="1" a="1"/>
  <c r="O298" i="1" s="1"/>
  <c r="F28" i="165" s="1"/>
  <c r="Q297" i="1" a="1"/>
  <c r="Q297" i="1" s="1"/>
  <c r="G27" i="165" s="1"/>
  <c r="P297" i="1" a="1"/>
  <c r="P297" i="1" s="1"/>
  <c r="O297" i="1" a="1"/>
  <c r="O297" i="1" s="1"/>
  <c r="F27" i="165" s="1"/>
  <c r="Q296" i="1" a="1"/>
  <c r="Q296" i="1" s="1"/>
  <c r="G26" i="165" s="1"/>
  <c r="P296" i="1" a="1"/>
  <c r="P296" i="1" s="1"/>
  <c r="O296" i="1" a="1"/>
  <c r="O296" i="1" s="1"/>
  <c r="F26" i="165" s="1"/>
  <c r="Q295" i="1" a="1"/>
  <c r="Q295" i="1" s="1"/>
  <c r="G25" i="165" s="1"/>
  <c r="P295" i="1" a="1"/>
  <c r="P295" i="1" s="1"/>
  <c r="O295" i="1" a="1"/>
  <c r="O295" i="1" s="1"/>
  <c r="F25" i="165" s="1"/>
  <c r="Q239" i="1"/>
  <c r="G18" i="165" s="1"/>
  <c r="P239" i="1"/>
  <c r="O239" i="1"/>
  <c r="F18" i="165" s="1"/>
  <c r="N239" i="1"/>
  <c r="O225" i="1" a="1"/>
  <c r="O225" i="1" s="1"/>
  <c r="F4" i="165" s="1"/>
  <c r="P225" i="1" a="1"/>
  <c r="P225" i="1" s="1"/>
  <c r="Q225" i="1" a="1"/>
  <c r="Q225" i="1" s="1"/>
  <c r="G4" i="165" s="1"/>
  <c r="O227" i="1" a="1"/>
  <c r="O227" i="1" s="1"/>
  <c r="F6" i="165" s="1"/>
  <c r="P227" i="1" a="1"/>
  <c r="P227" i="1" s="1"/>
  <c r="Q227" i="1" a="1"/>
  <c r="Q227" i="1" s="1"/>
  <c r="G6" i="165" s="1"/>
  <c r="O228" i="1" a="1"/>
  <c r="O228" i="1" s="1"/>
  <c r="F7" i="165" s="1"/>
  <c r="P228" i="1" a="1"/>
  <c r="P228" i="1" s="1"/>
  <c r="Q228" i="1" a="1"/>
  <c r="Q228" i="1" s="1"/>
  <c r="G7" i="165" s="1"/>
  <c r="O229" i="1" a="1"/>
  <c r="O229" i="1" s="1"/>
  <c r="F8" i="165" s="1"/>
  <c r="P229" i="1" a="1"/>
  <c r="P229" i="1" s="1"/>
  <c r="Q229" i="1" a="1"/>
  <c r="Q229" i="1" s="1"/>
  <c r="G8" i="165" s="1"/>
  <c r="O230" i="1" a="1"/>
  <c r="O230" i="1" s="1"/>
  <c r="F9" i="165" s="1"/>
  <c r="P230" i="1" a="1"/>
  <c r="P230" i="1" s="1"/>
  <c r="Q230" i="1" a="1"/>
  <c r="Q230" i="1" s="1"/>
  <c r="G9" i="165" s="1"/>
  <c r="O231" i="1" a="1"/>
  <c r="O231" i="1" s="1"/>
  <c r="F10" i="165" s="1"/>
  <c r="P231" i="1" a="1"/>
  <c r="P231" i="1" s="1"/>
  <c r="Q231" i="1" a="1"/>
  <c r="Q231" i="1" s="1"/>
  <c r="G10" i="165" s="1"/>
  <c r="O232" i="1" a="1"/>
  <c r="O232" i="1" s="1"/>
  <c r="F11" i="165" s="1"/>
  <c r="P232" i="1" a="1"/>
  <c r="P232" i="1" s="1"/>
  <c r="Q232" i="1" a="1"/>
  <c r="Q232" i="1" s="1"/>
  <c r="G11" i="165" s="1"/>
  <c r="O234" i="1" a="1"/>
  <c r="O234" i="1" s="1"/>
  <c r="F13" i="165" s="1"/>
  <c r="P234" i="1" a="1"/>
  <c r="P234" i="1" s="1"/>
  <c r="Q234" i="1" a="1"/>
  <c r="Q234" i="1" s="1"/>
  <c r="G13" i="165" s="1"/>
  <c r="O235" i="1" a="1"/>
  <c r="O235" i="1" s="1"/>
  <c r="F14" i="165" s="1"/>
  <c r="P235" i="1" a="1"/>
  <c r="P235" i="1" s="1"/>
  <c r="Q235" i="1" a="1"/>
  <c r="Q235" i="1" s="1"/>
  <c r="G14" i="165" s="1"/>
  <c r="O236" i="1" a="1"/>
  <c r="O236" i="1" s="1"/>
  <c r="F15" i="165" s="1"/>
  <c r="P236" i="1" a="1"/>
  <c r="P236" i="1" s="1"/>
  <c r="Q236" i="1" a="1"/>
  <c r="Q236" i="1" s="1"/>
  <c r="G15" i="165" s="1"/>
  <c r="O237" i="1" a="1"/>
  <c r="O237" i="1" s="1"/>
  <c r="F16" i="165" s="1"/>
  <c r="P237" i="1" a="1"/>
  <c r="P237" i="1" s="1"/>
  <c r="Q237" i="1" a="1"/>
  <c r="Q237" i="1" s="1"/>
  <c r="G16" i="165" s="1"/>
  <c r="O238" i="1" a="1"/>
  <c r="O238" i="1" s="1"/>
  <c r="F17" i="165" s="1"/>
  <c r="P238" i="1" a="1"/>
  <c r="P238" i="1" s="1"/>
  <c r="Q238" i="1" a="1"/>
  <c r="Q238" i="1" s="1"/>
  <c r="G17" i="165" s="1"/>
  <c r="Q224" i="1" a="1"/>
  <c r="Q224" i="1" s="1"/>
  <c r="G3" i="165" s="1"/>
  <c r="P224" i="1" a="1"/>
  <c r="P224" i="1" s="1"/>
  <c r="O224" i="1" a="1"/>
  <c r="O224" i="1" s="1"/>
  <c r="F3" i="165" s="1"/>
  <c r="X224" i="1" a="1"/>
  <c r="X224" i="1" s="1"/>
  <c r="J3" i="165" s="1"/>
  <c r="U326" i="1" a="1"/>
  <c r="U326" i="1" s="1"/>
  <c r="T326" i="1" a="1"/>
  <c r="T326" i="1" s="1"/>
  <c r="U312" i="1" a="1"/>
  <c r="U312" i="1" s="1"/>
  <c r="T314" i="1" a="1"/>
  <c r="T314" i="1" s="1"/>
  <c r="U314" i="1" a="1"/>
  <c r="U314" i="1" s="1"/>
  <c r="T315" i="1" a="1"/>
  <c r="T315" i="1" s="1"/>
  <c r="U315" i="1" a="1"/>
  <c r="U315" i="1" s="1"/>
  <c r="T316" i="1" a="1"/>
  <c r="T316" i="1" s="1"/>
  <c r="U316" i="1" a="1"/>
  <c r="U316" i="1" s="1"/>
  <c r="T317" i="1" a="1"/>
  <c r="T317" i="1" s="1"/>
  <c r="U317" i="1" a="1"/>
  <c r="U317" i="1" s="1"/>
  <c r="T318" i="1" a="1"/>
  <c r="T318" i="1" s="1"/>
  <c r="U318" i="1" a="1"/>
  <c r="U318" i="1" s="1"/>
  <c r="T319" i="1" a="1"/>
  <c r="T319" i="1" s="1"/>
  <c r="U319" i="1" a="1"/>
  <c r="U319" i="1" s="1"/>
  <c r="T321" i="1" a="1"/>
  <c r="T321" i="1" s="1"/>
  <c r="U321" i="1" a="1"/>
  <c r="U321" i="1" s="1"/>
  <c r="T322" i="1" a="1"/>
  <c r="T322" i="1" s="1"/>
  <c r="U322" i="1" a="1"/>
  <c r="U322" i="1" s="1"/>
  <c r="T323" i="1" a="1"/>
  <c r="T323" i="1" s="1"/>
  <c r="U323" i="1" a="1"/>
  <c r="U323" i="1" s="1"/>
  <c r="T324" i="1" a="1"/>
  <c r="T324" i="1" s="1"/>
  <c r="U324" i="1" a="1"/>
  <c r="U324" i="1" s="1"/>
  <c r="T325" i="1" a="1"/>
  <c r="T325" i="1" s="1"/>
  <c r="U325" i="1" a="1"/>
  <c r="U325" i="1" s="1"/>
  <c r="U311" i="1" a="1"/>
  <c r="U311" i="1" s="1"/>
  <c r="T311" i="1" a="1"/>
  <c r="T311" i="1" s="1"/>
  <c r="U307" i="1" a="1"/>
  <c r="U307" i="1" s="1"/>
  <c r="T307" i="1" a="1"/>
  <c r="T307" i="1" s="1"/>
  <c r="T296" i="1" a="1"/>
  <c r="T296" i="1" s="1"/>
  <c r="U296" i="1" a="1"/>
  <c r="U296" i="1" s="1"/>
  <c r="T297" i="1" a="1"/>
  <c r="T297" i="1" s="1"/>
  <c r="U297" i="1" a="1"/>
  <c r="U297" i="1" s="1"/>
  <c r="T298" i="1" a="1"/>
  <c r="T298" i="1" s="1"/>
  <c r="U298" i="1" a="1"/>
  <c r="U298" i="1" s="1"/>
  <c r="T299" i="1" a="1"/>
  <c r="T299" i="1" s="1"/>
  <c r="U299" i="1" a="1"/>
  <c r="U299" i="1" s="1"/>
  <c r="T300" i="1" a="1"/>
  <c r="T300" i="1" s="1"/>
  <c r="U300" i="1" a="1"/>
  <c r="U300" i="1" s="1"/>
  <c r="T301" i="1" a="1"/>
  <c r="T301" i="1" s="1"/>
  <c r="U301" i="1" a="1"/>
  <c r="U301" i="1" s="1"/>
  <c r="T303" i="1" a="1"/>
  <c r="T303" i="1" s="1"/>
  <c r="U303" i="1" a="1"/>
  <c r="U303" i="1" s="1"/>
  <c r="T304" i="1" a="1"/>
  <c r="T304" i="1" s="1"/>
  <c r="U304" i="1" a="1"/>
  <c r="U304" i="1" s="1"/>
  <c r="T305" i="1" a="1"/>
  <c r="T305" i="1" s="1"/>
  <c r="U305" i="1" a="1"/>
  <c r="U305" i="1" s="1"/>
  <c r="T306" i="1" a="1"/>
  <c r="T306" i="1" s="1"/>
  <c r="U306" i="1" a="1"/>
  <c r="U306" i="1" s="1"/>
  <c r="T295" i="1" a="1"/>
  <c r="T295" i="1" s="1"/>
  <c r="U239" i="1"/>
  <c r="T239" i="1"/>
  <c r="T225" i="1" a="1"/>
  <c r="T225" i="1" s="1"/>
  <c r="U225" i="1" a="1"/>
  <c r="U225" i="1" s="1"/>
  <c r="T227" i="1" a="1"/>
  <c r="T227" i="1" s="1"/>
  <c r="U227" i="1" a="1"/>
  <c r="U227" i="1" s="1"/>
  <c r="T228" i="1" a="1"/>
  <c r="T228" i="1" s="1"/>
  <c r="U228" i="1" a="1"/>
  <c r="U228" i="1" s="1"/>
  <c r="T229" i="1" a="1"/>
  <c r="T229" i="1" s="1"/>
  <c r="U229" i="1" a="1"/>
  <c r="U229" i="1" s="1"/>
  <c r="T230" i="1" a="1"/>
  <c r="T230" i="1" s="1"/>
  <c r="U230" i="1" a="1"/>
  <c r="U230" i="1" s="1"/>
  <c r="T231" i="1" a="1"/>
  <c r="T231" i="1" s="1"/>
  <c r="U231" i="1" a="1"/>
  <c r="U231" i="1" s="1"/>
  <c r="T232" i="1" a="1"/>
  <c r="T232" i="1" s="1"/>
  <c r="U232" i="1" a="1"/>
  <c r="U232" i="1" s="1"/>
  <c r="T234" i="1" a="1"/>
  <c r="T234" i="1" s="1"/>
  <c r="U234" i="1" a="1"/>
  <c r="U234" i="1" s="1"/>
  <c r="T235" i="1" a="1"/>
  <c r="T235" i="1" s="1"/>
  <c r="U235" i="1" a="1"/>
  <c r="U235" i="1" s="1"/>
  <c r="T236" i="1" a="1"/>
  <c r="T236" i="1" s="1"/>
  <c r="U236" i="1" a="1"/>
  <c r="U236" i="1" s="1"/>
  <c r="T237" i="1" a="1"/>
  <c r="T237" i="1" s="1"/>
  <c r="U237" i="1" a="1"/>
  <c r="U237" i="1" s="1"/>
  <c r="T238" i="1" a="1"/>
  <c r="T238" i="1" s="1"/>
  <c r="U238" i="1" a="1"/>
  <c r="U238" i="1" s="1"/>
  <c r="U224" i="1" a="1"/>
  <c r="U224" i="1" s="1"/>
  <c r="T224" i="1" a="1"/>
  <c r="T224" i="1" s="1"/>
  <c r="AR167" i="1"/>
  <c r="BF167" i="1" s="1"/>
  <c r="AR44" i="1"/>
  <c r="BF44" i="1" s="1"/>
  <c r="AR187" i="1"/>
  <c r="BF187" i="1" s="1"/>
  <c r="AR170" i="1"/>
  <c r="BF170" i="1" s="1"/>
  <c r="AR56" i="1"/>
  <c r="BF56" i="1" s="1"/>
  <c r="AR220" i="1"/>
  <c r="BF220" i="1" s="1"/>
  <c r="AR207" i="1"/>
  <c r="BF207" i="1" s="1"/>
  <c r="AR161" i="1"/>
  <c r="BF161" i="1" s="1"/>
  <c r="AR159" i="1"/>
  <c r="BF159" i="1" s="1"/>
  <c r="AR96" i="1"/>
  <c r="BF96" i="1" s="1"/>
  <c r="AR160" i="1"/>
  <c r="BF160" i="1" s="1"/>
  <c r="AR191" i="1"/>
  <c r="AR163" i="1"/>
  <c r="BF163" i="1" s="1"/>
  <c r="AR202" i="1"/>
  <c r="BF202" i="1" s="1"/>
  <c r="AR219" i="1"/>
  <c r="BF219" i="1" s="1"/>
  <c r="AR74" i="1"/>
  <c r="BF74" i="1" s="1"/>
  <c r="AR172" i="1"/>
  <c r="BF172" i="1" s="1"/>
  <c r="AR47" i="1"/>
  <c r="BF47" i="1" s="1"/>
  <c r="AR181" i="1"/>
  <c r="BF181" i="1" s="1"/>
  <c r="AR193" i="1"/>
  <c r="BF193" i="1" s="1"/>
  <c r="AR194" i="1"/>
  <c r="BF194" i="1" s="1"/>
  <c r="AR192" i="1"/>
  <c r="BF192" i="1" s="1"/>
  <c r="AR140" i="1"/>
  <c r="BF140" i="1" s="1"/>
  <c r="AR146" i="1"/>
  <c r="BF146" i="1" s="1"/>
  <c r="AR218" i="1"/>
  <c r="BF218" i="1" s="1"/>
  <c r="AR51" i="1"/>
  <c r="BF51" i="1" s="1"/>
  <c r="AR145" i="1"/>
  <c r="BF145" i="1" s="1"/>
  <c r="AR61" i="1"/>
  <c r="BF61" i="1" s="1"/>
  <c r="AR195" i="1"/>
  <c r="BF195" i="1" s="1"/>
  <c r="AR73" i="1"/>
  <c r="BF73" i="1" s="1"/>
  <c r="AR115" i="1"/>
  <c r="BF115" i="1" s="1"/>
  <c r="AR182" i="1"/>
  <c r="BF182" i="1" s="1"/>
  <c r="AR179" i="1"/>
  <c r="BF179" i="1" s="1"/>
  <c r="AR188" i="1"/>
  <c r="BF188" i="1" s="1"/>
  <c r="AR53" i="1"/>
  <c r="BF53" i="1" s="1"/>
  <c r="AR143" i="1"/>
  <c r="BF143" i="1" s="1"/>
  <c r="AR36" i="1"/>
  <c r="AR149" i="1"/>
  <c r="BF149" i="1" s="1"/>
  <c r="AR148" i="1"/>
  <c r="BF148" i="1" s="1"/>
  <c r="AR49" i="1"/>
  <c r="BF49" i="1" s="1"/>
  <c r="AR216" i="1"/>
  <c r="BF216" i="1" s="1"/>
  <c r="AR58" i="1"/>
  <c r="BF58" i="1" s="1"/>
  <c r="AR99" i="1"/>
  <c r="BF99" i="1" s="1"/>
  <c r="AR166" i="1"/>
  <c r="BF166" i="1" s="1"/>
  <c r="AR123" i="1"/>
  <c r="BF123" i="1" s="1"/>
  <c r="AR165" i="1"/>
  <c r="BF165" i="1" s="1"/>
  <c r="AR55" i="1"/>
  <c r="BF55" i="1" s="1"/>
  <c r="AR199" i="1"/>
  <c r="BF199" i="1" s="1"/>
  <c r="AR59" i="1"/>
  <c r="BF59" i="1" s="1"/>
  <c r="AR94" i="1"/>
  <c r="BF94" i="1" s="1"/>
  <c r="AR60" i="1"/>
  <c r="BF60" i="1" s="1"/>
  <c r="AR45" i="1"/>
  <c r="AR75" i="1"/>
  <c r="BF75" i="1" s="1"/>
  <c r="AR213" i="1"/>
  <c r="BF213" i="1" s="1"/>
  <c r="AR147" i="1"/>
  <c r="BF147" i="1" s="1"/>
  <c r="AR168" i="1"/>
  <c r="BF168" i="1" s="1"/>
  <c r="AR197" i="1"/>
  <c r="BF197" i="1" s="1"/>
  <c r="S326" i="1" a="1"/>
  <c r="S326" i="1" s="1"/>
  <c r="R326" i="1" a="1"/>
  <c r="R326" i="1" s="1"/>
  <c r="R291" i="1" s="1"/>
  <c r="Q10" i="180" s="1"/>
  <c r="R312" i="1" a="1"/>
  <c r="R312" i="1" s="1"/>
  <c r="H45" i="165" s="1"/>
  <c r="S312" i="1" a="1"/>
  <c r="S312" i="1" s="1"/>
  <c r="I45" i="165" s="1"/>
  <c r="R314" i="1" a="1"/>
  <c r="R314" i="1" s="1"/>
  <c r="S314" i="1" a="1"/>
  <c r="S314" i="1" s="1"/>
  <c r="R315" i="1" a="1"/>
  <c r="R315" i="1" s="1"/>
  <c r="H48" i="165" s="1"/>
  <c r="S315" i="1" a="1"/>
  <c r="S315" i="1" s="1"/>
  <c r="I48" i="165" s="1"/>
  <c r="R316" i="1" a="1"/>
  <c r="R316" i="1" s="1"/>
  <c r="H49" i="165" s="1"/>
  <c r="S316" i="1" a="1"/>
  <c r="S316" i="1" s="1"/>
  <c r="I49" i="165" s="1"/>
  <c r="R317" i="1" a="1"/>
  <c r="R317" i="1" s="1"/>
  <c r="H50" i="165" s="1"/>
  <c r="S317" i="1" a="1"/>
  <c r="S317" i="1" s="1"/>
  <c r="I50" i="165" s="1"/>
  <c r="R318" i="1" a="1"/>
  <c r="R318" i="1" s="1"/>
  <c r="H51" i="165" s="1"/>
  <c r="S318" i="1" a="1"/>
  <c r="S318" i="1" s="1"/>
  <c r="I51" i="165" s="1"/>
  <c r="R319" i="1" a="1"/>
  <c r="R319" i="1" s="1"/>
  <c r="H52" i="165" s="1"/>
  <c r="S319" i="1" a="1"/>
  <c r="S319" i="1" s="1"/>
  <c r="I52" i="165" s="1"/>
  <c r="R321" i="1" a="1"/>
  <c r="R321" i="1" s="1"/>
  <c r="H54" i="165" s="1"/>
  <c r="S321" i="1" a="1"/>
  <c r="S321" i="1" s="1"/>
  <c r="I54" i="165" s="1"/>
  <c r="R322" i="1" a="1"/>
  <c r="R322" i="1" s="1"/>
  <c r="H55" i="165" s="1"/>
  <c r="S322" i="1" a="1"/>
  <c r="S322" i="1" s="1"/>
  <c r="I55" i="165" s="1"/>
  <c r="R323" i="1" a="1"/>
  <c r="R323" i="1" s="1"/>
  <c r="H56" i="165" s="1"/>
  <c r="S323" i="1" a="1"/>
  <c r="S323" i="1" s="1"/>
  <c r="I56" i="165" s="1"/>
  <c r="R324" i="1" a="1"/>
  <c r="R324" i="1" s="1"/>
  <c r="H57" i="165" s="1"/>
  <c r="S324" i="1" a="1"/>
  <c r="S324" i="1" s="1"/>
  <c r="I57" i="165" s="1"/>
  <c r="R325" i="1" a="1"/>
  <c r="R325" i="1" s="1"/>
  <c r="H58" i="165" s="1"/>
  <c r="S325" i="1" a="1"/>
  <c r="S325" i="1" s="1"/>
  <c r="I58" i="165" s="1"/>
  <c r="S311" i="1" a="1"/>
  <c r="S311" i="1" s="1"/>
  <c r="I44" i="165" s="1"/>
  <c r="R311" i="1" a="1"/>
  <c r="R311" i="1" s="1"/>
  <c r="H44" i="165" s="1"/>
  <c r="S307" i="1" a="1"/>
  <c r="S307" i="1" s="1"/>
  <c r="I37" i="165" s="1"/>
  <c r="E49" i="180" s="1"/>
  <c r="R307" i="1" a="1"/>
  <c r="R307" i="1" s="1"/>
  <c r="R296" i="1" a="1"/>
  <c r="R296" i="1" s="1"/>
  <c r="H26" i="165" s="1"/>
  <c r="S296" i="1" a="1"/>
  <c r="S296" i="1" s="1"/>
  <c r="I26" i="165" s="1"/>
  <c r="R297" i="1" a="1"/>
  <c r="R297" i="1" s="1"/>
  <c r="H27" i="165" s="1"/>
  <c r="S297" i="1" a="1"/>
  <c r="S297" i="1" s="1"/>
  <c r="I27" i="165" s="1"/>
  <c r="R298" i="1" a="1"/>
  <c r="R298" i="1" s="1"/>
  <c r="H28" i="165" s="1"/>
  <c r="S298" i="1" a="1"/>
  <c r="S298" i="1" s="1"/>
  <c r="I28" i="165" s="1"/>
  <c r="R299" i="1" a="1"/>
  <c r="R299" i="1" s="1"/>
  <c r="H29" i="165" s="1"/>
  <c r="S299" i="1" a="1"/>
  <c r="S299" i="1" s="1"/>
  <c r="I29" i="165" s="1"/>
  <c r="R300" i="1" a="1"/>
  <c r="R300" i="1" s="1"/>
  <c r="H30" i="165" s="1"/>
  <c r="S300" i="1" a="1"/>
  <c r="S300" i="1" s="1"/>
  <c r="I30" i="165" s="1"/>
  <c r="R301" i="1" a="1"/>
  <c r="R301" i="1" s="1"/>
  <c r="H31" i="165" s="1"/>
  <c r="S301" i="1" a="1"/>
  <c r="S301" i="1" s="1"/>
  <c r="I31" i="165" s="1"/>
  <c r="R303" i="1" a="1"/>
  <c r="R303" i="1" s="1"/>
  <c r="H33" i="165" s="1"/>
  <c r="S303" i="1" a="1"/>
  <c r="S303" i="1" s="1"/>
  <c r="I33" i="165" s="1"/>
  <c r="R304" i="1" a="1"/>
  <c r="R304" i="1" s="1"/>
  <c r="H34" i="165" s="1"/>
  <c r="S304" i="1" a="1"/>
  <c r="S304" i="1" s="1"/>
  <c r="I34" i="165" s="1"/>
  <c r="R305" i="1" a="1"/>
  <c r="R305" i="1" s="1"/>
  <c r="H35" i="165" s="1"/>
  <c r="S305" i="1" a="1"/>
  <c r="S305" i="1" s="1"/>
  <c r="I35" i="165" s="1"/>
  <c r="R306" i="1" a="1"/>
  <c r="R306" i="1" s="1"/>
  <c r="H36" i="165" s="1"/>
  <c r="S306" i="1" a="1"/>
  <c r="S306" i="1" s="1"/>
  <c r="I36" i="165" s="1"/>
  <c r="S295" i="1" a="1"/>
  <c r="S295" i="1" s="1"/>
  <c r="I25" i="165" s="1"/>
  <c r="R295" i="1" a="1"/>
  <c r="R295" i="1" s="1"/>
  <c r="H25" i="165" s="1"/>
  <c r="S239" i="1" a="1"/>
  <c r="S239" i="1" s="1"/>
  <c r="I18" i="165" s="1"/>
  <c r="S225" i="1" a="1"/>
  <c r="S225" i="1" s="1"/>
  <c r="I4" i="165" s="1"/>
  <c r="S227" i="1" a="1"/>
  <c r="S227" i="1" s="1"/>
  <c r="I6" i="165" s="1"/>
  <c r="S228" i="1" a="1"/>
  <c r="S228" i="1" s="1"/>
  <c r="I7" i="165" s="1"/>
  <c r="S229" i="1" a="1"/>
  <c r="S229" i="1" s="1"/>
  <c r="I8" i="165" s="1"/>
  <c r="S230" i="1" a="1"/>
  <c r="S230" i="1" s="1"/>
  <c r="I9" i="165" s="1"/>
  <c r="S231" i="1" a="1"/>
  <c r="S231" i="1" s="1"/>
  <c r="I10" i="165" s="1"/>
  <c r="S232" i="1" a="1"/>
  <c r="S232" i="1" s="1"/>
  <c r="I11" i="165" s="1"/>
  <c r="S234" i="1" a="1"/>
  <c r="S234" i="1" s="1"/>
  <c r="I13" i="165" s="1"/>
  <c r="S235" i="1" a="1"/>
  <c r="S235" i="1" s="1"/>
  <c r="I14" i="165" s="1"/>
  <c r="S236" i="1" a="1"/>
  <c r="S236" i="1" s="1"/>
  <c r="I15" i="165" s="1"/>
  <c r="S237" i="1" a="1"/>
  <c r="S237" i="1" s="1"/>
  <c r="I16" i="165" s="1"/>
  <c r="S238" i="1" a="1"/>
  <c r="S238" i="1" s="1"/>
  <c r="I17" i="165" s="1"/>
  <c r="S224" i="1" a="1"/>
  <c r="S224" i="1" s="1"/>
  <c r="I3" i="165" s="1"/>
  <c r="R239" i="1" a="1"/>
  <c r="R239" i="1" s="1"/>
  <c r="H18" i="165" s="1"/>
  <c r="R238" i="1" a="1"/>
  <c r="R238" i="1" s="1"/>
  <c r="H17" i="165" s="1"/>
  <c r="R237" i="1" a="1"/>
  <c r="R237" i="1" s="1"/>
  <c r="H16" i="165" s="1"/>
  <c r="R236" i="1" a="1"/>
  <c r="R236" i="1" s="1"/>
  <c r="H15" i="165" s="1"/>
  <c r="R235" i="1" a="1"/>
  <c r="R235" i="1" s="1"/>
  <c r="H14" i="165" s="1"/>
  <c r="R234" i="1" a="1"/>
  <c r="R234" i="1" s="1"/>
  <c r="H13" i="165" s="1"/>
  <c r="R232" i="1" a="1"/>
  <c r="R232" i="1" s="1"/>
  <c r="H11" i="165" s="1"/>
  <c r="R231" i="1" a="1"/>
  <c r="R231" i="1" s="1"/>
  <c r="H10" i="165" s="1"/>
  <c r="R230" i="1" a="1"/>
  <c r="R230" i="1" s="1"/>
  <c r="H9" i="165" s="1"/>
  <c r="R229" i="1" a="1"/>
  <c r="R229" i="1" s="1"/>
  <c r="H8" i="165" s="1"/>
  <c r="R228" i="1" a="1"/>
  <c r="R228" i="1" s="1"/>
  <c r="H7" i="165" s="1"/>
  <c r="R227" i="1" a="1"/>
  <c r="R227" i="1" s="1"/>
  <c r="H6" i="165" s="1"/>
  <c r="R225" i="1" a="1"/>
  <c r="R225" i="1" s="1"/>
  <c r="H4" i="165" s="1"/>
  <c r="R224" i="1" a="1"/>
  <c r="R224" i="1" s="1"/>
  <c r="H3" i="165" s="1"/>
  <c r="B44" i="165" l="1"/>
  <c r="H326" i="1"/>
  <c r="N291" i="1"/>
  <c r="X326" i="1" a="1"/>
  <c r="X326" i="1" s="1"/>
  <c r="B3" i="165"/>
  <c r="BF45" i="1"/>
  <c r="J348" i="1"/>
  <c r="BF36" i="1"/>
  <c r="C330" i="1"/>
  <c r="J327" i="1"/>
  <c r="J347" i="1"/>
  <c r="Z307" i="1"/>
  <c r="K37" i="165" s="1"/>
  <c r="H37" i="165"/>
  <c r="F49" i="180" s="1"/>
  <c r="R280" i="1"/>
  <c r="L13" i="180" s="1"/>
  <c r="V277" i="1" a="1"/>
  <c r="V277" i="1" s="1"/>
  <c r="K10" i="180" s="1"/>
  <c r="V276" i="1" a="1"/>
  <c r="V276" i="1" s="1"/>
  <c r="K9" i="180" s="1"/>
  <c r="V272" i="1" a="1"/>
  <c r="V272" i="1" s="1"/>
  <c r="K5" i="180" s="1"/>
  <c r="V285" i="1" a="1"/>
  <c r="V285" i="1" s="1"/>
  <c r="V287" i="1" a="1"/>
  <c r="V287" i="1" s="1"/>
  <c r="P6" i="180" s="1"/>
  <c r="V279" i="1" a="1"/>
  <c r="V279" i="1" s="1"/>
  <c r="K12" i="180" s="1"/>
  <c r="V273" i="1" a="1"/>
  <c r="V273" i="1" s="1"/>
  <c r="K6" i="180" s="1"/>
  <c r="V286" i="1" a="1"/>
  <c r="V286" i="1" s="1"/>
  <c r="P5" i="180" s="1"/>
  <c r="V288" i="1" a="1"/>
  <c r="V288" i="1" s="1"/>
  <c r="P7" i="180" s="1"/>
  <c r="V284" i="1" a="1"/>
  <c r="V284" i="1" s="1"/>
  <c r="V278" i="1" a="1"/>
  <c r="V278" i="1" s="1"/>
  <c r="K11" i="180" s="1"/>
  <c r="V275" i="1" a="1"/>
  <c r="V275" i="1" s="1"/>
  <c r="K8" i="180" s="1"/>
  <c r="V274" i="1" a="1"/>
  <c r="V274" i="1" s="1"/>
  <c r="K7" i="180" s="1"/>
  <c r="V289" i="1" a="1"/>
  <c r="V289" i="1" s="1"/>
  <c r="P8" i="180" s="1"/>
  <c r="V290" i="1" a="1"/>
  <c r="V290" i="1" s="1"/>
  <c r="P9" i="180" s="1"/>
  <c r="V283" i="1" a="1"/>
  <c r="V283" i="1" s="1"/>
  <c r="E37" i="165"/>
  <c r="C49" i="180" s="1"/>
  <c r="N280" i="1"/>
  <c r="V268" i="1" a="1"/>
  <c r="V268" i="1" s="1"/>
  <c r="F35" i="180" s="1"/>
  <c r="K30" i="180" s="1"/>
  <c r="W268" i="1" a="1"/>
  <c r="W268" i="1" s="1"/>
  <c r="G37" i="165"/>
  <c r="C36" i="154"/>
  <c r="V266" i="1" a="1"/>
  <c r="V266" i="1" s="1"/>
  <c r="F33" i="180" s="1"/>
  <c r="K32" i="180" s="1"/>
  <c r="W266" i="1" a="1"/>
  <c r="W266" i="1" s="1"/>
  <c r="W264" i="1" a="1"/>
  <c r="W264" i="1" s="1"/>
  <c r="W267" i="1" a="1"/>
  <c r="W267" i="1" s="1"/>
  <c r="V262" i="1" a="1"/>
  <c r="V262" i="1" s="1"/>
  <c r="F29" i="180" s="1"/>
  <c r="W263" i="1" a="1"/>
  <c r="W263" i="1" s="1"/>
  <c r="W265" i="1" a="1"/>
  <c r="W265" i="1" s="1"/>
  <c r="V265" i="1" a="1"/>
  <c r="V265" i="1" s="1"/>
  <c r="F32" i="180" s="1"/>
  <c r="K33" i="180" s="1"/>
  <c r="V263" i="1" a="1"/>
  <c r="V263" i="1" s="1"/>
  <c r="F30" i="180" s="1"/>
  <c r="K35" i="180" s="1"/>
  <c r="W261" i="1" a="1"/>
  <c r="W261" i="1" s="1"/>
  <c r="V264" i="1" a="1"/>
  <c r="V264" i="1" s="1"/>
  <c r="F31" i="180" s="1"/>
  <c r="K34" i="180" s="1"/>
  <c r="W262" i="1" a="1"/>
  <c r="W262" i="1" s="1"/>
  <c r="V267" i="1" a="1"/>
  <c r="V267" i="1" s="1"/>
  <c r="F34" i="180" s="1"/>
  <c r="K31" i="180" s="1"/>
  <c r="V261" i="1" a="1"/>
  <c r="V261" i="1" s="1"/>
  <c r="F28" i="180" s="1"/>
  <c r="V269" i="1" a="1"/>
  <c r="V269" i="1" s="1"/>
  <c r="F36" i="180" s="1"/>
  <c r="K29" i="180" s="1"/>
  <c r="W269" i="1" a="1"/>
  <c r="W269" i="1" s="1"/>
  <c r="F37" i="180" s="1"/>
  <c r="K28" i="180" s="1"/>
  <c r="R333" i="1" a="1"/>
  <c r="R333" i="1" s="1"/>
  <c r="U333" i="1" a="1"/>
  <c r="U333" i="1" s="1"/>
  <c r="S333" i="1" a="1"/>
  <c r="S333" i="1" s="1"/>
  <c r="T333" i="1" a="1"/>
  <c r="T333" i="1" s="1"/>
  <c r="W333" i="1" a="1"/>
  <c r="W333" i="1" s="1"/>
  <c r="O333" i="1" a="1"/>
  <c r="O333" i="1" s="1"/>
  <c r="I333" i="1" a="1"/>
  <c r="I333" i="1" s="1"/>
  <c r="P333" i="1" a="1"/>
  <c r="P333" i="1" s="1"/>
  <c r="V333" i="1" a="1"/>
  <c r="V333" i="1" s="1"/>
  <c r="Q333" i="1" a="1"/>
  <c r="Q333" i="1" s="1"/>
  <c r="N333" i="1" a="1"/>
  <c r="N333" i="1" s="1"/>
  <c r="X333" i="1" s="1" a="1"/>
  <c r="X333" i="1" s="1"/>
  <c r="W353" i="1" a="1"/>
  <c r="W353" i="1" s="1"/>
  <c r="U353" i="1" a="1"/>
  <c r="U353" i="1" s="1"/>
  <c r="Q353" i="1" a="1"/>
  <c r="Q353" i="1" s="1"/>
  <c r="R353" i="1" a="1"/>
  <c r="R353" i="1" s="1"/>
  <c r="V353" i="1" a="1"/>
  <c r="V353" i="1" s="1"/>
  <c r="I353" i="1" a="1"/>
  <c r="I353" i="1" s="1"/>
  <c r="P353" i="1" a="1"/>
  <c r="P353" i="1" s="1"/>
  <c r="O353" i="1" a="1"/>
  <c r="O353" i="1" s="1"/>
  <c r="N353" i="1" a="1"/>
  <c r="N353" i="1" s="1"/>
  <c r="X353" i="1" s="1" a="1"/>
  <c r="X353" i="1" s="1"/>
  <c r="S353" i="1" a="1"/>
  <c r="S353" i="1" s="1"/>
  <c r="T353" i="1" a="1"/>
  <c r="T353" i="1" s="1"/>
  <c r="V226" i="1" a="1"/>
  <c r="V226" i="1" s="1"/>
  <c r="W226" i="1" a="1"/>
  <c r="W226" i="1" s="1"/>
  <c r="W313" i="1" a="1"/>
  <c r="W313" i="1" s="1"/>
  <c r="V313" i="1" a="1"/>
  <c r="V313" i="1" s="1"/>
  <c r="G47" i="165"/>
  <c r="B47" i="165"/>
  <c r="I47" i="165"/>
  <c r="H47" i="165"/>
  <c r="F47" i="165"/>
  <c r="D47" i="165"/>
  <c r="BF191" i="1"/>
  <c r="W258" i="1" a="1"/>
  <c r="W258" i="1" s="1"/>
  <c r="F21" i="180" s="1"/>
  <c r="V258" i="1" a="1"/>
  <c r="V258" i="1" s="1"/>
  <c r="F20" i="180" s="1"/>
  <c r="X296" i="1" a="1"/>
  <c r="X296" i="1" s="1"/>
  <c r="J26" i="165" s="1"/>
  <c r="X297" i="1" a="1"/>
  <c r="X297" i="1" s="1"/>
  <c r="J27" i="165" s="1"/>
  <c r="E27" i="165"/>
  <c r="X322" i="1" a="1"/>
  <c r="X322" i="1" s="1"/>
  <c r="J55" i="165" s="1"/>
  <c r="E55" i="165"/>
  <c r="X319" i="1" a="1"/>
  <c r="X319" i="1" s="1"/>
  <c r="J52" i="165" s="1"/>
  <c r="E52" i="165"/>
  <c r="X317" i="1" a="1"/>
  <c r="X317" i="1" s="1"/>
  <c r="J50" i="165" s="1"/>
  <c r="E50" i="165"/>
  <c r="X315" i="1" a="1"/>
  <c r="X315" i="1" s="1"/>
  <c r="J48" i="165" s="1"/>
  <c r="E48" i="165"/>
  <c r="X312" i="1" a="1"/>
  <c r="X312" i="1" s="1"/>
  <c r="J45" i="165" s="1"/>
  <c r="E45" i="165"/>
  <c r="C38" i="154"/>
  <c r="G59" i="165"/>
  <c r="X323" i="1" a="1"/>
  <c r="X323" i="1" s="1"/>
  <c r="J56" i="165" s="1"/>
  <c r="E56" i="165"/>
  <c r="X325" i="1" a="1"/>
  <c r="X325" i="1" s="1"/>
  <c r="J58" i="165" s="1"/>
  <c r="E58" i="165"/>
  <c r="X291" i="1"/>
  <c r="O10" i="180" s="1"/>
  <c r="E59" i="165"/>
  <c r="C44" i="154"/>
  <c r="H59" i="165"/>
  <c r="F50" i="180" s="1"/>
  <c r="C39" i="154"/>
  <c r="F59" i="165"/>
  <c r="C45" i="154"/>
  <c r="I59" i="165"/>
  <c r="E50" i="180" s="1"/>
  <c r="X321" i="1" a="1"/>
  <c r="X321" i="1" s="1"/>
  <c r="J54" i="165" s="1"/>
  <c r="E54" i="165"/>
  <c r="X318" i="1" a="1"/>
  <c r="X318" i="1" s="1"/>
  <c r="J51" i="165" s="1"/>
  <c r="E51" i="165"/>
  <c r="X316" i="1" a="1"/>
  <c r="X316" i="1" s="1"/>
  <c r="J49" i="165" s="1"/>
  <c r="E49" i="165"/>
  <c r="X314" i="1" a="1"/>
  <c r="X314" i="1" s="1"/>
  <c r="E47" i="165"/>
  <c r="X324" i="1" a="1"/>
  <c r="X324" i="1" s="1"/>
  <c r="J57" i="165" s="1"/>
  <c r="E57" i="165"/>
  <c r="C42" i="154"/>
  <c r="X300" i="1" a="1"/>
  <c r="X300" i="1" s="1"/>
  <c r="J30" i="165" s="1"/>
  <c r="X239" i="1" a="1"/>
  <c r="X239" i="1" s="1"/>
  <c r="E18" i="165"/>
  <c r="C43" i="154"/>
  <c r="X301" i="1" a="1"/>
  <c r="X301" i="1" s="1"/>
  <c r="J31" i="165" s="1"/>
  <c r="X306" i="1" a="1"/>
  <c r="X306" i="1" s="1"/>
  <c r="J36" i="165" s="1"/>
  <c r="X304" i="1" a="1"/>
  <c r="X304" i="1" s="1"/>
  <c r="J34" i="165" s="1"/>
  <c r="X305" i="1" a="1"/>
  <c r="X305" i="1" s="1"/>
  <c r="J35" i="165" s="1"/>
  <c r="X311" i="1" a="1"/>
  <c r="X311" i="1" s="1"/>
  <c r="J44" i="165" s="1"/>
  <c r="X298" i="1" a="1"/>
  <c r="X298" i="1" s="1"/>
  <c r="J28" i="165" s="1"/>
  <c r="C37" i="154"/>
  <c r="X303" i="1" a="1"/>
  <c r="X303" i="1" s="1"/>
  <c r="J33" i="165" s="1"/>
  <c r="X299" i="1" a="1"/>
  <c r="X299" i="1" s="1"/>
  <c r="J29" i="165" s="1"/>
  <c r="X307" i="1" a="1"/>
  <c r="X307" i="1" s="1"/>
  <c r="W326" i="1" a="1"/>
  <c r="W326" i="1" s="1"/>
  <c r="V326" i="1" a="1"/>
  <c r="V326" i="1" s="1"/>
  <c r="V291" i="1" s="1"/>
  <c r="P10" i="180" s="1"/>
  <c r="V315" i="1" a="1"/>
  <c r="V315" i="1" s="1"/>
  <c r="V318" i="1" a="1"/>
  <c r="V318" i="1" s="1"/>
  <c r="V325" i="1" a="1"/>
  <c r="V325" i="1" s="1"/>
  <c r="V307" i="1" a="1"/>
  <c r="V307" i="1" s="1"/>
  <c r="V280" i="1" s="1"/>
  <c r="K13" i="180" s="1"/>
  <c r="V301" i="1" a="1"/>
  <c r="V301" i="1" s="1"/>
  <c r="V298" i="1" a="1"/>
  <c r="V298" i="1" s="1"/>
  <c r="W295" i="1" a="1"/>
  <c r="W295" i="1" s="1"/>
  <c r="W227" i="1" a="1"/>
  <c r="W227" i="1" s="1"/>
  <c r="V230" i="1" a="1"/>
  <c r="V230" i="1" s="1"/>
  <c r="V233" i="1" a="1"/>
  <c r="V233" i="1" s="1"/>
  <c r="W235" i="1" a="1"/>
  <c r="W235" i="1" s="1"/>
  <c r="V238" i="1" a="1"/>
  <c r="V238" i="1" s="1"/>
  <c r="W317" i="1" a="1"/>
  <c r="W317" i="1" s="1"/>
  <c r="W318" i="1" a="1"/>
  <c r="W318" i="1" s="1"/>
  <c r="W321" i="1" a="1"/>
  <c r="W321" i="1" s="1"/>
  <c r="W306" i="1" a="1"/>
  <c r="W306" i="1" s="1"/>
  <c r="W297" i="1" a="1"/>
  <c r="W297" i="1" s="1"/>
  <c r="V295" i="1" a="1"/>
  <c r="V295" i="1" s="1"/>
  <c r="W230" i="1" a="1"/>
  <c r="W230" i="1" s="1"/>
  <c r="W238" i="1" a="1"/>
  <c r="W238" i="1" s="1"/>
  <c r="V312" i="1" a="1"/>
  <c r="V312" i="1" s="1"/>
  <c r="W315" i="1" a="1"/>
  <c r="W315" i="1" s="1"/>
  <c r="V319" i="1" a="1"/>
  <c r="V319" i="1" s="1"/>
  <c r="V322" i="1" a="1"/>
  <c r="V322" i="1" s="1"/>
  <c r="W325" i="1" a="1"/>
  <c r="W325" i="1" s="1"/>
  <c r="V306" i="1" a="1"/>
  <c r="V306" i="1" s="1"/>
  <c r="W303" i="1" a="1"/>
  <c r="W303" i="1" s="1"/>
  <c r="W300" i="1" a="1"/>
  <c r="W300" i="1" s="1"/>
  <c r="V297" i="1" a="1"/>
  <c r="V297" i="1" s="1"/>
  <c r="W239" i="1" a="1"/>
  <c r="W239" i="1" s="1"/>
  <c r="V228" i="1" a="1"/>
  <c r="V228" i="1" s="1"/>
  <c r="V231" i="1" a="1"/>
  <c r="V231" i="1" s="1"/>
  <c r="W233" i="1" a="1"/>
  <c r="W233" i="1" s="1"/>
  <c r="V236" i="1" a="1"/>
  <c r="V236" i="1" s="1"/>
  <c r="V224" i="1" a="1"/>
  <c r="V224" i="1" s="1"/>
  <c r="W324" i="1" a="1"/>
  <c r="W324" i="1" s="1"/>
  <c r="V316" i="1" a="1"/>
  <c r="V316" i="1" s="1"/>
  <c r="W322" i="1" a="1"/>
  <c r="W322" i="1" s="1"/>
  <c r="W311" i="1" a="1"/>
  <c r="W311" i="1" s="1"/>
  <c r="W305" i="1" a="1"/>
  <c r="W305" i="1" s="1"/>
  <c r="V303" i="1" a="1"/>
  <c r="V303" i="1" s="1"/>
  <c r="V300" i="1" a="1"/>
  <c r="V300" i="1" s="1"/>
  <c r="V239" i="1" a="1"/>
  <c r="V239" i="1" s="1"/>
  <c r="W228" i="1" a="1"/>
  <c r="W228" i="1" s="1"/>
  <c r="W236" i="1" a="1"/>
  <c r="W236" i="1" s="1"/>
  <c r="W224" i="1" a="1"/>
  <c r="W224" i="1" s="1"/>
  <c r="W307" i="1" a="1"/>
  <c r="W307" i="1" s="1"/>
  <c r="W232" i="1" a="1"/>
  <c r="W232" i="1" s="1"/>
  <c r="W312" i="1" a="1"/>
  <c r="W312" i="1" s="1"/>
  <c r="W316" i="1" a="1"/>
  <c r="W316" i="1" s="1"/>
  <c r="W319" i="1" a="1"/>
  <c r="W319" i="1" s="1"/>
  <c r="V323" i="1" a="1"/>
  <c r="V323" i="1" s="1"/>
  <c r="V311" i="1" a="1"/>
  <c r="V311" i="1" s="1"/>
  <c r="V305" i="1" a="1"/>
  <c r="V305" i="1" s="1"/>
  <c r="W299" i="1" a="1"/>
  <c r="W299" i="1" s="1"/>
  <c r="W296" i="1" a="1"/>
  <c r="W296" i="1" s="1"/>
  <c r="V225" i="1" a="1"/>
  <c r="V225" i="1" s="1"/>
  <c r="V229" i="1" a="1"/>
  <c r="V229" i="1" s="1"/>
  <c r="W231" i="1" a="1"/>
  <c r="W231" i="1" s="1"/>
  <c r="V234" i="1" a="1"/>
  <c r="V234" i="1" s="1"/>
  <c r="V237" i="1" a="1"/>
  <c r="V237" i="1" s="1"/>
  <c r="W298" i="1" a="1"/>
  <c r="W298" i="1" s="1"/>
  <c r="V314" i="1" a="1"/>
  <c r="V314" i="1" s="1"/>
  <c r="V317" i="1" a="1"/>
  <c r="V317" i="1" s="1"/>
  <c r="V320" i="1" a="1"/>
  <c r="V320" i="1" s="1"/>
  <c r="W323" i="1" a="1"/>
  <c r="W323" i="1" s="1"/>
  <c r="W304" i="1" a="1"/>
  <c r="W304" i="1" s="1"/>
  <c r="W302" i="1" a="1"/>
  <c r="W302" i="1" s="1"/>
  <c r="V299" i="1" a="1"/>
  <c r="V299" i="1" s="1"/>
  <c r="V296" i="1" a="1"/>
  <c r="V296" i="1" s="1"/>
  <c r="W225" i="1" a="1"/>
  <c r="W225" i="1" s="1"/>
  <c r="W234" i="1" a="1"/>
  <c r="W234" i="1" s="1"/>
  <c r="W301" i="1" a="1"/>
  <c r="W301" i="1" s="1"/>
  <c r="W314" i="1" a="1"/>
  <c r="W314" i="1" s="1"/>
  <c r="W320" i="1" a="1"/>
  <c r="W320" i="1" s="1"/>
  <c r="V324" i="1" a="1"/>
  <c r="V324" i="1" s="1"/>
  <c r="V304" i="1" a="1"/>
  <c r="V304" i="1" s="1"/>
  <c r="V302" i="1" a="1"/>
  <c r="V302" i="1" s="1"/>
  <c r="V227" i="1" a="1"/>
  <c r="V227" i="1" s="1"/>
  <c r="W229" i="1" a="1"/>
  <c r="W229" i="1" s="1"/>
  <c r="V232" i="1" a="1"/>
  <c r="V232" i="1" s="1"/>
  <c r="V235" i="1" a="1"/>
  <c r="V235" i="1" s="1"/>
  <c r="W237" i="1" a="1"/>
  <c r="W237" i="1" s="1"/>
  <c r="V321" i="1" a="1"/>
  <c r="V321" i="1" s="1"/>
  <c r="R335" i="1" a="1"/>
  <c r="R335" i="1" s="1"/>
  <c r="J339" i="1"/>
  <c r="I360" i="1" a="1"/>
  <c r="I360" i="1" s="1"/>
  <c r="S360" i="1" a="1"/>
  <c r="S360" i="1" s="1"/>
  <c r="T360" i="1" a="1"/>
  <c r="T360" i="1" s="1"/>
  <c r="V360" i="1" a="1"/>
  <c r="V360" i="1" s="1"/>
  <c r="N360" i="1" a="1"/>
  <c r="N360" i="1" s="1"/>
  <c r="X360" i="1" s="1" a="1"/>
  <c r="X360" i="1" s="1"/>
  <c r="O360" i="1" a="1"/>
  <c r="O360" i="1" s="1"/>
  <c r="U360" i="1" a="1"/>
  <c r="U360" i="1" s="1"/>
  <c r="P360" i="1" a="1"/>
  <c r="P360" i="1" s="1"/>
  <c r="Q360" i="1" a="1"/>
  <c r="Q360" i="1" s="1"/>
  <c r="R360" i="1" a="1"/>
  <c r="R360" i="1" s="1"/>
  <c r="W360" i="1" a="1"/>
  <c r="W360" i="1" s="1"/>
  <c r="R340" i="1" a="1"/>
  <c r="R340" i="1" s="1"/>
  <c r="I340" i="1" a="1"/>
  <c r="I340" i="1" s="1"/>
  <c r="S340" i="1" a="1"/>
  <c r="S340" i="1" s="1"/>
  <c r="T340" i="1" a="1"/>
  <c r="T340" i="1" s="1"/>
  <c r="N340" i="1" a="1"/>
  <c r="N340" i="1" s="1"/>
  <c r="X340" i="1" s="1" a="1"/>
  <c r="X340" i="1" s="1"/>
  <c r="O340" i="1" a="1"/>
  <c r="O340" i="1" s="1"/>
  <c r="U340" i="1" a="1"/>
  <c r="U340" i="1" s="1"/>
  <c r="W340" i="1" a="1"/>
  <c r="W340" i="1" s="1"/>
  <c r="Q340" i="1" a="1"/>
  <c r="Q340" i="1" s="1"/>
  <c r="P340" i="1" a="1"/>
  <c r="P340" i="1" s="1"/>
  <c r="V340" i="1" a="1"/>
  <c r="V340" i="1" s="1"/>
  <c r="I352" i="1" a="1"/>
  <c r="I352" i="1" s="1"/>
  <c r="I361" i="1" a="1"/>
  <c r="I361" i="1" s="1"/>
  <c r="I332" i="1" a="1"/>
  <c r="I332" i="1" s="1"/>
  <c r="I341" i="1" a="1"/>
  <c r="I341" i="1" s="1"/>
  <c r="I356" i="1" a="1"/>
  <c r="I356" i="1" s="1"/>
  <c r="I364" i="1" a="1"/>
  <c r="I364" i="1" s="1"/>
  <c r="I343" i="1" a="1"/>
  <c r="I343" i="1" s="1"/>
  <c r="I346" i="1" a="1"/>
  <c r="I346" i="1" s="1"/>
  <c r="I334" i="1" a="1"/>
  <c r="I334" i="1" s="1"/>
  <c r="I355" i="1" a="1"/>
  <c r="I355" i="1" s="1"/>
  <c r="I365" i="1" a="1"/>
  <c r="I365" i="1" s="1"/>
  <c r="I336" i="1" a="1"/>
  <c r="I336" i="1" s="1"/>
  <c r="I344" i="1" a="1"/>
  <c r="I344" i="1" s="1"/>
  <c r="I359" i="1" a="1"/>
  <c r="I359" i="1" s="1"/>
  <c r="I362" i="1" a="1"/>
  <c r="I362" i="1" s="1"/>
  <c r="I342" i="1" a="1"/>
  <c r="I342" i="1" s="1"/>
  <c r="I357" i="1" a="1"/>
  <c r="I357" i="1" s="1"/>
  <c r="I351" i="1" a="1"/>
  <c r="I351" i="1" s="1"/>
  <c r="I337" i="1" a="1"/>
  <c r="I337" i="1" s="1"/>
  <c r="I345" i="1" a="1"/>
  <c r="I345" i="1" s="1"/>
  <c r="I339" i="1" a="1"/>
  <c r="I339" i="1" s="1"/>
  <c r="I363" i="1" a="1"/>
  <c r="I363" i="1" s="1"/>
  <c r="I358" i="1" a="1"/>
  <c r="I358" i="1" s="1"/>
  <c r="I366" i="1" a="1"/>
  <c r="I366" i="1" s="1"/>
  <c r="I338" i="1" a="1"/>
  <c r="I338" i="1" s="1"/>
  <c r="I331" i="1" a="1"/>
  <c r="I331" i="1" s="1"/>
  <c r="I354" i="1" a="1"/>
  <c r="I354" i="1" s="1"/>
  <c r="I335" i="1" a="1"/>
  <c r="I335" i="1" s="1"/>
  <c r="V366" i="1" a="1"/>
  <c r="V366" i="1" s="1"/>
  <c r="V356" i="1" a="1"/>
  <c r="V356" i="1" s="1"/>
  <c r="V359" i="1" a="1"/>
  <c r="V359" i="1" s="1"/>
  <c r="W363" i="1" a="1"/>
  <c r="W363" i="1" s="1"/>
  <c r="V346" i="1" a="1"/>
  <c r="V346" i="1" s="1"/>
  <c r="W335" i="1" a="1"/>
  <c r="W335" i="1" s="1"/>
  <c r="W342" i="1" a="1"/>
  <c r="W342" i="1" s="1"/>
  <c r="V362" i="1" a="1"/>
  <c r="V362" i="1" s="1"/>
  <c r="W341" i="1" a="1"/>
  <c r="W341" i="1" s="1"/>
  <c r="V338" i="1" a="1"/>
  <c r="V338" i="1" s="1"/>
  <c r="V352" i="1" a="1"/>
  <c r="V352" i="1" s="1"/>
  <c r="W356" i="1" a="1"/>
  <c r="W356" i="1" s="1"/>
  <c r="W359" i="1" a="1"/>
  <c r="W359" i="1" s="1"/>
  <c r="V364" i="1" a="1"/>
  <c r="V364" i="1" s="1"/>
  <c r="V332" i="1" a="1"/>
  <c r="V332" i="1" s="1"/>
  <c r="V336" i="1" a="1"/>
  <c r="V336" i="1" s="1"/>
  <c r="W338" i="1" a="1"/>
  <c r="W338" i="1" s="1"/>
  <c r="V343" i="1" a="1"/>
  <c r="V343" i="1" s="1"/>
  <c r="W345" i="1" a="1"/>
  <c r="W345" i="1" s="1"/>
  <c r="V358" i="1" a="1"/>
  <c r="V358" i="1" s="1"/>
  <c r="V337" i="1" a="1"/>
  <c r="V337" i="1" s="1"/>
  <c r="W355" i="1" a="1"/>
  <c r="W355" i="1" s="1"/>
  <c r="W352" i="1" a="1"/>
  <c r="W352" i="1" s="1"/>
  <c r="V361" i="1" a="1"/>
  <c r="V361" i="1" s="1"/>
  <c r="W364" i="1" a="1"/>
  <c r="W364" i="1" s="1"/>
  <c r="W332" i="1" a="1"/>
  <c r="W332" i="1" s="1"/>
  <c r="V339" i="1" a="1"/>
  <c r="V339" i="1" s="1"/>
  <c r="W331" i="1" a="1"/>
  <c r="W331" i="1" s="1"/>
  <c r="W351" i="1" a="1"/>
  <c r="W351" i="1" s="1"/>
  <c r="V342" i="1" a="1"/>
  <c r="V342" i="1" s="1"/>
  <c r="V354" i="1" a="1"/>
  <c r="V354" i="1" s="1"/>
  <c r="V357" i="1" a="1"/>
  <c r="V357" i="1" s="1"/>
  <c r="W361" i="1" a="1"/>
  <c r="W361" i="1" s="1"/>
  <c r="V365" i="1" a="1"/>
  <c r="V365" i="1" s="1"/>
  <c r="V334" i="1" a="1"/>
  <c r="V334" i="1" s="1"/>
  <c r="W336" i="1" a="1"/>
  <c r="W336" i="1" s="1"/>
  <c r="W339" i="1" a="1"/>
  <c r="W339" i="1" s="1"/>
  <c r="W343" i="1" a="1"/>
  <c r="W343" i="1" s="1"/>
  <c r="V331" i="1" a="1"/>
  <c r="V331" i="1" s="1"/>
  <c r="W334" i="1" a="1"/>
  <c r="W334" i="1" s="1"/>
  <c r="V344" i="1" a="1"/>
  <c r="V344" i="1" s="1"/>
  <c r="V335" i="1" a="1"/>
  <c r="V335" i="1" s="1"/>
  <c r="W354" i="1" a="1"/>
  <c r="W354" i="1" s="1"/>
  <c r="W357" i="1" a="1"/>
  <c r="W357" i="1" s="1"/>
  <c r="W365" i="1" a="1"/>
  <c r="W365" i="1" s="1"/>
  <c r="V341" i="1" a="1"/>
  <c r="V341" i="1" s="1"/>
  <c r="V363" i="1" a="1"/>
  <c r="V363" i="1" s="1"/>
  <c r="V345" i="1" a="1"/>
  <c r="V345" i="1" s="1"/>
  <c r="V355" i="1" a="1"/>
  <c r="V355" i="1" s="1"/>
  <c r="W358" i="1" a="1"/>
  <c r="W358" i="1" s="1"/>
  <c r="W362" i="1" a="1"/>
  <c r="W362" i="1" s="1"/>
  <c r="V351" i="1" a="1"/>
  <c r="V351" i="1" s="1"/>
  <c r="W337" i="1" a="1"/>
  <c r="W337" i="1" s="1"/>
  <c r="W344" i="1" a="1"/>
  <c r="W344" i="1" s="1"/>
  <c r="W366" i="1" a="1"/>
  <c r="W366" i="1" s="1"/>
  <c r="W346" i="1" a="1"/>
  <c r="W346" i="1" s="1"/>
  <c r="T366" i="1" a="1"/>
  <c r="T366" i="1" s="1"/>
  <c r="T359" i="1" a="1"/>
  <c r="T359" i="1" s="1"/>
  <c r="T346" i="1" a="1"/>
  <c r="T346" i="1" s="1"/>
  <c r="T339" i="1" a="1"/>
  <c r="T339" i="1" s="1"/>
  <c r="T363" i="1" a="1"/>
  <c r="T363" i="1" s="1"/>
  <c r="T343" i="1" a="1"/>
  <c r="T343" i="1" s="1"/>
  <c r="T352" i="1" a="1"/>
  <c r="T352" i="1" s="1"/>
  <c r="T361" i="1" a="1"/>
  <c r="T361" i="1" s="1"/>
  <c r="T338" i="1" a="1"/>
  <c r="T338" i="1" s="1"/>
  <c r="T344" i="1" a="1"/>
  <c r="T344" i="1" s="1"/>
  <c r="T354" i="1" a="1"/>
  <c r="T354" i="1" s="1"/>
  <c r="T345" i="1" a="1"/>
  <c r="T345" i="1" s="1"/>
  <c r="T337" i="1" a="1"/>
  <c r="T337" i="1" s="1"/>
  <c r="T335" i="1" a="1"/>
  <c r="T335" i="1" s="1"/>
  <c r="T334" i="1" a="1"/>
  <c r="T334" i="1" s="1"/>
  <c r="T355" i="1" a="1"/>
  <c r="T355" i="1" s="1"/>
  <c r="T362" i="1" a="1"/>
  <c r="T362" i="1" s="1"/>
  <c r="T336" i="1" a="1"/>
  <c r="T336" i="1" s="1"/>
  <c r="T356" i="1" a="1"/>
  <c r="T356" i="1" s="1"/>
  <c r="T364" i="1" a="1"/>
  <c r="T364" i="1" s="1"/>
  <c r="T357" i="1" a="1"/>
  <c r="T357" i="1" s="1"/>
  <c r="T365" i="1" a="1"/>
  <c r="T365" i="1" s="1"/>
  <c r="T342" i="1" a="1"/>
  <c r="T342" i="1" s="1"/>
  <c r="T332" i="1" a="1"/>
  <c r="T332" i="1" s="1"/>
  <c r="T358" i="1" a="1"/>
  <c r="T358" i="1" s="1"/>
  <c r="T341" i="1" a="1"/>
  <c r="T341" i="1" s="1"/>
  <c r="T351" i="1" a="1"/>
  <c r="T351" i="1" s="1"/>
  <c r="T331" i="1" a="1"/>
  <c r="T331" i="1" s="1"/>
  <c r="Z224" i="1"/>
  <c r="K3" i="165" s="1"/>
  <c r="Z321" i="1"/>
  <c r="K54" i="165" s="1"/>
  <c r="Z318" i="1"/>
  <c r="K51" i="165" s="1"/>
  <c r="Z316" i="1"/>
  <c r="K49" i="165" s="1"/>
  <c r="Z314" i="1"/>
  <c r="Z326" i="1"/>
  <c r="Z300" i="1"/>
  <c r="K30" i="165" s="1"/>
  <c r="Z237" i="1"/>
  <c r="K16" i="165" s="1"/>
  <c r="Z235" i="1"/>
  <c r="K14" i="165" s="1"/>
  <c r="Z230" i="1"/>
  <c r="K9" i="165" s="1"/>
  <c r="Z228" i="1"/>
  <c r="K7" i="165" s="1"/>
  <c r="Z225" i="1"/>
  <c r="K4" i="165" s="1"/>
  <c r="Z322" i="1"/>
  <c r="K55" i="165" s="1"/>
  <c r="Z319" i="1"/>
  <c r="K52" i="165" s="1"/>
  <c r="Z317" i="1"/>
  <c r="K50" i="165" s="1"/>
  <c r="Z315" i="1"/>
  <c r="K48" i="165" s="1"/>
  <c r="Z312" i="1"/>
  <c r="K45" i="165" s="1"/>
  <c r="Z239" i="1"/>
  <c r="Z311" i="1"/>
  <c r="K44" i="165" s="1"/>
  <c r="Z296" i="1"/>
  <c r="K26" i="165" s="1"/>
  <c r="Z304" i="1"/>
  <c r="K34" i="165" s="1"/>
  <c r="Z323" i="1"/>
  <c r="K56" i="165" s="1"/>
  <c r="Z299" i="1"/>
  <c r="K29" i="165" s="1"/>
  <c r="N331" i="1" a="1"/>
  <c r="N331" i="1" s="1"/>
  <c r="X331" i="1" s="1" a="1"/>
  <c r="X331" i="1" s="1"/>
  <c r="Z232" i="1"/>
  <c r="K11" i="165" s="1"/>
  <c r="Z295" i="1"/>
  <c r="K25" i="165" s="1"/>
  <c r="Z303" i="1"/>
  <c r="K33" i="165" s="1"/>
  <c r="Z324" i="1"/>
  <c r="K57" i="165" s="1"/>
  <c r="Z238" i="1"/>
  <c r="K17" i="165" s="1"/>
  <c r="Z236" i="1"/>
  <c r="K15" i="165" s="1"/>
  <c r="Z234" i="1"/>
  <c r="K13" i="165" s="1"/>
  <c r="Z231" i="1"/>
  <c r="K10" i="165" s="1"/>
  <c r="Z229" i="1"/>
  <c r="K8" i="165" s="1"/>
  <c r="Z227" i="1"/>
  <c r="K6" i="165" s="1"/>
  <c r="Z298" i="1"/>
  <c r="K28" i="165" s="1"/>
  <c r="Z306" i="1"/>
  <c r="K36" i="165" s="1"/>
  <c r="Z301" i="1"/>
  <c r="K31" i="165" s="1"/>
  <c r="Z325" i="1"/>
  <c r="K58" i="165" s="1"/>
  <c r="Z297" i="1"/>
  <c r="K27" i="165" s="1"/>
  <c r="Z305" i="1"/>
  <c r="K35" i="165" s="1"/>
  <c r="N332" i="1" a="1"/>
  <c r="N332" i="1" s="1"/>
  <c r="X332" i="1" s="1" a="1"/>
  <c r="X332" i="1" s="1"/>
  <c r="Q331" i="1" a="1"/>
  <c r="Q331" i="1" s="1"/>
  <c r="Z331" i="1" s="1"/>
  <c r="H364" i="1"/>
  <c r="J362" i="1"/>
  <c r="J307" i="1"/>
  <c r="D37" i="165" s="1"/>
  <c r="D44" i="180" s="1"/>
  <c r="H352" i="1"/>
  <c r="J356" i="1"/>
  <c r="H335" i="1"/>
  <c r="J365" i="1"/>
  <c r="J335" i="1"/>
  <c r="H363" i="1"/>
  <c r="H354" i="1"/>
  <c r="H344" i="1"/>
  <c r="H307" i="1"/>
  <c r="J352" i="1"/>
  <c r="H362" i="1"/>
  <c r="J326" i="1"/>
  <c r="D59" i="165" s="1"/>
  <c r="D45" i="180" s="1"/>
  <c r="J351" i="1"/>
  <c r="H339" i="1"/>
  <c r="H336" i="1"/>
  <c r="H341" i="1"/>
  <c r="J338" i="1"/>
  <c r="H355" i="1"/>
  <c r="H334" i="1"/>
  <c r="H343" i="1"/>
  <c r="H361" i="1"/>
  <c r="J331" i="1"/>
  <c r="J337" i="1"/>
  <c r="J364" i="1"/>
  <c r="J355" i="1"/>
  <c r="J239" i="1"/>
  <c r="D18" i="165" s="1"/>
  <c r="H359" i="1"/>
  <c r="J345" i="1"/>
  <c r="J336" i="1"/>
  <c r="J363" i="1"/>
  <c r="J354" i="1"/>
  <c r="H345" i="1"/>
  <c r="H337" i="1"/>
  <c r="H351" i="1"/>
  <c r="H357" i="1"/>
  <c r="J343" i="1"/>
  <c r="J334" i="1"/>
  <c r="J361" i="1"/>
  <c r="H358" i="1"/>
  <c r="J344" i="1"/>
  <c r="H338" i="1"/>
  <c r="H365" i="1"/>
  <c r="H356" i="1"/>
  <c r="J342" i="1"/>
  <c r="J332" i="1"/>
  <c r="J359" i="1"/>
  <c r="J341" i="1"/>
  <c r="H331" i="1"/>
  <c r="J357" i="1"/>
  <c r="J358" i="1"/>
  <c r="H332" i="1"/>
  <c r="H342" i="1"/>
  <c r="H239" i="1"/>
  <c r="B18" i="165" s="1"/>
  <c r="P352" i="1" a="1"/>
  <c r="P352" i="1" s="1"/>
  <c r="N342" i="1" a="1"/>
  <c r="N342" i="1" s="1"/>
  <c r="X342" i="1" s="1" a="1"/>
  <c r="X342" i="1" s="1"/>
  <c r="O365" i="1" a="1"/>
  <c r="O365" i="1" s="1"/>
  <c r="P359" i="1" a="1"/>
  <c r="P359" i="1" s="1"/>
  <c r="N345" i="1" a="1"/>
  <c r="N345" i="1" s="1"/>
  <c r="X345" i="1" s="1" a="1"/>
  <c r="X345" i="1" s="1"/>
  <c r="P343" i="1" a="1"/>
  <c r="P343" i="1" s="1"/>
  <c r="O339" i="1" a="1"/>
  <c r="O339" i="1" s="1"/>
  <c r="Q337" i="1" a="1"/>
  <c r="Q337" i="1" s="1"/>
  <c r="N336" i="1" a="1"/>
  <c r="N336" i="1" s="1"/>
  <c r="X336" i="1" s="1" a="1"/>
  <c r="X336" i="1" s="1"/>
  <c r="P334" i="1" a="1"/>
  <c r="P334" i="1" s="1"/>
  <c r="N346" i="1" a="1"/>
  <c r="N346" i="1" s="1"/>
  <c r="X346" i="1" s="1" a="1"/>
  <c r="X346" i="1" s="1"/>
  <c r="N351" i="1" a="1"/>
  <c r="N351" i="1" s="1"/>
  <c r="X351" i="1" s="1" a="1"/>
  <c r="X351" i="1" s="1"/>
  <c r="N365" i="1" a="1"/>
  <c r="N365" i="1" s="1"/>
  <c r="X365" i="1" s="1" a="1"/>
  <c r="X365" i="1" s="1"/>
  <c r="P363" i="1" a="1"/>
  <c r="P363" i="1" s="1"/>
  <c r="O359" i="1" a="1"/>
  <c r="O359" i="1" s="1"/>
  <c r="Q357" i="1" a="1"/>
  <c r="Q357" i="1" s="1"/>
  <c r="N356" i="1" a="1"/>
  <c r="N356" i="1" s="1"/>
  <c r="X356" i="1" s="1" a="1"/>
  <c r="X356" i="1" s="1"/>
  <c r="P354" i="1" a="1"/>
  <c r="P354" i="1" s="1"/>
  <c r="O352" i="1" a="1"/>
  <c r="O352" i="1" s="1"/>
  <c r="O345" i="1" a="1"/>
  <c r="O345" i="1" s="1"/>
  <c r="Q334" i="1" a="1"/>
  <c r="Q334" i="1" s="1"/>
  <c r="O343" i="1" a="1"/>
  <c r="O343" i="1" s="1"/>
  <c r="Q341" i="1" a="1"/>
  <c r="Q341" i="1" s="1"/>
  <c r="N339" i="1" a="1"/>
  <c r="N339" i="1" s="1"/>
  <c r="X339" i="1" s="1" a="1"/>
  <c r="X339" i="1" s="1"/>
  <c r="P337" i="1" a="1"/>
  <c r="P337" i="1" s="1"/>
  <c r="O334" i="1" a="1"/>
  <c r="O334" i="1" s="1"/>
  <c r="O346" i="1" a="1"/>
  <c r="O346" i="1" s="1"/>
  <c r="O351" i="1" a="1"/>
  <c r="O351" i="1" s="1"/>
  <c r="O363" i="1" a="1"/>
  <c r="O363" i="1" s="1"/>
  <c r="Q361" i="1" a="1"/>
  <c r="Q361" i="1" s="1"/>
  <c r="N359" i="1" a="1"/>
  <c r="N359" i="1" s="1"/>
  <c r="X359" i="1" s="1" a="1"/>
  <c r="X359" i="1" s="1"/>
  <c r="P357" i="1" a="1"/>
  <c r="P357" i="1" s="1"/>
  <c r="N352" i="1" a="1"/>
  <c r="N352" i="1" s="1"/>
  <c r="X352" i="1" s="1" a="1"/>
  <c r="X352" i="1" s="1"/>
  <c r="P341" i="1" a="1"/>
  <c r="P341" i="1" s="1"/>
  <c r="P351" i="1" a="1"/>
  <c r="P351" i="1" s="1"/>
  <c r="O357" i="1" a="1"/>
  <c r="O357" i="1" s="1"/>
  <c r="P344" i="1" a="1"/>
  <c r="P344" i="1" s="1"/>
  <c r="O341" i="1" a="1"/>
  <c r="O341" i="1" s="1"/>
  <c r="Q338" i="1" a="1"/>
  <c r="Q338" i="1" s="1"/>
  <c r="N337" i="1" a="1"/>
  <c r="N337" i="1" s="1"/>
  <c r="X337" i="1" s="1" a="1"/>
  <c r="X337" i="1" s="1"/>
  <c r="P335" i="1" a="1"/>
  <c r="P335" i="1" s="1"/>
  <c r="Q346" i="1" a="1"/>
  <c r="Q346" i="1" s="1"/>
  <c r="Q351" i="1" a="1"/>
  <c r="Q351" i="1" s="1"/>
  <c r="P364" i="1" a="1"/>
  <c r="P364" i="1" s="1"/>
  <c r="O361" i="1" a="1"/>
  <c r="O361" i="1" s="1"/>
  <c r="Q358" i="1" a="1"/>
  <c r="Q358" i="1" s="1"/>
  <c r="N357" i="1" a="1"/>
  <c r="N357" i="1" s="1"/>
  <c r="X357" i="1" s="1" a="1"/>
  <c r="X357" i="1" s="1"/>
  <c r="P355" i="1" a="1"/>
  <c r="P355" i="1" s="1"/>
  <c r="N354" i="1" a="1"/>
  <c r="N354" i="1" s="1"/>
  <c r="X354" i="1" s="1" a="1"/>
  <c r="X354" i="1" s="1"/>
  <c r="P339" i="1" a="1"/>
  <c r="P339" i="1" s="1"/>
  <c r="Q366" i="1" a="1"/>
  <c r="Q366" i="1" s="1"/>
  <c r="N362" i="1" a="1"/>
  <c r="N362" i="1" s="1"/>
  <c r="X362" i="1" s="1" a="1"/>
  <c r="X362" i="1" s="1"/>
  <c r="Q354" i="1" a="1"/>
  <c r="Q354" i="1" s="1"/>
  <c r="N343" i="1" a="1"/>
  <c r="N343" i="1" s="1"/>
  <c r="X343" i="1" s="1" a="1"/>
  <c r="X343" i="1" s="1"/>
  <c r="N334" i="1" a="1"/>
  <c r="N334" i="1" s="1"/>
  <c r="X334" i="1" s="1" a="1"/>
  <c r="X334" i="1" s="1"/>
  <c r="Q364" i="1" a="1"/>
  <c r="Q364" i="1" s="1"/>
  <c r="Q355" i="1" a="1"/>
  <c r="Q355" i="1" s="1"/>
  <c r="O344" i="1" a="1"/>
  <c r="O344" i="1" s="1"/>
  <c r="Q342" i="1" a="1"/>
  <c r="Q342" i="1" s="1"/>
  <c r="N341" i="1" a="1"/>
  <c r="N341" i="1" s="1"/>
  <c r="X341" i="1" s="1" a="1"/>
  <c r="X341" i="1" s="1"/>
  <c r="P338" i="1" a="1"/>
  <c r="P338" i="1" s="1"/>
  <c r="O335" i="1" a="1"/>
  <c r="O335" i="1" s="1"/>
  <c r="Q332" i="1" a="1"/>
  <c r="Q332" i="1" s="1"/>
  <c r="N366" i="1" a="1"/>
  <c r="N366" i="1" s="1"/>
  <c r="X366" i="1" s="1" a="1"/>
  <c r="X366" i="1" s="1"/>
  <c r="O364" i="1" a="1"/>
  <c r="O364" i="1" s="1"/>
  <c r="Q362" i="1" a="1"/>
  <c r="Q362" i="1" s="1"/>
  <c r="N361" i="1" a="1"/>
  <c r="N361" i="1" s="1"/>
  <c r="X361" i="1" s="1" a="1"/>
  <c r="X361" i="1" s="1"/>
  <c r="P358" i="1" a="1"/>
  <c r="P358" i="1" s="1"/>
  <c r="O355" i="1" a="1"/>
  <c r="O355" i="1" s="1"/>
  <c r="O336" i="1" a="1"/>
  <c r="O336" i="1" s="1"/>
  <c r="Q363" i="1" a="1"/>
  <c r="Q363" i="1" s="1"/>
  <c r="O356" i="1" a="1"/>
  <c r="O356" i="1" s="1"/>
  <c r="O337" i="1" a="1"/>
  <c r="O337" i="1" s="1"/>
  <c r="P346" i="1" a="1"/>
  <c r="P346" i="1" s="1"/>
  <c r="P361" i="1" a="1"/>
  <c r="P361" i="1" s="1"/>
  <c r="Q345" i="1" a="1"/>
  <c r="Q345" i="1" s="1"/>
  <c r="N344" i="1" a="1"/>
  <c r="N344" i="1" s="1"/>
  <c r="X344" i="1" s="1" a="1"/>
  <c r="X344" i="1" s="1"/>
  <c r="P342" i="1" a="1"/>
  <c r="P342" i="1" s="1"/>
  <c r="O338" i="1" a="1"/>
  <c r="O338" i="1" s="1"/>
  <c r="Q336" i="1" a="1"/>
  <c r="Q336" i="1" s="1"/>
  <c r="N335" i="1" a="1"/>
  <c r="N335" i="1" s="1"/>
  <c r="X335" i="1" s="1" a="1"/>
  <c r="X335" i="1" s="1"/>
  <c r="P332" i="1" a="1"/>
  <c r="P332" i="1" s="1"/>
  <c r="O366" i="1" a="1"/>
  <c r="O366" i="1" s="1"/>
  <c r="Q365" i="1" a="1"/>
  <c r="Q365" i="1" s="1"/>
  <c r="N364" i="1" a="1"/>
  <c r="N364" i="1" s="1"/>
  <c r="X364" i="1" s="1" a="1"/>
  <c r="X364" i="1" s="1"/>
  <c r="P362" i="1" a="1"/>
  <c r="P362" i="1" s="1"/>
  <c r="O358" i="1" a="1"/>
  <c r="O358" i="1" s="1"/>
  <c r="Q356" i="1" a="1"/>
  <c r="Q356" i="1" s="1"/>
  <c r="N355" i="1" a="1"/>
  <c r="N355" i="1" s="1"/>
  <c r="X355" i="1" s="1" a="1"/>
  <c r="X355" i="1" s="1"/>
  <c r="Q352" i="1" a="1"/>
  <c r="Q352" i="1" s="1"/>
  <c r="Q343" i="1" a="1"/>
  <c r="Q343" i="1" s="1"/>
  <c r="Q344" i="1" a="1"/>
  <c r="Q344" i="1" s="1"/>
  <c r="Q335" i="1" a="1"/>
  <c r="Q335" i="1" s="1"/>
  <c r="N363" i="1" a="1"/>
  <c r="N363" i="1" s="1"/>
  <c r="X363" i="1" s="1" a="1"/>
  <c r="X363" i="1" s="1"/>
  <c r="O354" i="1" a="1"/>
  <c r="O354" i="1" s="1"/>
  <c r="P345" i="1" a="1"/>
  <c r="P345" i="1" s="1"/>
  <c r="O342" i="1" a="1"/>
  <c r="O342" i="1" s="1"/>
  <c r="Q339" i="1" a="1"/>
  <c r="Q339" i="1" s="1"/>
  <c r="N338" i="1" a="1"/>
  <c r="N338" i="1" s="1"/>
  <c r="X338" i="1" s="1" a="1"/>
  <c r="X338" i="1" s="1"/>
  <c r="P336" i="1" a="1"/>
  <c r="P336" i="1" s="1"/>
  <c r="O332" i="1" a="1"/>
  <c r="O332" i="1" s="1"/>
  <c r="P366" i="1" a="1"/>
  <c r="P366" i="1" s="1"/>
  <c r="P365" i="1" a="1"/>
  <c r="P365" i="1" s="1"/>
  <c r="O362" i="1" a="1"/>
  <c r="O362" i="1" s="1"/>
  <c r="Q359" i="1" a="1"/>
  <c r="Q359" i="1" s="1"/>
  <c r="N358" i="1" a="1"/>
  <c r="N358" i="1" s="1"/>
  <c r="X358" i="1" s="1" a="1"/>
  <c r="X358" i="1" s="1"/>
  <c r="P356" i="1" a="1"/>
  <c r="P356" i="1" s="1"/>
  <c r="R337" i="1" a="1"/>
  <c r="R337" i="1" s="1"/>
  <c r="U352" i="1" a="1"/>
  <c r="U352" i="1" s="1"/>
  <c r="U343" i="1" a="1"/>
  <c r="U343" i="1" s="1"/>
  <c r="U339" i="1" a="1"/>
  <c r="U339" i="1" s="1"/>
  <c r="U365" i="1" a="1"/>
  <c r="U365" i="1" s="1"/>
  <c r="U346" i="1" a="1"/>
  <c r="U346" i="1" s="1"/>
  <c r="U351" i="1" a="1"/>
  <c r="U351" i="1" s="1"/>
  <c r="U338" i="1" a="1"/>
  <c r="U338" i="1" s="1"/>
  <c r="U335" i="1" a="1"/>
  <c r="U335" i="1" s="1"/>
  <c r="U361" i="1" a="1"/>
  <c r="U361" i="1" s="1"/>
  <c r="U345" i="1" a="1"/>
  <c r="U345" i="1" s="1"/>
  <c r="U342" i="1" a="1"/>
  <c r="U342" i="1" s="1"/>
  <c r="U364" i="1" a="1"/>
  <c r="U364" i="1" s="1"/>
  <c r="U359" i="1" a="1"/>
  <c r="U359" i="1" s="1"/>
  <c r="U355" i="1" a="1"/>
  <c r="U355" i="1" s="1"/>
  <c r="U366" i="1" a="1"/>
  <c r="U366" i="1" s="1"/>
  <c r="U356" i="1" a="1"/>
  <c r="U356" i="1" s="1"/>
  <c r="U334" i="1" a="1"/>
  <c r="U334" i="1" s="1"/>
  <c r="U341" i="1" a="1"/>
  <c r="U341" i="1" s="1"/>
  <c r="U337" i="1" a="1"/>
  <c r="U337" i="1" s="1"/>
  <c r="U363" i="1" a="1"/>
  <c r="U363" i="1" s="1"/>
  <c r="U358" i="1" a="1"/>
  <c r="U358" i="1" s="1"/>
  <c r="U354" i="1" a="1"/>
  <c r="U354" i="1" s="1"/>
  <c r="U344" i="1" a="1"/>
  <c r="U344" i="1" s="1"/>
  <c r="U331" i="1" a="1"/>
  <c r="U331" i="1" s="1"/>
  <c r="U336" i="1" a="1"/>
  <c r="U336" i="1" s="1"/>
  <c r="U332" i="1" a="1"/>
  <c r="U332" i="1" s="1"/>
  <c r="U362" i="1" a="1"/>
  <c r="U362" i="1" s="1"/>
  <c r="U357" i="1" a="1"/>
  <c r="U357" i="1" s="1"/>
  <c r="R341" i="1" a="1"/>
  <c r="R341" i="1" s="1"/>
  <c r="R354" i="1" a="1"/>
  <c r="R354" i="1" s="1"/>
  <c r="R338" i="1" a="1"/>
  <c r="R338" i="1" s="1"/>
  <c r="R343" i="1" a="1"/>
  <c r="R343" i="1" s="1"/>
  <c r="S342" i="1" a="1"/>
  <c r="S342" i="1" s="1"/>
  <c r="R331" i="1" a="1"/>
  <c r="R331" i="1" s="1"/>
  <c r="S331" i="1" a="1"/>
  <c r="S331" i="1" s="1"/>
  <c r="R342" i="1" a="1"/>
  <c r="R342" i="1" s="1"/>
  <c r="R332" i="1" a="1"/>
  <c r="R332" i="1" s="1"/>
  <c r="S359" i="1" a="1"/>
  <c r="S359" i="1" s="1"/>
  <c r="S356" i="1" a="1"/>
  <c r="S356" i="1" s="1"/>
  <c r="R352" i="1" a="1"/>
  <c r="R352" i="1" s="1"/>
  <c r="S332" i="1" a="1"/>
  <c r="S332" i="1" s="1"/>
  <c r="R361" i="1" a="1"/>
  <c r="R361" i="1" s="1"/>
  <c r="S345" i="1" a="1"/>
  <c r="S345" i="1" s="1"/>
  <c r="S341" i="1" a="1"/>
  <c r="S341" i="1" s="1"/>
  <c r="S336" i="1" a="1"/>
  <c r="S336" i="1" s="1"/>
  <c r="R351" i="1" a="1"/>
  <c r="R351" i="1" s="1"/>
  <c r="S363" i="1" a="1"/>
  <c r="S363" i="1" s="1"/>
  <c r="R359" i="1" a="1"/>
  <c r="R359" i="1" s="1"/>
  <c r="R356" i="1" a="1"/>
  <c r="R356" i="1" s="1"/>
  <c r="S346" i="1" a="1"/>
  <c r="S346" i="1" s="1"/>
  <c r="R345" i="1" a="1"/>
  <c r="R345" i="1" s="1"/>
  <c r="R336" i="1" a="1"/>
  <c r="R336" i="1" s="1"/>
  <c r="S351" i="1" a="1"/>
  <c r="S351" i="1" s="1"/>
  <c r="R363" i="1" a="1"/>
  <c r="R363" i="1" s="1"/>
  <c r="S355" i="1" a="1"/>
  <c r="S355" i="1" s="1"/>
  <c r="R346" i="1" a="1"/>
  <c r="R346" i="1" s="1"/>
  <c r="S337" i="1" a="1"/>
  <c r="S337" i="1" s="1"/>
  <c r="S344" i="1" a="1"/>
  <c r="S344" i="1" s="1"/>
  <c r="S339" i="1" a="1"/>
  <c r="S339" i="1" s="1"/>
  <c r="S335" i="1" a="1"/>
  <c r="S335" i="1" s="1"/>
  <c r="S362" i="1" a="1"/>
  <c r="S362" i="1" s="1"/>
  <c r="S358" i="1" a="1"/>
  <c r="S358" i="1" s="1"/>
  <c r="R355" i="1" a="1"/>
  <c r="R355" i="1" s="1"/>
  <c r="R366" i="1" a="1"/>
  <c r="R366" i="1" s="1"/>
  <c r="R364" i="1" a="1"/>
  <c r="R364" i="1" s="1"/>
  <c r="R344" i="1" a="1"/>
  <c r="R344" i="1" s="1"/>
  <c r="R339" i="1" a="1"/>
  <c r="R339" i="1" s="1"/>
  <c r="S365" i="1" a="1"/>
  <c r="S365" i="1" s="1"/>
  <c r="R362" i="1" a="1"/>
  <c r="R362" i="1" s="1"/>
  <c r="R358" i="1" a="1"/>
  <c r="R358" i="1" s="1"/>
  <c r="S366" i="1" a="1"/>
  <c r="S366" i="1" s="1"/>
  <c r="S352" i="1" a="1"/>
  <c r="S352" i="1" s="1"/>
  <c r="S343" i="1" a="1"/>
  <c r="S343" i="1" s="1"/>
  <c r="S338" i="1" a="1"/>
  <c r="S338" i="1" s="1"/>
  <c r="S334" i="1" a="1"/>
  <c r="S334" i="1" s="1"/>
  <c r="R365" i="1" a="1"/>
  <c r="R365" i="1" s="1"/>
  <c r="S357" i="1" a="1"/>
  <c r="S357" i="1" s="1"/>
  <c r="S354" i="1" a="1"/>
  <c r="S354" i="1" s="1"/>
  <c r="R334" i="1" a="1"/>
  <c r="R334" i="1" s="1"/>
  <c r="S364" i="1" a="1"/>
  <c r="S364" i="1" s="1"/>
  <c r="S361" i="1" a="1"/>
  <c r="S361" i="1" s="1"/>
  <c r="R357" i="1" a="1"/>
  <c r="R357" i="1" s="1"/>
  <c r="J37" i="165" l="1"/>
  <c r="D49" i="180" s="1"/>
  <c r="X280" i="1"/>
  <c r="J13" i="180" s="1"/>
  <c r="C50" i="180"/>
  <c r="J18" i="165"/>
  <c r="C4" i="154"/>
  <c r="K18" i="165"/>
  <c r="C9" i="154"/>
  <c r="Z353" i="1"/>
  <c r="Z333" i="1"/>
  <c r="J47" i="165"/>
  <c r="K47" i="165"/>
  <c r="S347" i="1"/>
  <c r="R347" i="1"/>
  <c r="C13" i="154"/>
  <c r="B37" i="165"/>
  <c r="C44" i="180" s="1"/>
  <c r="C8" i="154"/>
  <c r="K59" i="165"/>
  <c r="C17" i="154"/>
  <c r="B59" i="165"/>
  <c r="C45" i="180" s="1"/>
  <c r="C3" i="154"/>
  <c r="J59" i="165"/>
  <c r="D50" i="180" s="1"/>
  <c r="C2" i="154"/>
  <c r="C7" i="154"/>
  <c r="Z345" i="1"/>
  <c r="Z356" i="1"/>
  <c r="Z360" i="1"/>
  <c r="Z340" i="1"/>
  <c r="Z363" i="1"/>
  <c r="Z335" i="1"/>
  <c r="Z343" i="1"/>
  <c r="Z336" i="1"/>
  <c r="Z339" i="1"/>
  <c r="Z359" i="1"/>
  <c r="Z344" i="1"/>
  <c r="Z351" i="1"/>
  <c r="Z352" i="1"/>
  <c r="Z346" i="1"/>
  <c r="Z364" i="1"/>
  <c r="Z357" i="1"/>
  <c r="Z337" i="1"/>
  <c r="Z365" i="1"/>
  <c r="Z355" i="1"/>
  <c r="Z332" i="1"/>
  <c r="Z338" i="1"/>
  <c r="Z341" i="1"/>
  <c r="Z358" i="1"/>
  <c r="Z361" i="1"/>
  <c r="Z354" i="1"/>
  <c r="Z334" i="1"/>
  <c r="Z342" i="1"/>
  <c r="Z366" i="1"/>
  <c r="Z362" i="1"/>
  <c r="J366" i="1"/>
  <c r="H366" i="1"/>
  <c r="J346" i="1"/>
  <c r="H346" i="1"/>
  <c r="C25" i="154" l="1"/>
  <c r="C27" i="154" s="1"/>
  <c r="C48" i="154"/>
  <c r="C20" i="154"/>
  <c r="C49" i="154"/>
  <c r="C29" i="154"/>
  <c r="C21" i="154"/>
  <c r="C16" i="154"/>
  <c r="AZ58" i="1"/>
  <c r="AZ197" i="1"/>
  <c r="AY168" i="1"/>
  <c r="AY167" i="1"/>
  <c r="AY44" i="1"/>
  <c r="AY187" i="1"/>
  <c r="AY170" i="1"/>
  <c r="AY56" i="1"/>
  <c r="AY94" i="1"/>
  <c r="AY45" i="1"/>
  <c r="AY75" i="1"/>
  <c r="AY213" i="1"/>
  <c r="AY147" i="1"/>
  <c r="AY197" i="1"/>
  <c r="AS60" i="1"/>
  <c r="AW60" i="1"/>
  <c r="AX60" i="1"/>
  <c r="BA60" i="1"/>
  <c r="BC60" i="1"/>
  <c r="BK60" i="1"/>
  <c r="BL60" i="1"/>
  <c r="BM60" i="1"/>
  <c r="BN60" i="1"/>
  <c r="AS45" i="1"/>
  <c r="AV45" i="1"/>
  <c r="AW45" i="1" s="1"/>
  <c r="AX45" i="1"/>
  <c r="BA45" i="1"/>
  <c r="BC45" i="1"/>
  <c r="BD45" i="1"/>
  <c r="BK45" i="1"/>
  <c r="BL45" i="1"/>
  <c r="BM45" i="1"/>
  <c r="BN45" i="1"/>
  <c r="AS75" i="1"/>
  <c r="AV75" i="1"/>
  <c r="AW75" i="1" s="1"/>
  <c r="AX75" i="1"/>
  <c r="BA75" i="1"/>
  <c r="BC75" i="1"/>
  <c r="BD75" i="1"/>
  <c r="BK75" i="1"/>
  <c r="BL75" i="1"/>
  <c r="BM75" i="1"/>
  <c r="BN75" i="1"/>
  <c r="AS213" i="1"/>
  <c r="AV213" i="1"/>
  <c r="AW213" i="1" s="1"/>
  <c r="AX213" i="1"/>
  <c r="BA213" i="1"/>
  <c r="BC213" i="1"/>
  <c r="BD213" i="1"/>
  <c r="BK213" i="1"/>
  <c r="BL213" i="1"/>
  <c r="BM213" i="1"/>
  <c r="BN213" i="1"/>
  <c r="AS147" i="1"/>
  <c r="AV147" i="1"/>
  <c r="AW147" i="1" s="1"/>
  <c r="AX147" i="1"/>
  <c r="BA147" i="1"/>
  <c r="BC147" i="1"/>
  <c r="BD147" i="1"/>
  <c r="BK147" i="1"/>
  <c r="BL147" i="1"/>
  <c r="BM147" i="1"/>
  <c r="BN147" i="1"/>
  <c r="D31" i="154" l="1"/>
  <c r="D32" i="154"/>
  <c r="C31" i="154"/>
  <c r="C32" i="154"/>
  <c r="AZ213" i="1"/>
  <c r="AZ75" i="1"/>
  <c r="AZ45" i="1"/>
  <c r="AZ60" i="1"/>
  <c r="AZ147" i="1"/>
  <c r="BC168" i="1" l="1"/>
  <c r="BD168" i="1"/>
  <c r="BC167" i="1"/>
  <c r="BD167" i="1"/>
  <c r="BC44" i="1"/>
  <c r="BD44" i="1"/>
  <c r="BC187" i="1"/>
  <c r="BD187" i="1"/>
  <c r="BC170" i="1"/>
  <c r="BD170" i="1"/>
  <c r="BC56" i="1"/>
  <c r="BD56" i="1"/>
  <c r="BC220" i="1"/>
  <c r="BD220" i="1"/>
  <c r="BC207" i="1"/>
  <c r="BD207" i="1"/>
  <c r="BC161" i="1"/>
  <c r="BD161" i="1"/>
  <c r="BC159" i="1"/>
  <c r="BD159" i="1"/>
  <c r="BC96" i="1"/>
  <c r="BD96" i="1"/>
  <c r="BC160" i="1"/>
  <c r="BD160" i="1"/>
  <c r="BC191" i="1"/>
  <c r="BD191" i="1"/>
  <c r="BC163" i="1"/>
  <c r="BD163" i="1"/>
  <c r="BC202" i="1"/>
  <c r="BD202" i="1"/>
  <c r="BC219" i="1"/>
  <c r="BD219" i="1"/>
  <c r="BC74" i="1"/>
  <c r="BD74" i="1"/>
  <c r="BC172" i="1"/>
  <c r="BD172" i="1"/>
  <c r="BC47" i="1"/>
  <c r="BD47" i="1"/>
  <c r="BC181" i="1"/>
  <c r="BD181" i="1"/>
  <c r="BC193" i="1"/>
  <c r="BD193" i="1"/>
  <c r="BC194" i="1"/>
  <c r="BD194" i="1"/>
  <c r="BD192" i="1"/>
  <c r="BC140" i="1"/>
  <c r="BD140" i="1"/>
  <c r="BC146" i="1"/>
  <c r="BD146" i="1"/>
  <c r="BC218" i="1"/>
  <c r="BD218" i="1"/>
  <c r="BC51" i="1"/>
  <c r="BD51" i="1"/>
  <c r="BC145" i="1"/>
  <c r="BD145" i="1"/>
  <c r="BC61" i="1"/>
  <c r="BD61" i="1"/>
  <c r="BC195" i="1"/>
  <c r="BD195" i="1"/>
  <c r="BC73" i="1"/>
  <c r="BD73" i="1"/>
  <c r="BC115" i="1"/>
  <c r="BD115" i="1"/>
  <c r="BC182" i="1"/>
  <c r="BD182" i="1"/>
  <c r="BC179" i="1"/>
  <c r="BD179" i="1"/>
  <c r="BC188" i="1"/>
  <c r="BD188" i="1"/>
  <c r="BC53" i="1"/>
  <c r="BD53" i="1"/>
  <c r="BC143" i="1"/>
  <c r="BD143" i="1"/>
  <c r="BC36" i="1"/>
  <c r="BD36" i="1"/>
  <c r="BC149" i="1"/>
  <c r="BD149" i="1"/>
  <c r="BC148" i="1"/>
  <c r="BD148" i="1"/>
  <c r="BC49" i="1"/>
  <c r="BD49" i="1"/>
  <c r="BC58" i="1"/>
  <c r="BD58" i="1"/>
  <c r="BC166" i="1"/>
  <c r="BD166" i="1"/>
  <c r="BC123" i="1"/>
  <c r="BD123" i="1"/>
  <c r="BC165" i="1"/>
  <c r="BD165" i="1"/>
  <c r="BC55" i="1"/>
  <c r="BD55" i="1"/>
  <c r="BC199" i="1"/>
  <c r="BD199" i="1"/>
  <c r="BC59" i="1"/>
  <c r="BD59" i="1"/>
  <c r="BC94" i="1"/>
  <c r="BD94" i="1"/>
  <c r="BD197" i="1"/>
  <c r="BC197" i="1"/>
  <c r="AV168" i="1"/>
  <c r="AX168" i="1"/>
  <c r="BA168" i="1"/>
  <c r="BK168" i="1"/>
  <c r="BL168" i="1"/>
  <c r="BM168" i="1"/>
  <c r="BN168" i="1"/>
  <c r="AV167" i="1"/>
  <c r="AX167" i="1"/>
  <c r="BA167" i="1"/>
  <c r="BK167" i="1"/>
  <c r="BL167" i="1"/>
  <c r="BM167" i="1"/>
  <c r="BN167" i="1"/>
  <c r="AV44" i="1"/>
  <c r="AX44" i="1"/>
  <c r="BA44" i="1"/>
  <c r="BK44" i="1"/>
  <c r="BL44" i="1"/>
  <c r="BM44" i="1"/>
  <c r="BN44" i="1"/>
  <c r="AV187" i="1"/>
  <c r="AX187" i="1"/>
  <c r="BA187" i="1"/>
  <c r="BK187" i="1"/>
  <c r="BL187" i="1"/>
  <c r="BM187" i="1"/>
  <c r="BN187" i="1"/>
  <c r="AV170" i="1"/>
  <c r="AX170" i="1"/>
  <c r="BA170" i="1"/>
  <c r="BK170" i="1"/>
  <c r="BL170" i="1"/>
  <c r="BM170" i="1"/>
  <c r="BN170" i="1"/>
  <c r="AV56" i="1"/>
  <c r="AX56" i="1"/>
  <c r="BA56" i="1"/>
  <c r="BK56" i="1"/>
  <c r="BL56" i="1"/>
  <c r="BM56" i="1"/>
  <c r="BN56" i="1"/>
  <c r="AV220" i="1"/>
  <c r="AX220" i="1"/>
  <c r="BA220" i="1"/>
  <c r="BK220" i="1"/>
  <c r="BL220" i="1"/>
  <c r="BM220" i="1"/>
  <c r="BN220" i="1"/>
  <c r="AX207" i="1"/>
  <c r="BA207" i="1"/>
  <c r="BK207" i="1"/>
  <c r="BL207" i="1"/>
  <c r="BM207" i="1"/>
  <c r="BN207" i="1"/>
  <c r="AV161" i="1"/>
  <c r="AX161" i="1"/>
  <c r="BA161" i="1"/>
  <c r="BK161" i="1"/>
  <c r="BL161" i="1"/>
  <c r="BM161" i="1"/>
  <c r="BN161" i="1"/>
  <c r="AV159" i="1"/>
  <c r="AX159" i="1"/>
  <c r="BA159" i="1"/>
  <c r="BK159" i="1"/>
  <c r="BL159" i="1"/>
  <c r="BM159" i="1"/>
  <c r="BN159" i="1"/>
  <c r="AV96" i="1"/>
  <c r="AX96" i="1"/>
  <c r="BA96" i="1"/>
  <c r="BK96" i="1"/>
  <c r="BL96" i="1"/>
  <c r="BM96" i="1"/>
  <c r="BN96" i="1"/>
  <c r="AV160" i="1"/>
  <c r="AX160" i="1"/>
  <c r="BA160" i="1"/>
  <c r="BK160" i="1"/>
  <c r="BL160" i="1"/>
  <c r="BM160" i="1"/>
  <c r="BN160" i="1"/>
  <c r="AX191" i="1"/>
  <c r="BA191" i="1"/>
  <c r="BK191" i="1"/>
  <c r="BL191" i="1"/>
  <c r="BM191" i="1"/>
  <c r="BN191" i="1"/>
  <c r="AV163" i="1"/>
  <c r="AX163" i="1"/>
  <c r="BA163" i="1"/>
  <c r="BK163" i="1"/>
  <c r="BL163" i="1"/>
  <c r="BM163" i="1"/>
  <c r="BN163" i="1"/>
  <c r="AV202" i="1"/>
  <c r="AX202" i="1"/>
  <c r="BA202" i="1"/>
  <c r="BK202" i="1"/>
  <c r="BL202" i="1"/>
  <c r="BM202" i="1"/>
  <c r="BN202" i="1"/>
  <c r="AV219" i="1"/>
  <c r="AX219" i="1"/>
  <c r="BA219" i="1"/>
  <c r="BK219" i="1"/>
  <c r="BL219" i="1"/>
  <c r="BM219" i="1"/>
  <c r="BN219" i="1"/>
  <c r="AV74" i="1"/>
  <c r="AX74" i="1"/>
  <c r="BA74" i="1"/>
  <c r="BK74" i="1"/>
  <c r="BL74" i="1"/>
  <c r="BM74" i="1"/>
  <c r="BN74" i="1"/>
  <c r="AV172" i="1"/>
  <c r="AX172" i="1"/>
  <c r="BA172" i="1"/>
  <c r="BK172" i="1"/>
  <c r="BL172" i="1"/>
  <c r="BM172" i="1"/>
  <c r="BN172" i="1"/>
  <c r="AX47" i="1"/>
  <c r="BA47" i="1"/>
  <c r="BK47" i="1"/>
  <c r="BL47" i="1"/>
  <c r="BM47" i="1"/>
  <c r="BN47" i="1"/>
  <c r="AV181" i="1"/>
  <c r="AX181" i="1"/>
  <c r="BA181" i="1"/>
  <c r="BK181" i="1"/>
  <c r="BL181" i="1"/>
  <c r="BM181" i="1"/>
  <c r="BN181" i="1"/>
  <c r="AV193" i="1"/>
  <c r="AX193" i="1"/>
  <c r="BA193" i="1"/>
  <c r="BK193" i="1"/>
  <c r="BL193" i="1"/>
  <c r="BM193" i="1"/>
  <c r="BN193" i="1"/>
  <c r="AV194" i="1"/>
  <c r="AX194" i="1"/>
  <c r="BA194" i="1"/>
  <c r="BK194" i="1"/>
  <c r="BL194" i="1"/>
  <c r="BM194" i="1"/>
  <c r="BN194" i="1"/>
  <c r="AV192" i="1"/>
  <c r="AX192" i="1"/>
  <c r="BA192" i="1"/>
  <c r="BK192" i="1"/>
  <c r="BL192" i="1"/>
  <c r="BM192" i="1"/>
  <c r="BN192" i="1"/>
  <c r="AV140" i="1"/>
  <c r="AX140" i="1"/>
  <c r="BA140" i="1"/>
  <c r="BK140" i="1"/>
  <c r="BL140" i="1"/>
  <c r="BM140" i="1"/>
  <c r="BN140" i="1"/>
  <c r="AV146" i="1"/>
  <c r="AX146" i="1"/>
  <c r="BA146" i="1"/>
  <c r="BK146" i="1"/>
  <c r="BL146" i="1"/>
  <c r="BM146" i="1"/>
  <c r="BN146" i="1"/>
  <c r="AV218" i="1"/>
  <c r="AX218" i="1"/>
  <c r="BA218" i="1"/>
  <c r="BK218" i="1"/>
  <c r="BL218" i="1"/>
  <c r="BM218" i="1"/>
  <c r="BN218" i="1"/>
  <c r="AV51" i="1"/>
  <c r="AX51" i="1"/>
  <c r="BA51" i="1"/>
  <c r="BK51" i="1"/>
  <c r="BL51" i="1"/>
  <c r="BM51" i="1"/>
  <c r="BN51" i="1"/>
  <c r="AX145" i="1"/>
  <c r="BA145" i="1"/>
  <c r="BK145" i="1"/>
  <c r="BL145" i="1"/>
  <c r="BM145" i="1"/>
  <c r="BN145" i="1"/>
  <c r="AV61" i="1"/>
  <c r="AX61" i="1"/>
  <c r="BA61" i="1"/>
  <c r="BK61" i="1"/>
  <c r="BL61" i="1"/>
  <c r="BM61" i="1"/>
  <c r="BN61" i="1"/>
  <c r="AV195" i="1"/>
  <c r="AX195" i="1"/>
  <c r="BA195" i="1"/>
  <c r="BK195" i="1"/>
  <c r="BL195" i="1"/>
  <c r="BM195" i="1"/>
  <c r="BN195" i="1"/>
  <c r="AV73" i="1"/>
  <c r="AX73" i="1"/>
  <c r="BA73" i="1"/>
  <c r="BK73" i="1"/>
  <c r="BL73" i="1"/>
  <c r="BM73" i="1"/>
  <c r="BN73" i="1"/>
  <c r="AV115" i="1"/>
  <c r="AX115" i="1"/>
  <c r="BA115" i="1"/>
  <c r="BK115" i="1"/>
  <c r="BL115" i="1"/>
  <c r="BM115" i="1"/>
  <c r="BN115" i="1"/>
  <c r="AV182" i="1"/>
  <c r="AX182" i="1"/>
  <c r="BA182" i="1"/>
  <c r="BK182" i="1"/>
  <c r="BL182" i="1"/>
  <c r="BM182" i="1"/>
  <c r="BN182" i="1"/>
  <c r="AV179" i="1"/>
  <c r="AX179" i="1"/>
  <c r="BA179" i="1"/>
  <c r="BK179" i="1"/>
  <c r="BL179" i="1"/>
  <c r="BM179" i="1"/>
  <c r="BN179" i="1"/>
  <c r="AV188" i="1"/>
  <c r="AX188" i="1"/>
  <c r="BA188" i="1"/>
  <c r="BK188" i="1"/>
  <c r="BL188" i="1"/>
  <c r="BM188" i="1"/>
  <c r="BN188" i="1"/>
  <c r="AV53" i="1"/>
  <c r="AX53" i="1"/>
  <c r="BA53" i="1"/>
  <c r="BK53" i="1"/>
  <c r="BL53" i="1"/>
  <c r="BM53" i="1"/>
  <c r="BN53" i="1"/>
  <c r="AV143" i="1"/>
  <c r="AX143" i="1"/>
  <c r="BA143" i="1"/>
  <c r="BK143" i="1"/>
  <c r="BL143" i="1"/>
  <c r="BM143" i="1"/>
  <c r="BN143" i="1"/>
  <c r="AV36" i="1"/>
  <c r="AX36" i="1"/>
  <c r="BA36" i="1"/>
  <c r="BK36" i="1"/>
  <c r="BL36" i="1"/>
  <c r="BM36" i="1"/>
  <c r="BN36" i="1"/>
  <c r="AX149" i="1"/>
  <c r="BA149" i="1"/>
  <c r="BK149" i="1"/>
  <c r="BL149" i="1"/>
  <c r="BM149" i="1"/>
  <c r="BN149" i="1"/>
  <c r="AV148" i="1"/>
  <c r="AX148" i="1"/>
  <c r="BA148" i="1"/>
  <c r="BK148" i="1"/>
  <c r="BL148" i="1"/>
  <c r="BM148" i="1"/>
  <c r="BN148" i="1"/>
  <c r="AV49" i="1"/>
  <c r="AX49" i="1"/>
  <c r="BA49" i="1"/>
  <c r="BK49" i="1"/>
  <c r="BL49" i="1"/>
  <c r="BM49" i="1"/>
  <c r="BN49" i="1"/>
  <c r="AV216" i="1"/>
  <c r="AX216" i="1"/>
  <c r="BA216" i="1"/>
  <c r="BK216" i="1"/>
  <c r="BL216" i="1"/>
  <c r="BM216" i="1"/>
  <c r="BN216" i="1"/>
  <c r="AW58" i="1"/>
  <c r="AX58" i="1"/>
  <c r="BA58" i="1"/>
  <c r="BK58" i="1"/>
  <c r="BL58" i="1"/>
  <c r="BM58" i="1"/>
  <c r="BN58" i="1"/>
  <c r="AV99" i="1"/>
  <c r="AX99" i="1"/>
  <c r="BA99" i="1"/>
  <c r="BK99" i="1"/>
  <c r="BL99" i="1"/>
  <c r="BM99" i="1"/>
  <c r="BN99" i="1"/>
  <c r="AX166" i="1"/>
  <c r="BA166" i="1"/>
  <c r="BK166" i="1"/>
  <c r="BL166" i="1"/>
  <c r="BM166" i="1"/>
  <c r="BN166" i="1"/>
  <c r="AV123" i="1"/>
  <c r="AX123" i="1"/>
  <c r="BA123" i="1"/>
  <c r="BK123" i="1"/>
  <c r="BL123" i="1"/>
  <c r="BM123" i="1"/>
  <c r="BN123" i="1"/>
  <c r="AV165" i="1"/>
  <c r="AX165" i="1"/>
  <c r="BA165" i="1"/>
  <c r="BK165" i="1"/>
  <c r="BL165" i="1"/>
  <c r="BM165" i="1"/>
  <c r="BN165" i="1"/>
  <c r="AV55" i="1"/>
  <c r="AX55" i="1"/>
  <c r="BA55" i="1"/>
  <c r="BK55" i="1"/>
  <c r="BL55" i="1"/>
  <c r="BM55" i="1"/>
  <c r="BN55" i="1"/>
  <c r="AV199" i="1"/>
  <c r="AX199" i="1"/>
  <c r="BA199" i="1"/>
  <c r="BK199" i="1"/>
  <c r="BL199" i="1"/>
  <c r="BM199" i="1"/>
  <c r="BN199" i="1"/>
  <c r="AX59" i="1"/>
  <c r="BA59" i="1"/>
  <c r="BK59" i="1"/>
  <c r="BL59" i="1"/>
  <c r="BM59" i="1"/>
  <c r="BN59" i="1"/>
  <c r="AV94" i="1"/>
  <c r="AX94" i="1"/>
  <c r="BA94" i="1"/>
  <c r="BK94" i="1"/>
  <c r="BL94" i="1"/>
  <c r="BM94" i="1"/>
  <c r="BN94" i="1"/>
  <c r="AS168" i="1"/>
  <c r="AS167" i="1"/>
  <c r="AS44" i="1"/>
  <c r="AS187" i="1"/>
  <c r="AS170" i="1"/>
  <c r="AS56" i="1"/>
  <c r="AS220" i="1"/>
  <c r="AS207" i="1"/>
  <c r="AS161" i="1"/>
  <c r="AS159" i="1"/>
  <c r="AS96" i="1"/>
  <c r="AS160" i="1"/>
  <c r="AS191" i="1"/>
  <c r="AS163" i="1"/>
  <c r="AS202" i="1"/>
  <c r="AS219" i="1"/>
  <c r="AS74" i="1"/>
  <c r="AS172" i="1"/>
  <c r="AS47" i="1"/>
  <c r="AS181" i="1"/>
  <c r="AS193" i="1"/>
  <c r="AS194" i="1"/>
  <c r="AS192" i="1"/>
  <c r="AS140" i="1"/>
  <c r="AS146" i="1"/>
  <c r="AS218" i="1"/>
  <c r="AS51" i="1"/>
  <c r="AS145" i="1"/>
  <c r="AS61" i="1"/>
  <c r="AS195" i="1"/>
  <c r="AS73" i="1"/>
  <c r="AS115" i="1"/>
  <c r="AS182" i="1"/>
  <c r="AS179" i="1"/>
  <c r="AS188" i="1"/>
  <c r="AS53" i="1"/>
  <c r="AS143" i="1"/>
  <c r="AS36" i="1"/>
  <c r="AS149" i="1"/>
  <c r="AS148" i="1"/>
  <c r="AS49" i="1"/>
  <c r="AS216" i="1"/>
  <c r="AS58" i="1"/>
  <c r="AS99" i="1"/>
  <c r="AS166" i="1"/>
  <c r="AS123" i="1"/>
  <c r="AS165" i="1"/>
  <c r="AW197" i="1"/>
  <c r="AS55" i="1"/>
  <c r="AS199" i="1"/>
  <c r="AS59" i="1"/>
  <c r="AS94" i="1"/>
  <c r="AS197" i="1"/>
  <c r="BN197" i="1"/>
  <c r="BM197" i="1"/>
  <c r="BL197" i="1"/>
  <c r="BK197" i="1"/>
  <c r="BA197" i="1"/>
  <c r="AX197" i="1"/>
  <c r="Q377" i="1" l="1" a="1"/>
  <c r="Q377" i="1" s="1"/>
  <c r="H380" i="1"/>
  <c r="B79" i="165" s="1"/>
  <c r="O376" i="1" a="1"/>
  <c r="O376" i="1" s="1"/>
  <c r="X256" i="1" a="1"/>
  <c r="X256" i="1" s="1"/>
  <c r="E18" i="180" s="1"/>
  <c r="W256" i="1" a="1"/>
  <c r="W256" i="1" s="1"/>
  <c r="P257" i="1" a="1"/>
  <c r="P257" i="1" s="1"/>
  <c r="T257" i="1" a="1"/>
  <c r="T257" i="1" s="1"/>
  <c r="Q257" i="1" a="1"/>
  <c r="Q257" i="1" s="1"/>
  <c r="H257" i="1"/>
  <c r="C19" i="180" s="1"/>
  <c r="AD257" i="1"/>
  <c r="O257" i="1" a="1"/>
  <c r="O257" i="1" s="1"/>
  <c r="V257" i="1" a="1"/>
  <c r="V257" i="1" s="1"/>
  <c r="F19" i="180" s="1"/>
  <c r="J257" i="1"/>
  <c r="D19" i="180" s="1"/>
  <c r="U257" i="1" a="1"/>
  <c r="U257" i="1" s="1"/>
  <c r="S257" i="1" a="1"/>
  <c r="S257" i="1" s="1"/>
  <c r="R257" i="1" a="1"/>
  <c r="R257" i="1" s="1"/>
  <c r="G19" i="180" s="1"/>
  <c r="W257" i="1" a="1"/>
  <c r="W257" i="1" s="1"/>
  <c r="N257" i="1" a="1"/>
  <c r="N257" i="1" s="1"/>
  <c r="X257" i="1" s="1" a="1"/>
  <c r="X257" i="1" s="1"/>
  <c r="E19" i="180" s="1"/>
  <c r="I257" i="1" a="1"/>
  <c r="I257" i="1" s="1"/>
  <c r="Z262" i="1"/>
  <c r="Z261" i="1"/>
  <c r="AD254" i="1"/>
  <c r="T254" i="1" a="1"/>
  <c r="T254" i="1" s="1"/>
  <c r="S254" i="1" a="1"/>
  <c r="S254" i="1" s="1"/>
  <c r="P254" i="1" a="1"/>
  <c r="P254" i="1" s="1"/>
  <c r="I254" i="1" a="1"/>
  <c r="I254" i="1" s="1"/>
  <c r="Q254" i="1" a="1"/>
  <c r="Q254" i="1" s="1"/>
  <c r="W254" i="1" a="1"/>
  <c r="W254" i="1" s="1"/>
  <c r="O254" i="1" a="1"/>
  <c r="O254" i="1" s="1"/>
  <c r="H254" i="1"/>
  <c r="C16" i="180" s="1"/>
  <c r="R254" i="1" a="1"/>
  <c r="R254" i="1" s="1"/>
  <c r="G16" i="180" s="1"/>
  <c r="V254" i="1" a="1"/>
  <c r="V254" i="1" s="1"/>
  <c r="F16" i="180" s="1"/>
  <c r="U254" i="1" a="1"/>
  <c r="U254" i="1" s="1"/>
  <c r="J254" i="1"/>
  <c r="D16" i="180" s="1"/>
  <c r="N254" i="1" a="1"/>
  <c r="N254" i="1" s="1"/>
  <c r="X254" i="1" s="1" a="1"/>
  <c r="X254" i="1" s="1"/>
  <c r="E16" i="180" s="1"/>
  <c r="I243" i="1" a="1"/>
  <c r="I243" i="1" s="1"/>
  <c r="N244" i="1" a="1"/>
  <c r="N244" i="1" s="1"/>
  <c r="X244" i="1" s="1" a="1"/>
  <c r="X244" i="1" s="1"/>
  <c r="E6" i="180" s="1"/>
  <c r="Q372" i="1" a="1"/>
  <c r="Q372" i="1" s="1"/>
  <c r="H71" i="165" s="1"/>
  <c r="R372" i="1" a="1"/>
  <c r="R372" i="1" s="1"/>
  <c r="I71" i="165" s="1"/>
  <c r="P372" i="1" a="1"/>
  <c r="P372" i="1" s="1"/>
  <c r="G71" i="165" s="1"/>
  <c r="U372" i="1" a="1"/>
  <c r="U372" i="1" s="1"/>
  <c r="O372" i="1" a="1"/>
  <c r="O372" i="1" s="1"/>
  <c r="F71" i="165" s="1"/>
  <c r="N372" i="1" a="1"/>
  <c r="N372" i="1" s="1"/>
  <c r="I372" i="1" a="1"/>
  <c r="I372" i="1" s="1"/>
  <c r="C71" i="165" s="1"/>
  <c r="T372" i="1" a="1"/>
  <c r="T372" i="1" s="1"/>
  <c r="S372" i="1" a="1"/>
  <c r="S372" i="1" s="1"/>
  <c r="J71" i="165" s="1"/>
  <c r="W372" i="1" a="1"/>
  <c r="W372" i="1" s="1"/>
  <c r="V372" i="1" a="1"/>
  <c r="V372" i="1" s="1"/>
  <c r="N410" i="1" a="1"/>
  <c r="N410" i="1" s="1"/>
  <c r="X410" i="1" s="1" a="1"/>
  <c r="X410" i="1" s="1"/>
  <c r="U410" i="1" a="1"/>
  <c r="U410" i="1" s="1"/>
  <c r="V410" i="1" a="1"/>
  <c r="V410" i="1" s="1"/>
  <c r="S410" i="1" a="1"/>
  <c r="S410" i="1" s="1"/>
  <c r="P410" i="1" a="1"/>
  <c r="P410" i="1" s="1"/>
  <c r="W410" i="1" a="1"/>
  <c r="W410" i="1" s="1"/>
  <c r="O410" i="1" a="1"/>
  <c r="O410" i="1" s="1"/>
  <c r="R410" i="1" a="1"/>
  <c r="R410" i="1" s="1"/>
  <c r="T410" i="1" a="1"/>
  <c r="T410" i="1" s="1"/>
  <c r="I410" i="1" a="1"/>
  <c r="I410" i="1" s="1"/>
  <c r="Q410" i="1" a="1"/>
  <c r="Q410" i="1" s="1"/>
  <c r="N391" i="1" a="1"/>
  <c r="N391" i="1" s="1"/>
  <c r="X391" i="1" s="1" a="1"/>
  <c r="X391" i="1" s="1"/>
  <c r="W391" i="1" a="1"/>
  <c r="W391" i="1" s="1"/>
  <c r="O391" i="1" a="1"/>
  <c r="O391" i="1" s="1"/>
  <c r="R391" i="1" a="1"/>
  <c r="R391" i="1" s="1"/>
  <c r="U391" i="1" a="1"/>
  <c r="U391" i="1" s="1"/>
  <c r="S391" i="1" a="1"/>
  <c r="S391" i="1" s="1"/>
  <c r="Q391" i="1" a="1"/>
  <c r="Q391" i="1" s="1"/>
  <c r="I391" i="1" a="1"/>
  <c r="I391" i="1" s="1"/>
  <c r="V391" i="1" a="1"/>
  <c r="V391" i="1" s="1"/>
  <c r="P391" i="1" a="1"/>
  <c r="P391" i="1" s="1"/>
  <c r="T391" i="1" a="1"/>
  <c r="T391" i="1" s="1"/>
  <c r="W447" i="1" a="1"/>
  <c r="W447" i="1" s="1"/>
  <c r="S447" i="1" a="1"/>
  <c r="S447" i="1" s="1"/>
  <c r="J114" i="165" s="1"/>
  <c r="Q447" i="1" a="1"/>
  <c r="Q447" i="1" s="1"/>
  <c r="H114" i="165" s="1"/>
  <c r="R447" i="1" a="1"/>
  <c r="R447" i="1" s="1"/>
  <c r="I114" i="165" s="1"/>
  <c r="V447" i="1" a="1"/>
  <c r="V447" i="1" s="1"/>
  <c r="I447" i="1" a="1"/>
  <c r="I447" i="1" s="1"/>
  <c r="C114" i="165" s="1"/>
  <c r="P447" i="1" a="1"/>
  <c r="P447" i="1" s="1"/>
  <c r="G114" i="165" s="1"/>
  <c r="U447" i="1" a="1"/>
  <c r="U447" i="1" s="1"/>
  <c r="O447" i="1" a="1"/>
  <c r="O447" i="1" s="1"/>
  <c r="F114" i="165" s="1"/>
  <c r="N447" i="1" a="1"/>
  <c r="N447" i="1" s="1"/>
  <c r="T447" i="1" a="1"/>
  <c r="T447" i="1" s="1"/>
  <c r="H255" i="1"/>
  <c r="C17" i="180" s="1"/>
  <c r="AD255" i="1"/>
  <c r="N255" i="1" a="1"/>
  <c r="N255" i="1" s="1"/>
  <c r="X255" i="1" s="1" a="1"/>
  <c r="X255" i="1" s="1"/>
  <c r="E17" i="180" s="1"/>
  <c r="J255" i="1"/>
  <c r="D17" i="180" s="1"/>
  <c r="R255" i="1" a="1"/>
  <c r="R255" i="1" s="1"/>
  <c r="G17" i="180" s="1"/>
  <c r="U255" i="1" a="1"/>
  <c r="U255" i="1" s="1"/>
  <c r="O255" i="1" a="1"/>
  <c r="O255" i="1" s="1"/>
  <c r="I255" i="1" a="1"/>
  <c r="I255" i="1" s="1"/>
  <c r="P255" i="1" a="1"/>
  <c r="P255" i="1" s="1"/>
  <c r="T255" i="1" a="1"/>
  <c r="T255" i="1" s="1"/>
  <c r="Q255" i="1" a="1"/>
  <c r="Q255" i="1" s="1"/>
  <c r="S255" i="1" a="1"/>
  <c r="S255" i="1" s="1"/>
  <c r="V255" i="1" a="1"/>
  <c r="V255" i="1" s="1"/>
  <c r="F17" i="180" s="1"/>
  <c r="W255" i="1" a="1"/>
  <c r="W255" i="1" s="1"/>
  <c r="V252" i="1" a="1"/>
  <c r="V252" i="1" s="1"/>
  <c r="F14" i="180" s="1"/>
  <c r="AD251" i="1"/>
  <c r="AD249" i="1"/>
  <c r="AD252" i="1"/>
  <c r="AD248" i="1"/>
  <c r="AD253" i="1"/>
  <c r="AD250" i="1"/>
  <c r="AD246" i="1"/>
  <c r="AD243" i="1"/>
  <c r="AD244" i="1"/>
  <c r="AD245" i="1"/>
  <c r="AD247" i="1"/>
  <c r="J455" i="1"/>
  <c r="D122" i="165" s="1"/>
  <c r="H436" i="1"/>
  <c r="B100" i="165" s="1"/>
  <c r="J399" i="1"/>
  <c r="H455" i="1"/>
  <c r="B122" i="165" s="1"/>
  <c r="H399" i="1"/>
  <c r="J436" i="1"/>
  <c r="D100" i="165" s="1"/>
  <c r="H418" i="1"/>
  <c r="J380" i="1"/>
  <c r="D79" i="165" s="1"/>
  <c r="J418" i="1"/>
  <c r="H395" i="1"/>
  <c r="J451" i="1"/>
  <c r="D118" i="165" s="1"/>
  <c r="H414" i="1"/>
  <c r="J432" i="1"/>
  <c r="D96" i="165" s="1"/>
  <c r="H376" i="1"/>
  <c r="B75" i="165" s="1"/>
  <c r="H451" i="1"/>
  <c r="B118" i="165" s="1"/>
  <c r="H432" i="1"/>
  <c r="B96" i="165" s="1"/>
  <c r="J376" i="1"/>
  <c r="D75" i="165" s="1"/>
  <c r="J414" i="1"/>
  <c r="J395" i="1"/>
  <c r="H389" i="1"/>
  <c r="H427" i="1"/>
  <c r="B91" i="165" s="1"/>
  <c r="H445" i="1"/>
  <c r="B112" i="165" s="1"/>
  <c r="H408" i="1"/>
  <c r="J445" i="1"/>
  <c r="D112" i="165" s="1"/>
  <c r="J389" i="1"/>
  <c r="J370" i="1"/>
  <c r="D69" i="165" s="1"/>
  <c r="H370" i="1"/>
  <c r="B69" i="165" s="1"/>
  <c r="J408" i="1"/>
  <c r="J427" i="1"/>
  <c r="D91" i="165" s="1"/>
  <c r="T460" i="1" a="1"/>
  <c r="T460" i="1" s="1"/>
  <c r="Q454" i="1" a="1"/>
  <c r="Q454" i="1" s="1"/>
  <c r="H121" i="165" s="1"/>
  <c r="O449" i="1" a="1"/>
  <c r="O449" i="1" s="1"/>
  <c r="F116" i="165" s="1"/>
  <c r="Q437" i="1" a="1"/>
  <c r="Q437" i="1" s="1"/>
  <c r="H101" i="165" s="1"/>
  <c r="P431" i="1" a="1"/>
  <c r="P431" i="1" s="1"/>
  <c r="G95" i="165" s="1"/>
  <c r="N415" i="1" a="1"/>
  <c r="N415" i="1" s="1"/>
  <c r="X415" i="1" s="1" a="1"/>
  <c r="X415" i="1" s="1"/>
  <c r="S456" i="1" a="1"/>
  <c r="S456" i="1" s="1"/>
  <c r="J123" i="165" s="1"/>
  <c r="O450" i="1" a="1"/>
  <c r="O450" i="1" s="1"/>
  <c r="F117" i="165" s="1"/>
  <c r="S439" i="1" a="1"/>
  <c r="S439" i="1" s="1"/>
  <c r="J103" i="165" s="1"/>
  <c r="W433" i="1" a="1"/>
  <c r="W433" i="1" s="1"/>
  <c r="N458" i="1" a="1"/>
  <c r="N458" i="1" s="1"/>
  <c r="X458" i="1" s="1" a="1"/>
  <c r="X458" i="1" s="1"/>
  <c r="I453" i="1" a="1"/>
  <c r="I453" i="1" s="1"/>
  <c r="C120" i="165" s="1"/>
  <c r="R448" i="1" a="1"/>
  <c r="R448" i="1" s="1"/>
  <c r="I115" i="165" s="1"/>
  <c r="Q438" i="1" a="1"/>
  <c r="Q438" i="1" s="1"/>
  <c r="H102" i="165" s="1"/>
  <c r="P434" i="1" a="1"/>
  <c r="P434" i="1" s="1"/>
  <c r="G98" i="165" s="1"/>
  <c r="P460" i="1" a="1"/>
  <c r="P460" i="1" s="1"/>
  <c r="G127" i="165" s="1"/>
  <c r="T454" i="1" a="1"/>
  <c r="T454" i="1" s="1"/>
  <c r="R449" i="1" a="1"/>
  <c r="R449" i="1" s="1"/>
  <c r="I116" i="165" s="1"/>
  <c r="W439" i="1" a="1"/>
  <c r="W439" i="1" s="1"/>
  <c r="U434" i="1" a="1"/>
  <c r="U434" i="1" s="1"/>
  <c r="T459" i="1" a="1"/>
  <c r="T459" i="1" s="1"/>
  <c r="W452" i="1" a="1"/>
  <c r="W452" i="1" s="1"/>
  <c r="S445" i="1" a="1"/>
  <c r="S445" i="1" s="1"/>
  <c r="J112" i="165" s="1"/>
  <c r="N438" i="1" a="1"/>
  <c r="N438" i="1" s="1"/>
  <c r="X438" i="1" s="1" a="1"/>
  <c r="X438" i="1" s="1"/>
  <c r="R458" i="1" a="1"/>
  <c r="R458" i="1" s="1"/>
  <c r="I125" i="165" s="1"/>
  <c r="V452" i="1" a="1"/>
  <c r="V452" i="1" s="1"/>
  <c r="T446" i="1" a="1"/>
  <c r="T446" i="1" s="1"/>
  <c r="U438" i="1" a="1"/>
  <c r="U438" i="1" s="1"/>
  <c r="T452" i="1" a="1"/>
  <c r="T452" i="1" s="1"/>
  <c r="O431" i="1" a="1"/>
  <c r="O431" i="1" s="1"/>
  <c r="F95" i="165" s="1"/>
  <c r="T381" i="1" a="1"/>
  <c r="T381" i="1" s="1"/>
  <c r="V431" i="1" a="1"/>
  <c r="V431" i="1" s="1"/>
  <c r="T456" i="1" a="1"/>
  <c r="T456" i="1" s="1"/>
  <c r="O435" i="1" a="1"/>
  <c r="O435" i="1" s="1"/>
  <c r="F99" i="165" s="1"/>
  <c r="Q427" i="1" a="1"/>
  <c r="Q427" i="1" s="1"/>
  <c r="H91" i="165" s="1"/>
  <c r="U436" i="1" a="1"/>
  <c r="U436" i="1" s="1"/>
  <c r="N423" i="1" a="1"/>
  <c r="N423" i="1" s="1"/>
  <c r="X423" i="1" s="1" a="1"/>
  <c r="X423" i="1" s="1"/>
  <c r="R451" i="1" a="1"/>
  <c r="R451" i="1" s="1"/>
  <c r="I118" i="165" s="1"/>
  <c r="S430" i="1" a="1"/>
  <c r="S430" i="1" s="1"/>
  <c r="J94" i="165" s="1"/>
  <c r="T448" i="1" a="1"/>
  <c r="T448" i="1" s="1"/>
  <c r="T428" i="1" a="1"/>
  <c r="T428" i="1" s="1"/>
  <c r="V430" i="1" a="1"/>
  <c r="V430" i="1" s="1"/>
  <c r="N382" i="1" a="1"/>
  <c r="N382" i="1" s="1"/>
  <c r="X382" i="1" s="1" a="1"/>
  <c r="X382" i="1" s="1"/>
  <c r="U376" i="1" a="1"/>
  <c r="U376" i="1" s="1"/>
  <c r="N250" i="1" a="1"/>
  <c r="N250" i="1" s="1"/>
  <c r="X250" i="1" s="1" a="1"/>
  <c r="X250" i="1" s="1"/>
  <c r="E12" i="180" s="1"/>
  <c r="W244" i="1" a="1"/>
  <c r="W244" i="1" s="1"/>
  <c r="P385" i="1" a="1"/>
  <c r="P385" i="1" s="1"/>
  <c r="G84" i="165" s="1"/>
  <c r="T376" i="1" a="1"/>
  <c r="T376" i="1" s="1"/>
  <c r="N402" i="1" a="1"/>
  <c r="N402" i="1" s="1"/>
  <c r="X402" i="1" s="1" a="1"/>
  <c r="X402" i="1" s="1"/>
  <c r="I382" i="1" a="1"/>
  <c r="I382" i="1" s="1"/>
  <c r="C81" i="165" s="1"/>
  <c r="I375" i="1" a="1"/>
  <c r="I375" i="1" s="1"/>
  <c r="C74" i="165" s="1"/>
  <c r="J251" i="1"/>
  <c r="D13" i="180" s="1"/>
  <c r="I247" i="1" a="1"/>
  <c r="I247" i="1" s="1"/>
  <c r="N377" i="1" a="1"/>
  <c r="N377" i="1" s="1"/>
  <c r="X377" i="1" s="1" a="1"/>
  <c r="X377" i="1" s="1"/>
  <c r="N429" i="1" a="1"/>
  <c r="N429" i="1" s="1"/>
  <c r="X429" i="1" s="1" a="1"/>
  <c r="X429" i="1" s="1"/>
  <c r="Q381" i="1" a="1"/>
  <c r="Q381" i="1" s="1"/>
  <c r="H80" i="165" s="1"/>
  <c r="U375" i="1" a="1"/>
  <c r="U375" i="1" s="1"/>
  <c r="R252" i="1" a="1"/>
  <c r="R252" i="1" s="1"/>
  <c r="G14" i="180" s="1"/>
  <c r="U248" i="1" a="1"/>
  <c r="U248" i="1" s="1"/>
  <c r="V243" i="1" a="1"/>
  <c r="V243" i="1" s="1"/>
  <c r="F5" i="180" s="1"/>
  <c r="N373" i="1" a="1"/>
  <c r="N373" i="1" s="1"/>
  <c r="X373" i="1" s="1" a="1"/>
  <c r="X373" i="1" s="1"/>
  <c r="O249" i="1" a="1"/>
  <c r="O249" i="1" s="1"/>
  <c r="J243" i="1"/>
  <c r="D5" i="180" s="1"/>
  <c r="V247" i="1" a="1"/>
  <c r="V247" i="1" s="1"/>
  <c r="F9" i="180" s="1"/>
  <c r="V434" i="1" a="1"/>
  <c r="V434" i="1" s="1"/>
  <c r="V244" i="1" a="1"/>
  <c r="V244" i="1" s="1"/>
  <c r="F6" i="180" s="1"/>
  <c r="S377" i="1" a="1"/>
  <c r="S377" i="1" s="1"/>
  <c r="J76" i="165" s="1"/>
  <c r="R381" i="1" a="1"/>
  <c r="R381" i="1" s="1"/>
  <c r="I80" i="165" s="1"/>
  <c r="S370" i="1" a="1"/>
  <c r="S370" i="1" s="1"/>
  <c r="J69" i="165" s="1"/>
  <c r="O248" i="1" a="1"/>
  <c r="O248" i="1" s="1"/>
  <c r="I381" i="1" a="1"/>
  <c r="I381" i="1" s="1"/>
  <c r="C80" i="165" s="1"/>
  <c r="O383" i="1" a="1"/>
  <c r="O383" i="1" s="1"/>
  <c r="F82" i="165" s="1"/>
  <c r="N243" i="1" a="1"/>
  <c r="N243" i="1" s="1"/>
  <c r="X243" i="1" s="1" a="1"/>
  <c r="X243" i="1" s="1"/>
  <c r="E5" i="180" s="1"/>
  <c r="Q382" i="1" a="1"/>
  <c r="Q382" i="1" s="1"/>
  <c r="H81" i="165" s="1"/>
  <c r="R370" i="1" a="1"/>
  <c r="R370" i="1" s="1"/>
  <c r="I69" i="165" s="1"/>
  <c r="W245" i="1" a="1"/>
  <c r="W245" i="1" s="1"/>
  <c r="S253" i="1" a="1"/>
  <c r="S253" i="1" s="1"/>
  <c r="V250" i="1" a="1"/>
  <c r="V250" i="1" s="1"/>
  <c r="F12" i="180" s="1"/>
  <c r="Q248" i="1" a="1"/>
  <c r="Q248" i="1" s="1"/>
  <c r="Q376" i="1" a="1"/>
  <c r="Q376" i="1" s="1"/>
  <c r="H75" i="165" s="1"/>
  <c r="I460" i="1" a="1"/>
  <c r="I460" i="1" s="1"/>
  <c r="C127" i="165" s="1"/>
  <c r="I45" i="180" s="1"/>
  <c r="W453" i="1" a="1"/>
  <c r="W453" i="1" s="1"/>
  <c r="U448" i="1" a="1"/>
  <c r="U448" i="1" s="1"/>
  <c r="R436" i="1" a="1"/>
  <c r="R436" i="1" s="1"/>
  <c r="I100" i="165" s="1"/>
  <c r="W430" i="1" a="1"/>
  <c r="W430" i="1" s="1"/>
  <c r="S460" i="1" a="1"/>
  <c r="S460" i="1" s="1"/>
  <c r="Q455" i="1" a="1"/>
  <c r="Q455" i="1" s="1"/>
  <c r="H122" i="165" s="1"/>
  <c r="U449" i="1" a="1"/>
  <c r="U449" i="1" s="1"/>
  <c r="R438" i="1" a="1"/>
  <c r="R438" i="1" s="1"/>
  <c r="I102" i="165" s="1"/>
  <c r="O433" i="1" a="1"/>
  <c r="O433" i="1" s="1"/>
  <c r="F97" i="165" s="1"/>
  <c r="T457" i="1" a="1"/>
  <c r="T457" i="1" s="1"/>
  <c r="R452" i="1" a="1"/>
  <c r="R452" i="1" s="1"/>
  <c r="I119" i="165" s="1"/>
  <c r="P446" i="1" a="1"/>
  <c r="P446" i="1" s="1"/>
  <c r="G113" i="165" s="1"/>
  <c r="V437" i="1" a="1"/>
  <c r="V437" i="1" s="1"/>
  <c r="V433" i="1" a="1"/>
  <c r="V433" i="1" s="1"/>
  <c r="N459" i="1" a="1"/>
  <c r="N459" i="1" s="1"/>
  <c r="X459" i="1" s="1" a="1"/>
  <c r="X459" i="1" s="1"/>
  <c r="I454" i="1" a="1"/>
  <c r="I454" i="1" s="1"/>
  <c r="C121" i="165" s="1"/>
  <c r="P448" i="1" a="1"/>
  <c r="P448" i="1" s="1"/>
  <c r="G115" i="165" s="1"/>
  <c r="P439" i="1" a="1"/>
  <c r="P439" i="1" s="1"/>
  <c r="G103" i="165" s="1"/>
  <c r="N434" i="1" a="1"/>
  <c r="N434" i="1" s="1"/>
  <c r="X434" i="1" s="1" a="1"/>
  <c r="X434" i="1" s="1"/>
  <c r="S458" i="1" a="1"/>
  <c r="S458" i="1" s="1"/>
  <c r="J125" i="165" s="1"/>
  <c r="O452" i="1" a="1"/>
  <c r="O452" i="1" s="1"/>
  <c r="F119" i="165" s="1"/>
  <c r="I445" i="1" a="1"/>
  <c r="I445" i="1" s="1"/>
  <c r="C112" i="165" s="1"/>
  <c r="S437" i="1" a="1"/>
  <c r="S437" i="1" s="1"/>
  <c r="J101" i="165" s="1"/>
  <c r="P457" i="1" a="1"/>
  <c r="P457" i="1" s="1"/>
  <c r="G124" i="165" s="1"/>
  <c r="N452" i="1" a="1"/>
  <c r="N452" i="1" s="1"/>
  <c r="X452" i="1" s="1" a="1"/>
  <c r="X452" i="1" s="1"/>
  <c r="I446" i="1" a="1"/>
  <c r="I446" i="1" s="1"/>
  <c r="C113" i="165" s="1"/>
  <c r="R437" i="1" a="1"/>
  <c r="R437" i="1" s="1"/>
  <c r="I101" i="165" s="1"/>
  <c r="P450" i="1" a="1"/>
  <c r="P450" i="1" s="1"/>
  <c r="G117" i="165" s="1"/>
  <c r="U430" i="1" a="1"/>
  <c r="U430" i="1" s="1"/>
  <c r="N381" i="1" a="1"/>
  <c r="N381" i="1" s="1"/>
  <c r="X381" i="1" s="1" a="1"/>
  <c r="X381" i="1" s="1"/>
  <c r="N430" i="1" a="1"/>
  <c r="N430" i="1" s="1"/>
  <c r="X430" i="1" s="1" a="1"/>
  <c r="X430" i="1" s="1"/>
  <c r="N408" i="1" a="1"/>
  <c r="N408" i="1" s="1"/>
  <c r="X408" i="1" s="1" a="1"/>
  <c r="X408" i="1" s="1"/>
  <c r="P454" i="1" a="1"/>
  <c r="P454" i="1" s="1"/>
  <c r="G121" i="165" s="1"/>
  <c r="U432" i="1" a="1"/>
  <c r="U432" i="1" s="1"/>
  <c r="U433" i="1" a="1"/>
  <c r="U433" i="1" s="1"/>
  <c r="N414" i="1" a="1"/>
  <c r="N414" i="1" s="1"/>
  <c r="X414" i="1" s="1" a="1"/>
  <c r="X414" i="1" s="1"/>
  <c r="N449" i="1" a="1"/>
  <c r="N449" i="1" s="1"/>
  <c r="X449" i="1" s="1" a="1"/>
  <c r="X449" i="1" s="1"/>
  <c r="Q429" i="1" a="1"/>
  <c r="Q429" i="1" s="1"/>
  <c r="H93" i="165" s="1"/>
  <c r="Q445" i="1" a="1"/>
  <c r="Q445" i="1" s="1"/>
  <c r="H112" i="165" s="1"/>
  <c r="S428" i="1" a="1"/>
  <c r="S428" i="1" s="1"/>
  <c r="J92" i="165" s="1"/>
  <c r="P381" i="1" a="1"/>
  <c r="P381" i="1" s="1"/>
  <c r="G80" i="165" s="1"/>
  <c r="S375" i="1" a="1"/>
  <c r="S375" i="1" s="1"/>
  <c r="J74" i="165" s="1"/>
  <c r="T249" i="1" a="1"/>
  <c r="T249" i="1" s="1"/>
  <c r="S453" i="1" a="1"/>
  <c r="S453" i="1" s="1"/>
  <c r="J120" i="165" s="1"/>
  <c r="S384" i="1" a="1"/>
  <c r="S384" i="1" s="1"/>
  <c r="J83" i="165" s="1"/>
  <c r="F75" i="165"/>
  <c r="N401" i="1" a="1"/>
  <c r="N401" i="1" s="1"/>
  <c r="X401" i="1" s="1" a="1"/>
  <c r="X401" i="1" s="1"/>
  <c r="U381" i="1" a="1"/>
  <c r="U381" i="1" s="1"/>
  <c r="Q374" i="1" a="1"/>
  <c r="Q374" i="1" s="1"/>
  <c r="H73" i="165" s="1"/>
  <c r="T250" i="1" a="1"/>
  <c r="T250" i="1" s="1"/>
  <c r="R246" i="1" a="1"/>
  <c r="R246" i="1" s="1"/>
  <c r="G8" i="180" s="1"/>
  <c r="N395" i="1" a="1"/>
  <c r="N395" i="1" s="1"/>
  <c r="X395" i="1" s="1" a="1"/>
  <c r="X395" i="1" s="1"/>
  <c r="S376" i="1" a="1"/>
  <c r="S376" i="1" s="1"/>
  <c r="J75" i="165" s="1"/>
  <c r="N427" i="1" a="1"/>
  <c r="N427" i="1" s="1"/>
  <c r="X427" i="1" s="1" a="1"/>
  <c r="X427" i="1" s="1"/>
  <c r="T380" i="1" a="1"/>
  <c r="T380" i="1" s="1"/>
  <c r="T374" i="1" a="1"/>
  <c r="T374" i="1" s="1"/>
  <c r="W251" i="1" a="1"/>
  <c r="W251" i="1" s="1"/>
  <c r="V245" i="1" a="1"/>
  <c r="V245" i="1" s="1"/>
  <c r="F7" i="180" s="1"/>
  <c r="R377" i="1" a="1"/>
  <c r="R377" i="1" s="1"/>
  <c r="I76" i="165" s="1"/>
  <c r="Q371" i="1" a="1"/>
  <c r="Q371" i="1" s="1"/>
  <c r="H70" i="165" s="1"/>
  <c r="W247" i="1" a="1"/>
  <c r="W247" i="1" s="1"/>
  <c r="O253" i="1" a="1"/>
  <c r="O253" i="1" s="1"/>
  <c r="H247" i="1"/>
  <c r="C9" i="180" s="1"/>
  <c r="O427" i="1" a="1"/>
  <c r="O427" i="1" s="1"/>
  <c r="F91" i="165" s="1"/>
  <c r="P458" i="1" a="1"/>
  <c r="P458" i="1" s="1"/>
  <c r="G125" i="165" s="1"/>
  <c r="U374" i="1" a="1"/>
  <c r="U374" i="1" s="1"/>
  <c r="P380" i="1" a="1"/>
  <c r="P380" i="1" s="1"/>
  <c r="G79" i="165" s="1"/>
  <c r="V253" i="1" a="1"/>
  <c r="V253" i="1" s="1"/>
  <c r="F15" i="180" s="1"/>
  <c r="Q247" i="1" a="1"/>
  <c r="Q247" i="1" s="1"/>
  <c r="S371" i="1" a="1"/>
  <c r="S371" i="1" s="1"/>
  <c r="J70" i="165" s="1"/>
  <c r="O373" i="1" a="1"/>
  <c r="O373" i="1" s="1"/>
  <c r="F72" i="165" s="1"/>
  <c r="S378" i="1" a="1"/>
  <c r="S378" i="1" s="1"/>
  <c r="J77" i="165" s="1"/>
  <c r="O380" i="1" a="1"/>
  <c r="O380" i="1" s="1"/>
  <c r="F79" i="165" s="1"/>
  <c r="U253" i="1" a="1"/>
  <c r="U253" i="1" s="1"/>
  <c r="O245" i="1" a="1"/>
  <c r="O245" i="1" s="1"/>
  <c r="T252" i="1" a="1"/>
  <c r="T252" i="1" s="1"/>
  <c r="H248" i="1"/>
  <c r="C10" i="180" s="1"/>
  <c r="R245" i="1" a="1"/>
  <c r="R245" i="1" s="1"/>
  <c r="G7" i="180" s="1"/>
  <c r="O378" i="1" a="1"/>
  <c r="O378" i="1" s="1"/>
  <c r="F77" i="165" s="1"/>
  <c r="Q245" i="1" a="1"/>
  <c r="Q245" i="1" s="1"/>
  <c r="R459" i="1" a="1"/>
  <c r="R459" i="1" s="1"/>
  <c r="I126" i="165" s="1"/>
  <c r="O453" i="1" a="1"/>
  <c r="O453" i="1" s="1"/>
  <c r="F120" i="165" s="1"/>
  <c r="S446" i="1" a="1"/>
  <c r="S446" i="1" s="1"/>
  <c r="J113" i="165" s="1"/>
  <c r="S435" i="1" a="1"/>
  <c r="S435" i="1" s="1"/>
  <c r="J99" i="165" s="1"/>
  <c r="Q430" i="1" a="1"/>
  <c r="Q430" i="1" s="1"/>
  <c r="H94" i="165" s="1"/>
  <c r="Q459" i="1" a="1"/>
  <c r="Q459" i="1" s="1"/>
  <c r="H126" i="165" s="1"/>
  <c r="W454" i="1" a="1"/>
  <c r="W454" i="1" s="1"/>
  <c r="S448" i="1" a="1"/>
  <c r="S448" i="1" s="1"/>
  <c r="J115" i="165" s="1"/>
  <c r="W437" i="1" a="1"/>
  <c r="W437" i="1" s="1"/>
  <c r="V432" i="1" a="1"/>
  <c r="V432" i="1" s="1"/>
  <c r="I457" i="1" a="1"/>
  <c r="I457" i="1" s="1"/>
  <c r="C124" i="165" s="1"/>
  <c r="V445" i="1" a="1"/>
  <c r="V445" i="1" s="1"/>
  <c r="N437" i="1" a="1"/>
  <c r="N437" i="1" s="1"/>
  <c r="X437" i="1" s="1" a="1"/>
  <c r="X437" i="1" s="1"/>
  <c r="N433" i="1" a="1"/>
  <c r="N433" i="1" s="1"/>
  <c r="X433" i="1" s="1" a="1"/>
  <c r="X433" i="1" s="1"/>
  <c r="T458" i="1" a="1"/>
  <c r="T458" i="1" s="1"/>
  <c r="R453" i="1" a="1"/>
  <c r="R453" i="1" s="1"/>
  <c r="I120" i="165" s="1"/>
  <c r="V446" i="1" a="1"/>
  <c r="V446" i="1" s="1"/>
  <c r="W438" i="1" a="1"/>
  <c r="W438" i="1" s="1"/>
  <c r="T433" i="1" a="1"/>
  <c r="T433" i="1" s="1"/>
  <c r="Q457" i="1" a="1"/>
  <c r="Q457" i="1" s="1"/>
  <c r="H124" i="165" s="1"/>
  <c r="U451" i="1" a="1"/>
  <c r="U451" i="1" s="1"/>
  <c r="S441" i="1" a="1"/>
  <c r="S441" i="1" s="1"/>
  <c r="I437" i="1" a="1"/>
  <c r="I437" i="1" s="1"/>
  <c r="C101" i="165" s="1"/>
  <c r="V456" i="1" a="1"/>
  <c r="V456" i="1" s="1"/>
  <c r="T451" i="1" a="1"/>
  <c r="T451" i="1" s="1"/>
  <c r="R445" i="1" a="1"/>
  <c r="R445" i="1" s="1"/>
  <c r="I112" i="165" s="1"/>
  <c r="I435" i="1" a="1"/>
  <c r="I435" i="1" s="1"/>
  <c r="C99" i="165" s="1"/>
  <c r="I448" i="1" a="1"/>
  <c r="I448" i="1" s="1"/>
  <c r="C115" i="165" s="1"/>
  <c r="O430" i="1" a="1"/>
  <c r="O430" i="1" s="1"/>
  <c r="F94" i="165" s="1"/>
  <c r="U454" i="1" a="1"/>
  <c r="U454" i="1" s="1"/>
  <c r="T429" i="1" a="1"/>
  <c r="T429" i="1" s="1"/>
  <c r="N404" i="1" a="1"/>
  <c r="N404" i="1" s="1"/>
  <c r="X404" i="1" s="1" a="1"/>
  <c r="X404" i="1" s="1"/>
  <c r="I452" i="1" a="1"/>
  <c r="I452" i="1" s="1"/>
  <c r="C119" i="165" s="1"/>
  <c r="U431" i="1" a="1"/>
  <c r="U431" i="1" s="1"/>
  <c r="Q456" i="1" a="1"/>
  <c r="Q456" i="1" s="1"/>
  <c r="H123" i="165" s="1"/>
  <c r="S432" i="1" a="1"/>
  <c r="S432" i="1" s="1"/>
  <c r="J96" i="165" s="1"/>
  <c r="S440" i="1" a="1"/>
  <c r="S440" i="1" s="1"/>
  <c r="J104" i="165" s="1"/>
  <c r="V428" i="1" a="1"/>
  <c r="V428" i="1" s="1"/>
  <c r="I440" i="1" a="1"/>
  <c r="I440" i="1" s="1"/>
  <c r="C104" i="165" s="1"/>
  <c r="N422" i="1" a="1"/>
  <c r="N422" i="1" s="1"/>
  <c r="X422" i="1" s="1" a="1"/>
  <c r="X422" i="1" s="1"/>
  <c r="S380" i="1" a="1"/>
  <c r="S380" i="1" s="1"/>
  <c r="J79" i="165" s="1"/>
  <c r="I373" i="1" a="1"/>
  <c r="I373" i="1" s="1"/>
  <c r="C72" i="165" s="1"/>
  <c r="V248" i="1" a="1"/>
  <c r="V248" i="1" s="1"/>
  <c r="F10" i="180" s="1"/>
  <c r="Q440" i="1" a="1"/>
  <c r="Q440" i="1" s="1"/>
  <c r="H104" i="165" s="1"/>
  <c r="R383" i="1" a="1"/>
  <c r="R383" i="1" s="1"/>
  <c r="I82" i="165" s="1"/>
  <c r="R374" i="1" a="1"/>
  <c r="R374" i="1" s="1"/>
  <c r="I73" i="165" s="1"/>
  <c r="N389" i="1" a="1"/>
  <c r="N389" i="1" s="1"/>
  <c r="X389" i="1" s="1" a="1"/>
  <c r="X389" i="1" s="1"/>
  <c r="R380" i="1" a="1"/>
  <c r="R380" i="1" s="1"/>
  <c r="I79" i="165" s="1"/>
  <c r="P373" i="1" a="1"/>
  <c r="P373" i="1" s="1"/>
  <c r="G72" i="165" s="1"/>
  <c r="I250" i="1" a="1"/>
  <c r="I250" i="1" s="1"/>
  <c r="O451" i="1" a="1"/>
  <c r="O451" i="1" s="1"/>
  <c r="F118" i="165" s="1"/>
  <c r="Q384" i="1" a="1"/>
  <c r="Q384" i="1" s="1"/>
  <c r="H83" i="165" s="1"/>
  <c r="Q375" i="1" a="1"/>
  <c r="Q375" i="1" s="1"/>
  <c r="H74" i="165" s="1"/>
  <c r="N412" i="1" a="1"/>
  <c r="N412" i="1" s="1"/>
  <c r="X412" i="1" s="1" a="1"/>
  <c r="X412" i="1" s="1"/>
  <c r="N380" i="1" a="1"/>
  <c r="N380" i="1" s="1"/>
  <c r="X380" i="1" s="1" a="1"/>
  <c r="X380" i="1" s="1"/>
  <c r="N374" i="1" a="1"/>
  <c r="N374" i="1" s="1"/>
  <c r="X374" i="1" s="1" a="1"/>
  <c r="X374" i="1" s="1"/>
  <c r="O251" i="1" a="1"/>
  <c r="O251" i="1" s="1"/>
  <c r="W243" i="1" a="1"/>
  <c r="W243" i="1" s="1"/>
  <c r="U370" i="1" a="1"/>
  <c r="U370" i="1" s="1"/>
  <c r="N370" i="1" a="1"/>
  <c r="N370" i="1" s="1"/>
  <c r="X370" i="1" s="1" a="1"/>
  <c r="X370" i="1" s="1"/>
  <c r="J247" i="1"/>
  <c r="D9" i="180" s="1"/>
  <c r="O252" i="1" a="1"/>
  <c r="O252" i="1" s="1"/>
  <c r="O246" i="1" a="1"/>
  <c r="O246" i="1" s="1"/>
  <c r="N390" i="1" a="1"/>
  <c r="N390" i="1" s="1"/>
  <c r="X390" i="1" s="1" a="1"/>
  <c r="X390" i="1" s="1"/>
  <c r="N436" i="1" a="1"/>
  <c r="N436" i="1" s="1"/>
  <c r="X436" i="1" s="1" a="1"/>
  <c r="X436" i="1" s="1"/>
  <c r="O379" i="1" a="1"/>
  <c r="O379" i="1" s="1"/>
  <c r="F78" i="165" s="1"/>
  <c r="W252" i="1" a="1"/>
  <c r="W252" i="1" s="1"/>
  <c r="U246" i="1" a="1"/>
  <c r="U246" i="1" s="1"/>
  <c r="W250" i="1" a="1"/>
  <c r="W250" i="1" s="1"/>
  <c r="R253" i="1" a="1"/>
  <c r="R253" i="1" s="1"/>
  <c r="G15" i="180" s="1"/>
  <c r="O371" i="1" a="1"/>
  <c r="O371" i="1" s="1"/>
  <c r="F70" i="165" s="1"/>
  <c r="U252" i="1" a="1"/>
  <c r="U252" i="1" s="1"/>
  <c r="S244" i="1" a="1"/>
  <c r="S244" i="1" s="1"/>
  <c r="T251" i="1" a="1"/>
  <c r="T251" i="1" s="1"/>
  <c r="O247" i="1" a="1"/>
  <c r="O247" i="1" s="1"/>
  <c r="S243" i="1" a="1"/>
  <c r="S243" i="1" s="1"/>
  <c r="T370" i="1" a="1"/>
  <c r="T370" i="1" s="1"/>
  <c r="S381" i="1" a="1"/>
  <c r="S381" i="1" s="1"/>
  <c r="J80" i="165" s="1"/>
  <c r="Q458" i="1" a="1"/>
  <c r="Q458" i="1" s="1"/>
  <c r="H125" i="165" s="1"/>
  <c r="U452" i="1" a="1"/>
  <c r="U452" i="1" s="1"/>
  <c r="Q441" i="1" a="1"/>
  <c r="Q441" i="1" s="1"/>
  <c r="E36" i="154" s="1"/>
  <c r="S434" i="1" a="1"/>
  <c r="S434" i="1" s="1"/>
  <c r="J98" i="165" s="1"/>
  <c r="W428" i="1" a="1"/>
  <c r="W428" i="1" s="1"/>
  <c r="R460" i="1" a="1"/>
  <c r="R460" i="1" s="1"/>
  <c r="O454" i="1" a="1"/>
  <c r="O454" i="1" s="1"/>
  <c r="F121" i="165" s="1"/>
  <c r="Q446" i="1" a="1"/>
  <c r="Q446" i="1" s="1"/>
  <c r="H113" i="165" s="1"/>
  <c r="O437" i="1" a="1"/>
  <c r="O437" i="1" s="1"/>
  <c r="F101" i="165" s="1"/>
  <c r="O432" i="1" a="1"/>
  <c r="O432" i="1" s="1"/>
  <c r="F96" i="165" s="1"/>
  <c r="R456" i="1" a="1"/>
  <c r="R456" i="1" s="1"/>
  <c r="I123" i="165" s="1"/>
  <c r="P451" i="1" a="1"/>
  <c r="P451" i="1" s="1"/>
  <c r="G118" i="165" s="1"/>
  <c r="O445" i="1" a="1"/>
  <c r="O445" i="1" s="1"/>
  <c r="F112" i="165" s="1"/>
  <c r="V436" i="1" a="1"/>
  <c r="V436" i="1" s="1"/>
  <c r="W460" i="1" a="1"/>
  <c r="W460" i="1" s="1"/>
  <c r="I458" i="1" a="1"/>
  <c r="I458" i="1" s="1"/>
  <c r="C125" i="165" s="1"/>
  <c r="P452" i="1" a="1"/>
  <c r="P452" i="1" s="1"/>
  <c r="G119" i="165" s="1"/>
  <c r="N446" i="1" a="1"/>
  <c r="N446" i="1" s="1"/>
  <c r="X446" i="1" s="1" a="1"/>
  <c r="X446" i="1" s="1"/>
  <c r="O438" i="1" a="1"/>
  <c r="O438" i="1" s="1"/>
  <c r="F102" i="165" s="1"/>
  <c r="W456" i="1" a="1"/>
  <c r="W456" i="1" s="1"/>
  <c r="S450" i="1" a="1"/>
  <c r="S450" i="1" s="1"/>
  <c r="J117" i="165" s="1"/>
  <c r="V440" i="1" a="1"/>
  <c r="V440" i="1" s="1"/>
  <c r="S436" i="1" a="1"/>
  <c r="S436" i="1" s="1"/>
  <c r="J100" i="165" s="1"/>
  <c r="N456" i="1" a="1"/>
  <c r="N456" i="1" s="1"/>
  <c r="X456" i="1" s="1" a="1"/>
  <c r="X456" i="1" s="1"/>
  <c r="I451" i="1" a="1"/>
  <c r="I451" i="1" s="1"/>
  <c r="C118" i="165" s="1"/>
  <c r="R441" i="1" a="1"/>
  <c r="R441" i="1" s="1"/>
  <c r="T434" i="1" a="1"/>
  <c r="T434" i="1" s="1"/>
  <c r="R427" i="1" a="1"/>
  <c r="R427" i="1" s="1"/>
  <c r="I91" i="165" s="1"/>
  <c r="Q452" i="1" a="1"/>
  <c r="Q452" i="1" s="1"/>
  <c r="H119" i="165" s="1"/>
  <c r="I429" i="1" a="1"/>
  <c r="I429" i="1" s="1"/>
  <c r="C93" i="165" s="1"/>
  <c r="V449" i="1" a="1"/>
  <c r="V449" i="1" s="1"/>
  <c r="N431" i="1" a="1"/>
  <c r="N431" i="1" s="1"/>
  <c r="X431" i="1" s="1" a="1"/>
  <c r="X431" i="1" s="1"/>
  <c r="W451" i="1" a="1"/>
  <c r="W451" i="1" s="1"/>
  <c r="T431" i="1" a="1"/>
  <c r="T431" i="1" s="1"/>
  <c r="N399" i="1" a="1"/>
  <c r="N399" i="1" s="1"/>
  <c r="X399" i="1" s="1" a="1"/>
  <c r="X399" i="1" s="1"/>
  <c r="S438" i="1" a="1"/>
  <c r="S438" i="1" s="1"/>
  <c r="J102" i="165" s="1"/>
  <c r="O428" i="1" a="1"/>
  <c r="O428" i="1" s="1"/>
  <c r="F92" i="165" s="1"/>
  <c r="N413" i="1" a="1"/>
  <c r="N413" i="1" s="1"/>
  <c r="X413" i="1" s="1" a="1"/>
  <c r="X413" i="1" s="1"/>
  <c r="N398" i="1" a="1"/>
  <c r="N398" i="1" s="1"/>
  <c r="X398" i="1" s="1" a="1"/>
  <c r="X398" i="1" s="1"/>
  <c r="I380" i="1" a="1"/>
  <c r="I380" i="1" s="1"/>
  <c r="C79" i="165" s="1"/>
  <c r="I370" i="1" a="1"/>
  <c r="I370" i="1" s="1"/>
  <c r="C69" i="165" s="1"/>
  <c r="P248" i="1" a="1"/>
  <c r="P248" i="1" s="1"/>
  <c r="P433" i="1" a="1"/>
  <c r="P433" i="1" s="1"/>
  <c r="G97" i="165" s="1"/>
  <c r="S382" i="1" a="1"/>
  <c r="S382" i="1" s="1"/>
  <c r="J81" i="165" s="1"/>
  <c r="I374" i="1" a="1"/>
  <c r="I374" i="1" s="1"/>
  <c r="C73" i="165" s="1"/>
  <c r="U385" i="1" a="1"/>
  <c r="U385" i="1" s="1"/>
  <c r="S379" i="1" a="1"/>
  <c r="S379" i="1" s="1"/>
  <c r="J78" i="165" s="1"/>
  <c r="Q370" i="1" a="1"/>
  <c r="Q370" i="1" s="1"/>
  <c r="H69" i="165" s="1"/>
  <c r="S249" i="1" a="1"/>
  <c r="S249" i="1" s="1"/>
  <c r="P438" i="1" a="1"/>
  <c r="P438" i="1" s="1"/>
  <c r="G102" i="165" s="1"/>
  <c r="Q380" i="1" a="1"/>
  <c r="Q380" i="1" s="1"/>
  <c r="H79" i="165" s="1"/>
  <c r="U373" i="1" a="1"/>
  <c r="U373" i="1" s="1"/>
  <c r="N394" i="1" a="1"/>
  <c r="N394" i="1" s="1"/>
  <c r="X394" i="1" s="1" a="1"/>
  <c r="X394" i="1" s="1"/>
  <c r="P379" i="1" a="1"/>
  <c r="P379" i="1" s="1"/>
  <c r="G78" i="165" s="1"/>
  <c r="S373" i="1" a="1"/>
  <c r="S373" i="1" s="1"/>
  <c r="J72" i="165" s="1"/>
  <c r="P250" i="1" a="1"/>
  <c r="P250" i="1" s="1"/>
  <c r="P429" i="1" a="1"/>
  <c r="P429" i="1" s="1"/>
  <c r="G93" i="165" s="1"/>
  <c r="N246" i="1" a="1"/>
  <c r="N246" i="1" s="1"/>
  <c r="X246" i="1" s="1" a="1"/>
  <c r="X246" i="1" s="1"/>
  <c r="E8" i="180" s="1"/>
  <c r="P253" i="1" a="1"/>
  <c r="P253" i="1" s="1"/>
  <c r="P246" i="1" a="1"/>
  <c r="P246" i="1" s="1"/>
  <c r="P251" i="1" a="1"/>
  <c r="P251" i="1" s="1"/>
  <c r="S245" i="1" a="1"/>
  <c r="S245" i="1" s="1"/>
  <c r="P384" i="1" a="1"/>
  <c r="P384" i="1" s="1"/>
  <c r="G83" i="165" s="1"/>
  <c r="S427" i="1" a="1"/>
  <c r="S427" i="1" s="1"/>
  <c r="J91" i="165" s="1"/>
  <c r="W455" i="1" a="1"/>
  <c r="W455" i="1" s="1"/>
  <c r="P376" i="1" a="1"/>
  <c r="P376" i="1" s="1"/>
  <c r="G75" i="165" s="1"/>
  <c r="H252" i="1"/>
  <c r="C14" i="180" s="1"/>
  <c r="H246" i="1"/>
  <c r="C8" i="180" s="1"/>
  <c r="I248" i="1" a="1"/>
  <c r="I248" i="1" s="1"/>
  <c r="S252" i="1" a="1"/>
  <c r="S252" i="1" s="1"/>
  <c r="W246" i="1" a="1"/>
  <c r="W246" i="1" s="1"/>
  <c r="I376" i="1" a="1"/>
  <c r="I376" i="1" s="1"/>
  <c r="C75" i="165" s="1"/>
  <c r="V251" i="1" a="1"/>
  <c r="V251" i="1" s="1"/>
  <c r="F13" i="180" s="1"/>
  <c r="H244" i="1"/>
  <c r="C6" i="180" s="1"/>
  <c r="Q249" i="1" a="1"/>
  <c r="Q249" i="1" s="1"/>
  <c r="J245" i="1"/>
  <c r="D7" i="180" s="1"/>
  <c r="Q379" i="1" a="1"/>
  <c r="Q379" i="1" s="1"/>
  <c r="H78" i="165" s="1"/>
  <c r="W253" i="1" a="1"/>
  <c r="W253" i="1" s="1"/>
  <c r="J244" i="1"/>
  <c r="D6" i="180" s="1"/>
  <c r="W457" i="1" a="1"/>
  <c r="W457" i="1" s="1"/>
  <c r="T440" i="1" a="1"/>
  <c r="T440" i="1" s="1"/>
  <c r="Q433" i="1" a="1"/>
  <c r="Q433" i="1" s="1"/>
  <c r="H97" i="165" s="1"/>
  <c r="I427" i="1" a="1"/>
  <c r="I427" i="1" s="1"/>
  <c r="C91" i="165" s="1"/>
  <c r="W459" i="1" a="1"/>
  <c r="W459" i="1" s="1"/>
  <c r="U453" i="1" a="1"/>
  <c r="U453" i="1" s="1"/>
  <c r="W445" i="1" a="1"/>
  <c r="W445" i="1" s="1"/>
  <c r="P436" i="1" a="1"/>
  <c r="P436" i="1" s="1"/>
  <c r="G100" i="165" s="1"/>
  <c r="Q460" i="1" a="1"/>
  <c r="Q460" i="1" s="1"/>
  <c r="P455" i="1" a="1"/>
  <c r="P455" i="1" s="1"/>
  <c r="G122" i="165" s="1"/>
  <c r="V450" i="1" a="1"/>
  <c r="V450" i="1" s="1"/>
  <c r="V441" i="1" a="1"/>
  <c r="V441" i="1" s="1"/>
  <c r="O436" i="1" a="1"/>
  <c r="O436" i="1" s="1"/>
  <c r="F100" i="165" s="1"/>
  <c r="U459" i="1" a="1"/>
  <c r="U459" i="1" s="1"/>
  <c r="R457" i="1" a="1"/>
  <c r="R457" i="1" s="1"/>
  <c r="I124" i="165" s="1"/>
  <c r="V451" i="1" a="1"/>
  <c r="V451" i="1" s="1"/>
  <c r="T445" i="1" a="1"/>
  <c r="T445" i="1" s="1"/>
  <c r="T437" i="1" a="1"/>
  <c r="T437" i="1" s="1"/>
  <c r="T432" i="1" a="1"/>
  <c r="T432" i="1" s="1"/>
  <c r="O456" i="1" a="1"/>
  <c r="O456" i="1" s="1"/>
  <c r="F123" i="165" s="1"/>
  <c r="Q449" i="1" a="1"/>
  <c r="Q449" i="1" s="1"/>
  <c r="H116" i="165" s="1"/>
  <c r="O440" i="1" a="1"/>
  <c r="O440" i="1" s="1"/>
  <c r="F104" i="165" s="1"/>
  <c r="I436" i="1" a="1"/>
  <c r="I436" i="1" s="1"/>
  <c r="C100" i="165" s="1"/>
  <c r="T455" i="1" a="1"/>
  <c r="T455" i="1" s="1"/>
  <c r="R450" i="1" a="1"/>
  <c r="R450" i="1" s="1"/>
  <c r="I117" i="165" s="1"/>
  <c r="U440" i="1" a="1"/>
  <c r="U440" i="1" s="1"/>
  <c r="I434" i="1" a="1"/>
  <c r="I434" i="1" s="1"/>
  <c r="C98" i="165" s="1"/>
  <c r="P437" i="1" a="1"/>
  <c r="P437" i="1" s="1"/>
  <c r="G101" i="165" s="1"/>
  <c r="T385" i="1" a="1"/>
  <c r="T385" i="1" s="1"/>
  <c r="W446" i="1" a="1"/>
  <c r="W446" i="1" s="1"/>
  <c r="R428" i="1" a="1"/>
  <c r="R428" i="1" s="1"/>
  <c r="I92" i="165" s="1"/>
  <c r="S385" i="1" a="1"/>
  <c r="S385" i="1" s="1"/>
  <c r="J84" i="165" s="1"/>
  <c r="R446" i="1" a="1"/>
  <c r="R446" i="1" s="1"/>
  <c r="I113" i="165" s="1"/>
  <c r="T430" i="1" a="1"/>
  <c r="T430" i="1" s="1"/>
  <c r="S449" i="1" a="1"/>
  <c r="S449" i="1" s="1"/>
  <c r="J116" i="165" s="1"/>
  <c r="I430" i="1" a="1"/>
  <c r="I430" i="1" s="1"/>
  <c r="C94" i="165" s="1"/>
  <c r="N397" i="1" a="1"/>
  <c r="N397" i="1" s="1"/>
  <c r="X397" i="1" s="1" a="1"/>
  <c r="X397" i="1" s="1"/>
  <c r="Q436" i="1" a="1"/>
  <c r="Q436" i="1" s="1"/>
  <c r="H100" i="165" s="1"/>
  <c r="U427" i="1" a="1"/>
  <c r="U427" i="1" s="1"/>
  <c r="R431" i="1" a="1"/>
  <c r="R431" i="1" s="1"/>
  <c r="I95" i="165" s="1"/>
  <c r="T384" i="1" a="1"/>
  <c r="T384" i="1" s="1"/>
  <c r="T379" i="1" a="1"/>
  <c r="T379" i="1" s="1"/>
  <c r="H253" i="1"/>
  <c r="C15" i="180" s="1"/>
  <c r="U247" i="1" a="1"/>
  <c r="U247" i="1" s="1"/>
  <c r="R430" i="1" a="1"/>
  <c r="R430" i="1" s="1"/>
  <c r="I94" i="165" s="1"/>
  <c r="O381" i="1" a="1"/>
  <c r="O381" i="1" s="1"/>
  <c r="F80" i="165" s="1"/>
  <c r="I385" i="1" a="1"/>
  <c r="I385" i="1" s="1"/>
  <c r="C84" i="165" s="1"/>
  <c r="U377" i="1" a="1"/>
  <c r="U377" i="1" s="1"/>
  <c r="Q253" i="1" a="1"/>
  <c r="Q253" i="1" s="1"/>
  <c r="N249" i="1" a="1"/>
  <c r="N249" i="1" s="1"/>
  <c r="X249" i="1" s="1" a="1"/>
  <c r="X249" i="1" s="1"/>
  <c r="E11" i="180" s="1"/>
  <c r="N432" i="1" a="1"/>
  <c r="N432" i="1" s="1"/>
  <c r="X432" i="1" s="1" a="1"/>
  <c r="X432" i="1" s="1"/>
  <c r="R379" i="1" a="1"/>
  <c r="R379" i="1" s="1"/>
  <c r="I78" i="165" s="1"/>
  <c r="S457" i="1" a="1"/>
  <c r="S457" i="1" s="1"/>
  <c r="J124" i="165" s="1"/>
  <c r="N384" i="1" a="1"/>
  <c r="N384" i="1" s="1"/>
  <c r="X384" i="1" s="1" a="1"/>
  <c r="X384" i="1" s="1"/>
  <c r="T378" i="1" a="1"/>
  <c r="T378" i="1" s="1"/>
  <c r="U371" i="1" a="1"/>
  <c r="U371" i="1" s="1"/>
  <c r="V249" i="1" a="1"/>
  <c r="V249" i="1" s="1"/>
  <c r="F11" i="180" s="1"/>
  <c r="H243" i="1"/>
  <c r="Q252" i="1" a="1"/>
  <c r="Q252" i="1" s="1"/>
  <c r="T245" i="1" a="1"/>
  <c r="T245" i="1" s="1"/>
  <c r="S250" i="1" a="1"/>
  <c r="S250" i="1" s="1"/>
  <c r="H245" i="1"/>
  <c r="C7" i="180" s="1"/>
  <c r="R376" i="1" a="1"/>
  <c r="R376" i="1" s="1"/>
  <c r="I75" i="165" s="1"/>
  <c r="N393" i="1" a="1"/>
  <c r="N393" i="1" s="1"/>
  <c r="X393" i="1" s="1" a="1"/>
  <c r="X393" i="1" s="1"/>
  <c r="S431" i="1" a="1"/>
  <c r="S431" i="1" s="1"/>
  <c r="J95" i="165" s="1"/>
  <c r="O375" i="1" a="1"/>
  <c r="O375" i="1" s="1"/>
  <c r="F74" i="165" s="1"/>
  <c r="I251" i="1" a="1"/>
  <c r="I251" i="1" s="1"/>
  <c r="P245" i="1" a="1"/>
  <c r="P245" i="1" s="1"/>
  <c r="N245" i="1" a="1"/>
  <c r="N245" i="1" s="1"/>
  <c r="X245" i="1" s="1" a="1"/>
  <c r="X245" i="1" s="1"/>
  <c r="E7" i="180" s="1"/>
  <c r="R251" i="1" a="1"/>
  <c r="R251" i="1" s="1"/>
  <c r="G13" i="180" s="1"/>
  <c r="N375" i="1" a="1"/>
  <c r="N375" i="1" s="1"/>
  <c r="X375" i="1" s="1" a="1"/>
  <c r="X375" i="1" s="1"/>
  <c r="H251" i="1"/>
  <c r="C13" i="180" s="1"/>
  <c r="P243" i="1" a="1"/>
  <c r="P243" i="1" s="1"/>
  <c r="S246" i="1" a="1"/>
  <c r="S246" i="1" s="1"/>
  <c r="Q244" i="1" a="1"/>
  <c r="Q244" i="1" s="1"/>
  <c r="N371" i="1" a="1"/>
  <c r="N371" i="1" s="1"/>
  <c r="X371" i="1" s="1" a="1"/>
  <c r="X371" i="1" s="1"/>
  <c r="I253" i="1" a="1"/>
  <c r="I253" i="1" s="1"/>
  <c r="O457" i="1" a="1"/>
  <c r="O457" i="1" s="1"/>
  <c r="F124" i="165" s="1"/>
  <c r="S451" i="1" a="1"/>
  <c r="S451" i="1" s="1"/>
  <c r="J118" i="165" s="1"/>
  <c r="T439" i="1" a="1"/>
  <c r="T439" i="1" s="1"/>
  <c r="W458" i="1" a="1"/>
  <c r="W458" i="1" s="1"/>
  <c r="S452" i="1" a="1"/>
  <c r="S452" i="1" s="1"/>
  <c r="J119" i="165" s="1"/>
  <c r="P445" i="1" a="1"/>
  <c r="P445" i="1" s="1"/>
  <c r="G112" i="165" s="1"/>
  <c r="Q435" i="1" a="1"/>
  <c r="Q435" i="1" s="1"/>
  <c r="H99" i="165" s="1"/>
  <c r="V459" i="1" a="1"/>
  <c r="V459" i="1" s="1"/>
  <c r="V454" i="1" a="1"/>
  <c r="V454" i="1" s="1"/>
  <c r="N450" i="1" a="1"/>
  <c r="N450" i="1" s="1"/>
  <c r="X450" i="1" s="1" a="1"/>
  <c r="X450" i="1" s="1"/>
  <c r="N441" i="1" a="1"/>
  <c r="N441" i="1" s="1"/>
  <c r="X441" i="1" s="1" a="1"/>
  <c r="X441" i="1" s="1"/>
  <c r="W435" i="1" a="1"/>
  <c r="W435" i="1" s="1"/>
  <c r="O459" i="1" a="1"/>
  <c r="O459" i="1" s="1"/>
  <c r="F126" i="165" s="1"/>
  <c r="P456" i="1" a="1"/>
  <c r="P456" i="1" s="1"/>
  <c r="G123" i="165" s="1"/>
  <c r="N451" i="1" a="1"/>
  <c r="N451" i="1" s="1"/>
  <c r="X451" i="1" s="1" a="1"/>
  <c r="X451" i="1" s="1"/>
  <c r="T441" i="1" a="1"/>
  <c r="T441" i="1" s="1"/>
  <c r="T436" i="1" a="1"/>
  <c r="T436" i="1" s="1"/>
  <c r="I432" i="1" a="1"/>
  <c r="I432" i="1" s="1"/>
  <c r="C96" i="165" s="1"/>
  <c r="U455" i="1" a="1"/>
  <c r="U455" i="1" s="1"/>
  <c r="W448" i="1" a="1"/>
  <c r="W448" i="1" s="1"/>
  <c r="V439" i="1" a="1"/>
  <c r="V439" i="1" s="1"/>
  <c r="N460" i="1" a="1"/>
  <c r="N460" i="1" s="1"/>
  <c r="X460" i="1" s="1" a="1"/>
  <c r="X460" i="1" s="1"/>
  <c r="I455" i="1" a="1"/>
  <c r="I455" i="1" s="1"/>
  <c r="C122" i="165" s="1"/>
  <c r="P449" i="1" a="1"/>
  <c r="P449" i="1" s="1"/>
  <c r="G116" i="165" s="1"/>
  <c r="N440" i="1" a="1"/>
  <c r="N440" i="1" s="1"/>
  <c r="X440" i="1" s="1" a="1"/>
  <c r="X440" i="1" s="1"/>
  <c r="R433" i="1" a="1"/>
  <c r="R433" i="1" s="1"/>
  <c r="I97" i="165" s="1"/>
  <c r="T435" i="1" a="1"/>
  <c r="T435" i="1" s="1"/>
  <c r="O385" i="1" a="1"/>
  <c r="O385" i="1" s="1"/>
  <c r="F84" i="165" s="1"/>
  <c r="U441" i="1" a="1"/>
  <c r="U441" i="1" s="1"/>
  <c r="W427" i="1" a="1"/>
  <c r="W427" i="1" s="1"/>
  <c r="N385" i="1" a="1"/>
  <c r="N385" i="1" s="1"/>
  <c r="X385" i="1" s="1" a="1"/>
  <c r="X385" i="1" s="1"/>
  <c r="E4" i="154" s="1"/>
  <c r="P441" i="1" a="1"/>
  <c r="P441" i="1" s="1"/>
  <c r="G105" i="165" s="1"/>
  <c r="S429" i="1" a="1"/>
  <c r="S429" i="1" s="1"/>
  <c r="J93" i="165" s="1"/>
  <c r="O446" i="1" a="1"/>
  <c r="O446" i="1" s="1"/>
  <c r="F113" i="165" s="1"/>
  <c r="R429" i="1" a="1"/>
  <c r="R429" i="1" s="1"/>
  <c r="I93" i="165" s="1"/>
  <c r="N396" i="1" a="1"/>
  <c r="N396" i="1" s="1"/>
  <c r="X396" i="1" s="1" a="1"/>
  <c r="X396" i="1" s="1"/>
  <c r="S433" i="1" a="1"/>
  <c r="S433" i="1" s="1"/>
  <c r="J97" i="165" s="1"/>
  <c r="V457" i="1" a="1"/>
  <c r="V457" i="1" s="1"/>
  <c r="P430" i="1" a="1"/>
  <c r="P430" i="1" s="1"/>
  <c r="G94" i="165" s="1"/>
  <c r="O455" i="1" a="1"/>
  <c r="O455" i="1" s="1"/>
  <c r="F122" i="165" s="1"/>
  <c r="I384" i="1" a="1"/>
  <c r="I384" i="1" s="1"/>
  <c r="C83" i="165" s="1"/>
  <c r="R378" i="1" a="1"/>
  <c r="R378" i="1" s="1"/>
  <c r="I77" i="165" s="1"/>
  <c r="P252" i="1" a="1"/>
  <c r="P252" i="1" s="1"/>
  <c r="N247" i="1" a="1"/>
  <c r="N247" i="1" s="1"/>
  <c r="X247" i="1" s="1" a="1"/>
  <c r="X247" i="1" s="1"/>
  <c r="E9" i="180" s="1"/>
  <c r="N428" i="1" a="1"/>
  <c r="N428" i="1" s="1"/>
  <c r="X428" i="1" s="1" a="1"/>
  <c r="X428" i="1" s="1"/>
  <c r="N379" i="1" a="1"/>
  <c r="N379" i="1" s="1"/>
  <c r="X379" i="1" s="1" a="1"/>
  <c r="X379" i="1" s="1"/>
  <c r="I433" i="1" a="1"/>
  <c r="I433" i="1" s="1"/>
  <c r="C97" i="165" s="1"/>
  <c r="R384" i="1" a="1"/>
  <c r="R384" i="1" s="1"/>
  <c r="I83" i="165" s="1"/>
  <c r="O377" i="1" a="1"/>
  <c r="O377" i="1" s="1"/>
  <c r="F76" i="165" s="1"/>
  <c r="T248" i="1" a="1"/>
  <c r="T248" i="1" s="1"/>
  <c r="W429" i="1" a="1"/>
  <c r="W429" i="1" s="1"/>
  <c r="I379" i="1" a="1"/>
  <c r="I379" i="1" s="1"/>
  <c r="C78" i="165" s="1"/>
  <c r="Q448" i="1" a="1"/>
  <c r="Q448" i="1" s="1"/>
  <c r="H115" i="165" s="1"/>
  <c r="U383" i="1" a="1"/>
  <c r="U383" i="1" s="1"/>
  <c r="N378" i="1" a="1"/>
  <c r="N378" i="1" s="1"/>
  <c r="X378" i="1" s="1" a="1"/>
  <c r="X378" i="1" s="1"/>
  <c r="P371" i="1" a="1"/>
  <c r="P371" i="1" s="1"/>
  <c r="G70" i="165" s="1"/>
  <c r="P382" i="1" a="1"/>
  <c r="P382" i="1" s="1"/>
  <c r="G81" i="165" s="1"/>
  <c r="O370" i="1" a="1"/>
  <c r="O370" i="1" s="1"/>
  <c r="F69" i="165" s="1"/>
  <c r="U437" i="1" a="1"/>
  <c r="U437" i="1" s="1"/>
  <c r="Q251" i="1" a="1"/>
  <c r="Q251" i="1" s="1"/>
  <c r="I245" i="1" a="1"/>
  <c r="I245" i="1" s="1"/>
  <c r="U249" i="1" a="1"/>
  <c r="U249" i="1" s="1"/>
  <c r="O244" i="1" a="1"/>
  <c r="O244" i="1" s="1"/>
  <c r="J252" i="1"/>
  <c r="D14" i="180" s="1"/>
  <c r="U380" i="1" a="1"/>
  <c r="U380" i="1" s="1"/>
  <c r="N419" i="1" a="1"/>
  <c r="N419" i="1" s="1"/>
  <c r="X419" i="1" s="1" a="1"/>
  <c r="X419" i="1" s="1"/>
  <c r="P374" i="1" a="1"/>
  <c r="P374" i="1" s="1"/>
  <c r="G73" i="165" s="1"/>
  <c r="O250" i="1" a="1"/>
  <c r="O250" i="1" s="1"/>
  <c r="T244" i="1" a="1"/>
  <c r="T244" i="1" s="1"/>
  <c r="O243" i="1" a="1"/>
  <c r="O243" i="1" s="1"/>
  <c r="H250" i="1"/>
  <c r="C12" i="180" s="1"/>
  <c r="U450" i="1" a="1"/>
  <c r="U450" i="1" s="1"/>
  <c r="O374" i="1" a="1"/>
  <c r="O374" i="1" s="1"/>
  <c r="F73" i="165" s="1"/>
  <c r="J250" i="1"/>
  <c r="D12" i="180" s="1"/>
  <c r="U429" i="1" a="1"/>
  <c r="U429" i="1" s="1"/>
  <c r="R244" i="1" a="1"/>
  <c r="R244" i="1" s="1"/>
  <c r="G6" i="180" s="1"/>
  <c r="T375" i="1" a="1"/>
  <c r="T375" i="1" s="1"/>
  <c r="U456" i="1" a="1"/>
  <c r="U456" i="1" s="1"/>
  <c r="Q450" i="1" a="1"/>
  <c r="Q450" i="1" s="1"/>
  <c r="H117" i="165" s="1"/>
  <c r="T438" i="1" a="1"/>
  <c r="T438" i="1" s="1"/>
  <c r="Q432" i="1" a="1"/>
  <c r="Q432" i="1" s="1"/>
  <c r="H96" i="165" s="1"/>
  <c r="O458" i="1" a="1"/>
  <c r="O458" i="1" s="1"/>
  <c r="F125" i="165" s="1"/>
  <c r="Q451" i="1" a="1"/>
  <c r="Q451" i="1" s="1"/>
  <c r="H118" i="165" s="1"/>
  <c r="W441" i="1" a="1"/>
  <c r="W441" i="1" s="1"/>
  <c r="P459" i="1" a="1"/>
  <c r="P459" i="1" s="1"/>
  <c r="G126" i="165" s="1"/>
  <c r="N454" i="1" a="1"/>
  <c r="N454" i="1" s="1"/>
  <c r="X454" i="1" s="1" a="1"/>
  <c r="X454" i="1" s="1"/>
  <c r="T449" i="1" a="1"/>
  <c r="T449" i="1" s="1"/>
  <c r="R440" i="1" a="1"/>
  <c r="R440" i="1" s="1"/>
  <c r="I104" i="165" s="1"/>
  <c r="P435" i="1" a="1"/>
  <c r="P435" i="1" s="1"/>
  <c r="G99" i="165" s="1"/>
  <c r="U458" i="1" a="1"/>
  <c r="U458" i="1" s="1"/>
  <c r="V455" i="1" a="1"/>
  <c r="V455" i="1" s="1"/>
  <c r="T450" i="1" a="1"/>
  <c r="T450" i="1" s="1"/>
  <c r="W440" i="1" a="1"/>
  <c r="W440" i="1" s="1"/>
  <c r="U435" i="1" a="1"/>
  <c r="U435" i="1" s="1"/>
  <c r="U460" i="1" a="1"/>
  <c r="U460" i="1" s="1"/>
  <c r="S454" i="1" a="1"/>
  <c r="S454" i="1" s="1"/>
  <c r="J121" i="165" s="1"/>
  <c r="O448" i="1" a="1"/>
  <c r="O448" i="1" s="1"/>
  <c r="F115" i="165" s="1"/>
  <c r="O439" i="1" a="1"/>
  <c r="O439" i="1" s="1"/>
  <c r="F103" i="165" s="1"/>
  <c r="S459" i="1" a="1"/>
  <c r="S459" i="1" s="1"/>
  <c r="J126" i="165" s="1"/>
  <c r="R454" i="1" a="1"/>
  <c r="R454" i="1" s="1"/>
  <c r="I121" i="165" s="1"/>
  <c r="V448" i="1" a="1"/>
  <c r="V448" i="1" s="1"/>
  <c r="U439" i="1" a="1"/>
  <c r="U439" i="1" s="1"/>
  <c r="R432" i="1" a="1"/>
  <c r="R432" i="1" s="1"/>
  <c r="I96" i="165" s="1"/>
  <c r="O434" i="1" a="1"/>
  <c r="O434" i="1" s="1"/>
  <c r="F98" i="165" s="1"/>
  <c r="U384" i="1" a="1"/>
  <c r="U384" i="1" s="1"/>
  <c r="Q439" i="1" a="1"/>
  <c r="Q439" i="1" s="1"/>
  <c r="H103" i="165" s="1"/>
  <c r="N420" i="1" a="1"/>
  <c r="N420" i="1" s="1"/>
  <c r="X420" i="1" s="1" a="1"/>
  <c r="X420" i="1" s="1"/>
  <c r="Q383" i="1" a="1"/>
  <c r="Q383" i="1" s="1"/>
  <c r="H82" i="165" s="1"/>
  <c r="I439" i="1" a="1"/>
  <c r="I439" i="1" s="1"/>
  <c r="C103" i="165" s="1"/>
  <c r="Q428" i="1" a="1"/>
  <c r="Q428" i="1" s="1"/>
  <c r="H92" i="165" s="1"/>
  <c r="I441" i="1" a="1"/>
  <c r="I441" i="1" s="1"/>
  <c r="C105" i="165" s="1"/>
  <c r="I44" i="180" s="1"/>
  <c r="P428" i="1" a="1"/>
  <c r="P428" i="1" s="1"/>
  <c r="G92" i="165" s="1"/>
  <c r="I456" i="1" a="1"/>
  <c r="I456" i="1" s="1"/>
  <c r="C123" i="165" s="1"/>
  <c r="P432" i="1" a="1"/>
  <c r="P432" i="1" s="1"/>
  <c r="G96" i="165" s="1"/>
  <c r="R455" i="1" a="1"/>
  <c r="R455" i="1" s="1"/>
  <c r="I122" i="165" s="1"/>
  <c r="V429" i="1" a="1"/>
  <c r="V429" i="1" s="1"/>
  <c r="N445" i="1" a="1"/>
  <c r="N445" i="1" s="1"/>
  <c r="X445" i="1" s="1" a="1"/>
  <c r="X445" i="1" s="1"/>
  <c r="S383" i="1" a="1"/>
  <c r="S383" i="1" s="1"/>
  <c r="J82" i="165" s="1"/>
  <c r="P377" i="1" a="1"/>
  <c r="P377" i="1" s="1"/>
  <c r="G76" i="165" s="1"/>
  <c r="U251" i="1" a="1"/>
  <c r="U251" i="1" s="1"/>
  <c r="T246" i="1" a="1"/>
  <c r="T246" i="1" s="1"/>
  <c r="N400" i="1" a="1"/>
  <c r="N400" i="1" s="1"/>
  <c r="X400" i="1" s="1" a="1"/>
  <c r="X400" i="1" s="1"/>
  <c r="Q378" i="1" a="1"/>
  <c r="Q378" i="1" s="1"/>
  <c r="H77" i="165" s="1"/>
  <c r="I428" i="1" a="1"/>
  <c r="I428" i="1" s="1"/>
  <c r="C92" i="165" s="1"/>
  <c r="P383" i="1" a="1"/>
  <c r="P383" i="1" s="1"/>
  <c r="G82" i="165" s="1"/>
  <c r="N376" i="1" a="1"/>
  <c r="N376" i="1" s="1"/>
  <c r="X376" i="1" s="1" a="1"/>
  <c r="X376" i="1" s="1"/>
  <c r="N252" i="1" a="1"/>
  <c r="N252" i="1" s="1"/>
  <c r="X252" i="1" s="1" a="1"/>
  <c r="X252" i="1" s="1"/>
  <c r="E14" i="180" s="1"/>
  <c r="N248" i="1" a="1"/>
  <c r="N248" i="1" s="1"/>
  <c r="X248" i="1" s="1" a="1"/>
  <c r="X248" i="1" s="1"/>
  <c r="E10" i="180" s="1"/>
  <c r="T427" i="1" a="1"/>
  <c r="T427" i="1" s="1"/>
  <c r="P378" i="1" a="1"/>
  <c r="P378" i="1" s="1"/>
  <c r="G77" i="165" s="1"/>
  <c r="V435" i="1" a="1"/>
  <c r="V435" i="1" s="1"/>
  <c r="N383" i="1" a="1"/>
  <c r="N383" i="1" s="1"/>
  <c r="X383" i="1" s="1" a="1"/>
  <c r="X383" i="1" s="1"/>
  <c r="H76" i="165"/>
  <c r="T253" i="1" a="1"/>
  <c r="T253" i="1" s="1"/>
  <c r="Q373" i="1" a="1"/>
  <c r="Q373" i="1" s="1"/>
  <c r="H72" i="165" s="1"/>
  <c r="P249" i="1" a="1"/>
  <c r="P249" i="1" s="1"/>
  <c r="U428" i="1" a="1"/>
  <c r="U428" i="1" s="1"/>
  <c r="U250" i="1" a="1"/>
  <c r="U250" i="1" s="1"/>
  <c r="P244" i="1" a="1"/>
  <c r="P244" i="1" s="1"/>
  <c r="J249" i="1"/>
  <c r="D11" i="180" s="1"/>
  <c r="T243" i="1" a="1"/>
  <c r="T243" i="1" s="1"/>
  <c r="I249" i="1" a="1"/>
  <c r="I249" i="1" s="1"/>
  <c r="U379" i="1" a="1"/>
  <c r="U379" i="1" s="1"/>
  <c r="R385" i="1" a="1"/>
  <c r="R385" i="1" s="1"/>
  <c r="I84" i="165" s="1"/>
  <c r="T373" i="1" a="1"/>
  <c r="T373" i="1" s="1"/>
  <c r="R249" i="1" a="1"/>
  <c r="R249" i="1" s="1"/>
  <c r="G11" i="180" s="1"/>
  <c r="I244" i="1" a="1"/>
  <c r="I244" i="1" s="1"/>
  <c r="N421" i="1" a="1"/>
  <c r="N421" i="1" s="1"/>
  <c r="X421" i="1" s="1" a="1"/>
  <c r="X421" i="1" s="1"/>
  <c r="S248" i="1" a="1"/>
  <c r="S248" i="1" s="1"/>
  <c r="N411" i="1" a="1"/>
  <c r="N411" i="1" s="1"/>
  <c r="X411" i="1" s="1" a="1"/>
  <c r="X411" i="1" s="1"/>
  <c r="R373" i="1" a="1"/>
  <c r="R373" i="1" s="1"/>
  <c r="I72" i="165" s="1"/>
  <c r="J248" i="1"/>
  <c r="D10" i="180" s="1"/>
  <c r="N392" i="1" a="1"/>
  <c r="N392" i="1" s="1"/>
  <c r="X392" i="1" s="1" a="1"/>
  <c r="X392" i="1" s="1"/>
  <c r="U445" i="1" a="1"/>
  <c r="U445" i="1" s="1"/>
  <c r="N253" i="1" a="1"/>
  <c r="N253" i="1" s="1"/>
  <c r="X253" i="1" s="1" a="1"/>
  <c r="X253" i="1" s="1"/>
  <c r="E15" i="180" s="1"/>
  <c r="R243" i="1" a="1"/>
  <c r="R243" i="1" s="1"/>
  <c r="G5" i="180" s="1"/>
  <c r="P375" i="1" a="1"/>
  <c r="P375" i="1" s="1"/>
  <c r="G74" i="165" s="1"/>
  <c r="Q250" i="1" a="1"/>
  <c r="Q250" i="1" s="1"/>
  <c r="S455" i="1" a="1"/>
  <c r="S455" i="1" s="1"/>
  <c r="J122" i="165" s="1"/>
  <c r="Q434" i="1" a="1"/>
  <c r="Q434" i="1" s="1"/>
  <c r="H98" i="165" s="1"/>
  <c r="I450" i="1" a="1"/>
  <c r="I450" i="1" s="1"/>
  <c r="C117" i="165" s="1"/>
  <c r="P453" i="1" a="1"/>
  <c r="P453" i="1" s="1"/>
  <c r="G120" i="165" s="1"/>
  <c r="I383" i="1" a="1"/>
  <c r="I383" i="1" s="1"/>
  <c r="C82" i="165" s="1"/>
  <c r="O429" i="1" a="1"/>
  <c r="O429" i="1" s="1"/>
  <c r="F93" i="165" s="1"/>
  <c r="N403" i="1" a="1"/>
  <c r="N403" i="1" s="1"/>
  <c r="X403" i="1" s="1" a="1"/>
  <c r="X403" i="1" s="1"/>
  <c r="O382" i="1" a="1"/>
  <c r="O382" i="1" s="1"/>
  <c r="F81" i="165" s="1"/>
  <c r="R248" i="1" a="1"/>
  <c r="R248" i="1" s="1"/>
  <c r="G10" i="180" s="1"/>
  <c r="N409" i="1" a="1"/>
  <c r="N409" i="1" s="1"/>
  <c r="X409" i="1" s="1" a="1"/>
  <c r="X409" i="1" s="1"/>
  <c r="H249" i="1"/>
  <c r="C11" i="180" s="1"/>
  <c r="W449" i="1" a="1"/>
  <c r="W449" i="1" s="1"/>
  <c r="V458" i="1" a="1"/>
  <c r="V458" i="1" s="1"/>
  <c r="P440" i="1" a="1"/>
  <c r="P440" i="1" s="1"/>
  <c r="G104" i="165" s="1"/>
  <c r="N448" i="1" a="1"/>
  <c r="N448" i="1" s="1"/>
  <c r="X448" i="1" s="1" a="1"/>
  <c r="X448" i="1" s="1"/>
  <c r="W436" i="1" a="1"/>
  <c r="W436" i="1" s="1"/>
  <c r="R434" i="1" a="1"/>
  <c r="R434" i="1" s="1"/>
  <c r="I98" i="165" s="1"/>
  <c r="R382" i="1" a="1"/>
  <c r="R382" i="1" s="1"/>
  <c r="I81" i="165" s="1"/>
  <c r="I377" i="1" a="1"/>
  <c r="I377" i="1" s="1"/>
  <c r="C76" i="165" s="1"/>
  <c r="U245" i="1" a="1"/>
  <c r="U245" i="1" s="1"/>
  <c r="R247" i="1" a="1"/>
  <c r="R247" i="1" s="1"/>
  <c r="G9" i="180" s="1"/>
  <c r="I438" i="1" a="1"/>
  <c r="I438" i="1" s="1"/>
  <c r="C102" i="165" s="1"/>
  <c r="T453" i="1" a="1"/>
  <c r="T453" i="1" s="1"/>
  <c r="N435" i="1" a="1"/>
  <c r="N435" i="1" s="1"/>
  <c r="X435" i="1" s="1" a="1"/>
  <c r="X435" i="1" s="1"/>
  <c r="N439" i="1" a="1"/>
  <c r="N439" i="1" s="1"/>
  <c r="X439" i="1" s="1" a="1"/>
  <c r="X439" i="1" s="1"/>
  <c r="V427" i="1" a="1"/>
  <c r="V427" i="1" s="1"/>
  <c r="T382" i="1" a="1"/>
  <c r="T382" i="1" s="1"/>
  <c r="R375" i="1" a="1"/>
  <c r="R375" i="1" s="1"/>
  <c r="I74" i="165" s="1"/>
  <c r="J253" i="1"/>
  <c r="D15" i="180" s="1"/>
  <c r="T247" i="1" a="1"/>
  <c r="T247" i="1" s="1"/>
  <c r="Q385" i="1" a="1"/>
  <c r="Q385" i="1" s="1"/>
  <c r="H84" i="165" s="1"/>
  <c r="V246" i="1" a="1"/>
  <c r="V246" i="1" s="1"/>
  <c r="F8" i="180" s="1"/>
  <c r="W431" i="1" a="1"/>
  <c r="W431" i="1" s="1"/>
  <c r="I449" i="1" a="1"/>
  <c r="I449" i="1" s="1"/>
  <c r="C116" i="165" s="1"/>
  <c r="O460" i="1" a="1"/>
  <c r="O460" i="1" s="1"/>
  <c r="N457" i="1" a="1"/>
  <c r="N457" i="1" s="1"/>
  <c r="X457" i="1" s="1" a="1"/>
  <c r="X457" i="1" s="1"/>
  <c r="S251" i="1" a="1"/>
  <c r="S251" i="1" s="1"/>
  <c r="P370" i="1" a="1"/>
  <c r="P370" i="1" s="1"/>
  <c r="G69" i="165" s="1"/>
  <c r="U378" i="1" a="1"/>
  <c r="U378" i="1" s="1"/>
  <c r="T371" i="1" a="1"/>
  <c r="T371" i="1" s="1"/>
  <c r="I252" i="1" a="1"/>
  <c r="I252" i="1" s="1"/>
  <c r="N417" i="1" a="1"/>
  <c r="N417" i="1" s="1"/>
  <c r="X417" i="1" s="1" a="1"/>
  <c r="X417" i="1" s="1"/>
  <c r="R439" i="1" a="1"/>
  <c r="R439" i="1" s="1"/>
  <c r="I103" i="165" s="1"/>
  <c r="Q453" i="1" a="1"/>
  <c r="Q453" i="1" s="1"/>
  <c r="H120" i="165" s="1"/>
  <c r="W432" i="1" a="1"/>
  <c r="W432" i="1" s="1"/>
  <c r="P427" i="1" a="1"/>
  <c r="P427" i="1" s="1"/>
  <c r="G91" i="165" s="1"/>
  <c r="N251" i="1" a="1"/>
  <c r="N251" i="1" s="1"/>
  <c r="X251" i="1" s="1" a="1"/>
  <c r="X251" i="1" s="1"/>
  <c r="E13" i="180" s="1"/>
  <c r="S247" i="1" a="1"/>
  <c r="S247" i="1" s="1"/>
  <c r="Q246" i="1" a="1"/>
  <c r="Q246" i="1" s="1"/>
  <c r="U382" i="1" a="1"/>
  <c r="U382" i="1" s="1"/>
  <c r="P247" i="1" a="1"/>
  <c r="P247" i="1" s="1"/>
  <c r="J246" i="1"/>
  <c r="D8" i="180" s="1"/>
  <c r="U457" i="1" a="1"/>
  <c r="U457" i="1" s="1"/>
  <c r="W434" i="1" a="1"/>
  <c r="W434" i="1" s="1"/>
  <c r="U446" i="1" a="1"/>
  <c r="U446" i="1" s="1"/>
  <c r="O384" i="1" a="1"/>
  <c r="O384" i="1" s="1"/>
  <c r="F83" i="165" s="1"/>
  <c r="V453" i="1" a="1"/>
  <c r="V453" i="1" s="1"/>
  <c r="I246" i="1" a="1"/>
  <c r="I246" i="1" s="1"/>
  <c r="N418" i="1" a="1"/>
  <c r="N418" i="1" s="1"/>
  <c r="X418" i="1" s="1" a="1"/>
  <c r="X418" i="1" s="1"/>
  <c r="I371" i="1" a="1"/>
  <c r="I371" i="1" s="1"/>
  <c r="C70" i="165" s="1"/>
  <c r="T383" i="1" a="1"/>
  <c r="T383" i="1" s="1"/>
  <c r="S374" i="1" a="1"/>
  <c r="S374" i="1" s="1"/>
  <c r="J73" i="165" s="1"/>
  <c r="W450" i="1" a="1"/>
  <c r="W450" i="1" s="1"/>
  <c r="V460" i="1" a="1"/>
  <c r="V460" i="1" s="1"/>
  <c r="V438" i="1" a="1"/>
  <c r="V438" i="1" s="1"/>
  <c r="R435" i="1" a="1"/>
  <c r="R435" i="1" s="1"/>
  <c r="I99" i="165" s="1"/>
  <c r="I431" i="1" a="1"/>
  <c r="I431" i="1" s="1"/>
  <c r="C95" i="165" s="1"/>
  <c r="T377" i="1" a="1"/>
  <c r="T377" i="1" s="1"/>
  <c r="W249" i="1" a="1"/>
  <c r="W249" i="1" s="1"/>
  <c r="W248" i="1" a="1"/>
  <c r="W248" i="1" s="1"/>
  <c r="R371" i="1" a="1"/>
  <c r="R371" i="1" s="1"/>
  <c r="I70" i="165" s="1"/>
  <c r="U244" i="1" a="1"/>
  <c r="U244" i="1" s="1"/>
  <c r="O441" i="1" a="1"/>
  <c r="O441" i="1" s="1"/>
  <c r="N455" i="1" a="1"/>
  <c r="N455" i="1" s="1"/>
  <c r="X455" i="1" s="1" a="1"/>
  <c r="X455" i="1" s="1"/>
  <c r="I459" i="1" a="1"/>
  <c r="I459" i="1" s="1"/>
  <c r="C126" i="165" s="1"/>
  <c r="N416" i="1" a="1"/>
  <c r="N416" i="1" s="1"/>
  <c r="X416" i="1" s="1" a="1"/>
  <c r="X416" i="1" s="1"/>
  <c r="N453" i="1" a="1"/>
  <c r="N453" i="1" s="1"/>
  <c r="X453" i="1" s="1" a="1"/>
  <c r="X453" i="1" s="1"/>
  <c r="I378" i="1" a="1"/>
  <c r="I378" i="1" s="1"/>
  <c r="C77" i="165" s="1"/>
  <c r="Q431" i="1" a="1"/>
  <c r="Q431" i="1" s="1"/>
  <c r="H95" i="165" s="1"/>
  <c r="U243" i="1" a="1"/>
  <c r="U243" i="1" s="1"/>
  <c r="Q243" i="1" a="1"/>
  <c r="Q243" i="1" s="1"/>
  <c r="R250" i="1" a="1"/>
  <c r="R250" i="1" s="1"/>
  <c r="G12" i="180" s="1"/>
  <c r="R413" i="1" a="1"/>
  <c r="R413" i="1" s="1"/>
  <c r="O390" i="1" a="1"/>
  <c r="O390" i="1" s="1"/>
  <c r="Q413" i="1" a="1"/>
  <c r="Q413" i="1" s="1"/>
  <c r="Q393" i="1" a="1"/>
  <c r="Q393" i="1" s="1"/>
  <c r="V393" i="1" a="1"/>
  <c r="V393" i="1" s="1"/>
  <c r="V414" i="1" a="1"/>
  <c r="V414" i="1" s="1"/>
  <c r="O395" i="1" a="1"/>
  <c r="O395" i="1" s="1"/>
  <c r="P389" i="1" a="1"/>
  <c r="P389" i="1" s="1"/>
  <c r="P412" i="1" a="1"/>
  <c r="P412" i="1" s="1"/>
  <c r="U392" i="1" a="1"/>
  <c r="U392" i="1" s="1"/>
  <c r="V390" i="1" a="1"/>
  <c r="V390" i="1" s="1"/>
  <c r="W404" i="1" a="1"/>
  <c r="W404" i="1" s="1"/>
  <c r="T408" i="1" a="1"/>
  <c r="T408" i="1" s="1"/>
  <c r="W382" i="1" a="1"/>
  <c r="W382" i="1" s="1"/>
  <c r="V411" i="1" a="1"/>
  <c r="V411" i="1" s="1"/>
  <c r="I392" i="1" a="1"/>
  <c r="I392" i="1" s="1"/>
  <c r="P390" i="1" a="1"/>
  <c r="P390" i="1" s="1"/>
  <c r="V401" i="1" a="1"/>
  <c r="V401" i="1" s="1"/>
  <c r="O392" i="1" a="1"/>
  <c r="O392" i="1" s="1"/>
  <c r="W423" i="1" a="1"/>
  <c r="W423" i="1" s="1"/>
  <c r="O411" i="1" a="1"/>
  <c r="O411" i="1" s="1"/>
  <c r="R390" i="1" a="1"/>
  <c r="R390" i="1" s="1"/>
  <c r="S389" i="1" a="1"/>
  <c r="S389" i="1" s="1"/>
  <c r="Q396" i="1" a="1"/>
  <c r="Q396" i="1" s="1"/>
  <c r="P394" i="1" a="1"/>
  <c r="P394" i="1" s="1"/>
  <c r="U416" i="1" a="1"/>
  <c r="U416" i="1" s="1"/>
  <c r="P401" i="1" a="1"/>
  <c r="P401" i="1" s="1"/>
  <c r="U418" i="1" a="1"/>
  <c r="U418" i="1" s="1"/>
  <c r="O413" i="1" a="1"/>
  <c r="O413" i="1" s="1"/>
  <c r="R414" i="1" a="1"/>
  <c r="R414" i="1" s="1"/>
  <c r="S411" i="1" a="1"/>
  <c r="S411" i="1" s="1"/>
  <c r="V398" i="1" a="1"/>
  <c r="V398" i="1" s="1"/>
  <c r="S414" i="1" a="1"/>
  <c r="S414" i="1" s="1"/>
  <c r="W378" i="1" a="1"/>
  <c r="W378" i="1" s="1"/>
  <c r="P422" i="1" a="1"/>
  <c r="P422" i="1" s="1"/>
  <c r="V370" i="1" a="1"/>
  <c r="V370" i="1" s="1"/>
  <c r="W397" i="1" a="1"/>
  <c r="W397" i="1" s="1"/>
  <c r="U420" i="1" a="1"/>
  <c r="U420" i="1" s="1"/>
  <c r="U409" i="1" a="1"/>
  <c r="U409" i="1" s="1"/>
  <c r="V413" i="1" a="1"/>
  <c r="V413" i="1" s="1"/>
  <c r="Q414" i="1" a="1"/>
  <c r="Q414" i="1" s="1"/>
  <c r="W379" i="1" a="1"/>
  <c r="W379" i="1" s="1"/>
  <c r="Q397" i="1" a="1"/>
  <c r="Q397" i="1" s="1"/>
  <c r="S422" i="1" a="1"/>
  <c r="S422" i="1" s="1"/>
  <c r="O414" i="1" a="1"/>
  <c r="O414" i="1" s="1"/>
  <c r="O389" i="1" a="1"/>
  <c r="O389" i="1" s="1"/>
  <c r="V377" i="1" a="1"/>
  <c r="V377" i="1" s="1"/>
  <c r="O418" i="1" a="1"/>
  <c r="O418" i="1" s="1"/>
  <c r="I419" i="1" a="1"/>
  <c r="I419" i="1" s="1"/>
  <c r="W403" i="1" a="1"/>
  <c r="W403" i="1" s="1"/>
  <c r="W377" i="1" a="1"/>
  <c r="W377" i="1" s="1"/>
  <c r="P419" i="1" a="1"/>
  <c r="P419" i="1" s="1"/>
  <c r="P413" i="1" a="1"/>
  <c r="P413" i="1" s="1"/>
  <c r="V403" i="1" a="1"/>
  <c r="V403" i="1" s="1"/>
  <c r="Q418" i="1" a="1"/>
  <c r="Q418" i="1" s="1"/>
  <c r="P403" i="1" a="1"/>
  <c r="P403" i="1" s="1"/>
  <c r="W373" i="1" a="1"/>
  <c r="W373" i="1" s="1"/>
  <c r="S417" i="1" a="1"/>
  <c r="S417" i="1" s="1"/>
  <c r="V373" i="1" a="1"/>
  <c r="V373" i="1" s="1"/>
  <c r="T412" i="1" a="1"/>
  <c r="T412" i="1" s="1"/>
  <c r="W417" i="1" a="1"/>
  <c r="W417" i="1" s="1"/>
  <c r="W402" i="1" a="1"/>
  <c r="W402" i="1" s="1"/>
  <c r="V421" i="1" a="1"/>
  <c r="V421" i="1" s="1"/>
  <c r="P416" i="1" a="1"/>
  <c r="P416" i="1" s="1"/>
  <c r="I415" i="1" a="1"/>
  <c r="I415" i="1" s="1"/>
  <c r="W390" i="1" a="1"/>
  <c r="W390" i="1" s="1"/>
  <c r="O417" i="1" a="1"/>
  <c r="O417" i="1" s="1"/>
  <c r="W401" i="1" a="1"/>
  <c r="W401" i="1" s="1"/>
  <c r="Q420" i="1" a="1"/>
  <c r="Q420" i="1" s="1"/>
  <c r="T414" i="1" a="1"/>
  <c r="T414" i="1" s="1"/>
  <c r="U422" i="1" a="1"/>
  <c r="U422" i="1" s="1"/>
  <c r="W422" i="1" a="1"/>
  <c r="W422" i="1" s="1"/>
  <c r="O409" i="1" a="1"/>
  <c r="O409" i="1" s="1"/>
  <c r="O422" i="1" a="1"/>
  <c r="O422" i="1" s="1"/>
  <c r="O403" i="1" a="1"/>
  <c r="O403" i="1" s="1"/>
  <c r="R396" i="1" a="1"/>
  <c r="R396" i="1" s="1"/>
  <c r="U402" i="1" a="1"/>
  <c r="U402" i="1" s="1"/>
  <c r="R418" i="1" a="1"/>
  <c r="R418" i="1" s="1"/>
  <c r="R392" i="1" a="1"/>
  <c r="R392" i="1" s="1"/>
  <c r="T401" i="1" a="1"/>
  <c r="T401" i="1" s="1"/>
  <c r="T411" i="1" a="1"/>
  <c r="T411" i="1" s="1"/>
  <c r="W384" i="1" a="1"/>
  <c r="W384" i="1" s="1"/>
  <c r="R403" i="1" a="1"/>
  <c r="R403" i="1" s="1"/>
  <c r="U393" i="1" a="1"/>
  <c r="U393" i="1" s="1"/>
  <c r="Q415" i="1" a="1"/>
  <c r="Q415" i="1" s="1"/>
  <c r="P395" i="1" a="1"/>
  <c r="P395" i="1" s="1"/>
  <c r="S413" i="1" a="1"/>
  <c r="S413" i="1" s="1"/>
  <c r="T415" i="1" a="1"/>
  <c r="T415" i="1" s="1"/>
  <c r="I409" i="1" a="1"/>
  <c r="I409" i="1" s="1"/>
  <c r="I398" i="1" a="1"/>
  <c r="I398" i="1" s="1"/>
  <c r="O423" i="1" a="1"/>
  <c r="O423" i="1" s="1"/>
  <c r="Q411" i="1" a="1"/>
  <c r="Q411" i="1" s="1"/>
  <c r="U390" i="1" a="1"/>
  <c r="U390" i="1" s="1"/>
  <c r="W421" i="1" a="1"/>
  <c r="W421" i="1" s="1"/>
  <c r="S408" i="1" a="1"/>
  <c r="S408" i="1" s="1"/>
  <c r="V381" i="1" a="1"/>
  <c r="V381" i="1" s="1"/>
  <c r="Q422" i="1" a="1"/>
  <c r="Q422" i="1" s="1"/>
  <c r="I411" i="1" a="1"/>
  <c r="I411" i="1" s="1"/>
  <c r="I413" i="1" a="1"/>
  <c r="I413" i="1" s="1"/>
  <c r="U398" i="1" a="1"/>
  <c r="U398" i="1" s="1"/>
  <c r="U411" i="1" a="1"/>
  <c r="U411" i="1" s="1"/>
  <c r="T400" i="1" a="1"/>
  <c r="T400" i="1" s="1"/>
  <c r="V395" i="1" a="1"/>
  <c r="V395" i="1" s="1"/>
  <c r="Q389" i="1" a="1"/>
  <c r="Q389" i="1" s="1"/>
  <c r="R412" i="1" a="1"/>
  <c r="R412" i="1" s="1"/>
  <c r="T397" i="1" a="1"/>
  <c r="T397" i="1" s="1"/>
  <c r="S409" i="1" a="1"/>
  <c r="S409" i="1" s="1"/>
  <c r="T399" i="1" a="1"/>
  <c r="T399" i="1" s="1"/>
  <c r="I394" i="1" a="1"/>
  <c r="I394" i="1" s="1"/>
  <c r="I393" i="1" a="1"/>
  <c r="I393" i="1" s="1"/>
  <c r="P411" i="1" a="1"/>
  <c r="P411" i="1" s="1"/>
  <c r="U395" i="1" a="1"/>
  <c r="U395" i="1" s="1"/>
  <c r="R408" i="1" a="1"/>
  <c r="R408" i="1" s="1"/>
  <c r="S398" i="1" a="1"/>
  <c r="S398" i="1" s="1"/>
  <c r="P392" i="1" a="1"/>
  <c r="P392" i="1" s="1"/>
  <c r="W376" i="1" a="1"/>
  <c r="W376" i="1" s="1"/>
  <c r="V409" i="1" a="1"/>
  <c r="V409" i="1" s="1"/>
  <c r="V422" i="1" a="1"/>
  <c r="V422" i="1" s="1"/>
  <c r="R404" i="1" a="1"/>
  <c r="R404" i="1" s="1"/>
  <c r="R397" i="1" a="1"/>
  <c r="R397" i="1" s="1"/>
  <c r="V383" i="1" a="1"/>
  <c r="V383" i="1" s="1"/>
  <c r="V415" i="1" a="1"/>
  <c r="V415" i="1" s="1"/>
  <c r="P399" i="1" a="1"/>
  <c r="P399" i="1" s="1"/>
  <c r="W415" i="1" a="1"/>
  <c r="W415" i="1" s="1"/>
  <c r="W380" i="1" a="1"/>
  <c r="W380" i="1" s="1"/>
  <c r="V379" i="1" a="1"/>
  <c r="V379" i="1" s="1"/>
  <c r="V371" i="1" a="1"/>
  <c r="V371" i="1" s="1"/>
  <c r="P409" i="1" a="1"/>
  <c r="P409" i="1" s="1"/>
  <c r="V420" i="1" a="1"/>
  <c r="V420" i="1" s="1"/>
  <c r="R393" i="1" a="1"/>
  <c r="R393" i="1" s="1"/>
  <c r="W393" i="1" a="1"/>
  <c r="W393" i="1" s="1"/>
  <c r="V384" i="1" a="1"/>
  <c r="V384" i="1" s="1"/>
  <c r="U412" i="1" a="1"/>
  <c r="U412" i="1" s="1"/>
  <c r="I422" i="1" a="1"/>
  <c r="I422" i="1" s="1"/>
  <c r="I408" i="1" a="1"/>
  <c r="I408" i="1" s="1"/>
  <c r="W385" i="1" a="1"/>
  <c r="W385" i="1" s="1"/>
  <c r="U397" i="1" a="1"/>
  <c r="U397" i="1" s="1"/>
  <c r="O408" i="1" a="1"/>
  <c r="O408" i="1" s="1"/>
  <c r="S399" i="1" a="1"/>
  <c r="S399" i="1" s="1"/>
  <c r="V423" i="1" a="1"/>
  <c r="V423" i="1" s="1"/>
  <c r="W381" i="1" a="1"/>
  <c r="W381" i="1" s="1"/>
  <c r="W394" i="1" a="1"/>
  <c r="W394" i="1" s="1"/>
  <c r="W420" i="1" a="1"/>
  <c r="W420" i="1" s="1"/>
  <c r="W412" i="1" a="1"/>
  <c r="W412" i="1" s="1"/>
  <c r="Q404" i="1" a="1"/>
  <c r="Q404" i="1" s="1"/>
  <c r="O416" i="1" a="1"/>
  <c r="O416" i="1" s="1"/>
  <c r="Q421" i="1" a="1"/>
  <c r="Q421" i="1" s="1"/>
  <c r="Q402" i="1" a="1"/>
  <c r="Q402" i="1" s="1"/>
  <c r="O419" i="1" a="1"/>
  <c r="O419" i="1" s="1"/>
  <c r="T394" i="1" a="1"/>
  <c r="T394" i="1" s="1"/>
  <c r="V392" i="1" a="1"/>
  <c r="V392" i="1" s="1"/>
  <c r="W371" i="1" a="1"/>
  <c r="W371" i="1" s="1"/>
  <c r="V418" i="1" a="1"/>
  <c r="V418" i="1" s="1"/>
  <c r="Q401" i="1" a="1"/>
  <c r="Q401" i="1" s="1"/>
  <c r="T418" i="1" a="1"/>
  <c r="T418" i="1" s="1"/>
  <c r="Q390" i="1" a="1"/>
  <c r="Q390" i="1" s="1"/>
  <c r="S390" i="1" a="1"/>
  <c r="S390" i="1" s="1"/>
  <c r="I412" i="1" a="1"/>
  <c r="I412" i="1" s="1"/>
  <c r="U417" i="1" a="1"/>
  <c r="U417" i="1" s="1"/>
  <c r="Q400" i="1" a="1"/>
  <c r="Q400" i="1" s="1"/>
  <c r="I418" i="1" a="1"/>
  <c r="I418" i="1" s="1"/>
  <c r="V389" i="1" a="1"/>
  <c r="V389" i="1" s="1"/>
  <c r="I390" i="1" a="1"/>
  <c r="I390" i="1" s="1"/>
  <c r="S396" i="1" a="1"/>
  <c r="S396" i="1" s="1"/>
  <c r="V416" i="1" a="1"/>
  <c r="V416" i="1" s="1"/>
  <c r="W399" i="1" a="1"/>
  <c r="W399" i="1" s="1"/>
  <c r="Q416" i="1" a="1"/>
  <c r="Q416" i="1" s="1"/>
  <c r="V385" i="1" a="1"/>
  <c r="V385" i="1" s="1"/>
  <c r="V382" i="1" a="1"/>
  <c r="V382" i="1" s="1"/>
  <c r="S403" i="1" a="1"/>
  <c r="S403" i="1" s="1"/>
  <c r="T419" i="1" a="1"/>
  <c r="T419" i="1" s="1"/>
  <c r="W392" i="1" a="1"/>
  <c r="W392" i="1" s="1"/>
  <c r="T402" i="1" a="1"/>
  <c r="T402" i="1" s="1"/>
  <c r="V412" i="1" a="1"/>
  <c r="V412" i="1" s="1"/>
  <c r="R395" i="1" a="1"/>
  <c r="R395" i="1" s="1"/>
  <c r="V397" i="1" a="1"/>
  <c r="V397" i="1" s="1"/>
  <c r="P398" i="1" a="1"/>
  <c r="P398" i="1" s="1"/>
  <c r="O421" i="1" a="1"/>
  <c r="O421" i="1" s="1"/>
  <c r="W411" i="1" a="1"/>
  <c r="W411" i="1" s="1"/>
  <c r="O415" i="1" a="1"/>
  <c r="O415" i="1" s="1"/>
  <c r="U399" i="1" a="1"/>
  <c r="U399" i="1" s="1"/>
  <c r="W374" i="1" a="1"/>
  <c r="W374" i="1" s="1"/>
  <c r="P414" i="1" a="1"/>
  <c r="P414" i="1" s="1"/>
  <c r="O400" i="1" a="1"/>
  <c r="O400" i="1" s="1"/>
  <c r="I414" i="1" a="1"/>
  <c r="I414" i="1" s="1"/>
  <c r="U389" i="1" a="1"/>
  <c r="U389" i="1" s="1"/>
  <c r="T413" i="1" a="1"/>
  <c r="T413" i="1" s="1"/>
  <c r="W383" i="1" a="1"/>
  <c r="W383" i="1" s="1"/>
  <c r="R400" i="1" a="1"/>
  <c r="R400" i="1" s="1"/>
  <c r="S397" i="1" a="1"/>
  <c r="S397" i="1" s="1"/>
  <c r="W398" i="1" a="1"/>
  <c r="W398" i="1" s="1"/>
  <c r="T422" i="1" a="1"/>
  <c r="T422" i="1" s="1"/>
  <c r="O398" i="1" a="1"/>
  <c r="O398" i="1" s="1"/>
  <c r="O397" i="1" a="1"/>
  <c r="O397" i="1" s="1"/>
  <c r="Q409" i="1" a="1"/>
  <c r="Q409" i="1" s="1"/>
  <c r="R423" i="1" a="1"/>
  <c r="R423" i="1" s="1"/>
  <c r="W400" i="1" a="1"/>
  <c r="W400" i="1" s="1"/>
  <c r="W396" i="1" a="1"/>
  <c r="W396" i="1" s="1"/>
  <c r="Q423" i="1" a="1"/>
  <c r="Q423" i="1" s="1"/>
  <c r="U396" i="1" a="1"/>
  <c r="U396" i="1" s="1"/>
  <c r="Q408" i="1" a="1"/>
  <c r="Q408" i="1" s="1"/>
  <c r="U421" i="1" a="1"/>
  <c r="U421" i="1" s="1"/>
  <c r="T393" i="1" a="1"/>
  <c r="T393" i="1" s="1"/>
  <c r="Q398" i="1" a="1"/>
  <c r="Q398" i="1" s="1"/>
  <c r="R421" i="1" a="1"/>
  <c r="R421" i="1" s="1"/>
  <c r="R394" i="1" a="1"/>
  <c r="R394" i="1" s="1"/>
  <c r="P404" i="1" a="1"/>
  <c r="P404" i="1" s="1"/>
  <c r="S418" i="1" a="1"/>
  <c r="S418" i="1" s="1"/>
  <c r="R389" i="1" a="1"/>
  <c r="R389" i="1" s="1"/>
  <c r="R399" i="1" a="1"/>
  <c r="R399" i="1" s="1"/>
  <c r="O420" i="1" a="1"/>
  <c r="O420" i="1" s="1"/>
  <c r="P393" i="1" a="1"/>
  <c r="P393" i="1" s="1"/>
  <c r="T403" i="1" a="1"/>
  <c r="T403" i="1" s="1"/>
  <c r="P415" i="1" a="1"/>
  <c r="P415" i="1" s="1"/>
  <c r="U400" i="1" a="1"/>
  <c r="U400" i="1" s="1"/>
  <c r="T396" i="1" a="1"/>
  <c r="T396" i="1" s="1"/>
  <c r="W409" i="1" a="1"/>
  <c r="W409" i="1" s="1"/>
  <c r="P421" i="1" a="1"/>
  <c r="P421" i="1" s="1"/>
  <c r="U394" i="1" a="1"/>
  <c r="U394" i="1" s="1"/>
  <c r="Q394" i="1" a="1"/>
  <c r="Q394" i="1" s="1"/>
  <c r="I389" i="1" a="1"/>
  <c r="I389" i="1" s="1"/>
  <c r="V399" i="1" a="1"/>
  <c r="V399" i="1" s="1"/>
  <c r="S394" i="1" a="1"/>
  <c r="S394" i="1" s="1"/>
  <c r="I416" i="1" a="1"/>
  <c r="I416" i="1" s="1"/>
  <c r="O396" i="1" a="1"/>
  <c r="O396" i="1" s="1"/>
  <c r="I401" i="1" a="1"/>
  <c r="I401" i="1" s="1"/>
  <c r="V376" i="1" a="1"/>
  <c r="V376" i="1" s="1"/>
  <c r="Q419" i="1" a="1"/>
  <c r="Q419" i="1" s="1"/>
  <c r="U404" i="1" a="1"/>
  <c r="U404" i="1" s="1"/>
  <c r="R420" i="1" a="1"/>
  <c r="R420" i="1" s="1"/>
  <c r="O401" i="1" a="1"/>
  <c r="O401" i="1" s="1"/>
  <c r="I400" i="1" a="1"/>
  <c r="I400" i="1" s="1"/>
  <c r="W414" i="1" a="1"/>
  <c r="W414" i="1" s="1"/>
  <c r="P420" i="1" a="1"/>
  <c r="P420" i="1" s="1"/>
  <c r="R398" i="1" a="1"/>
  <c r="R398" i="1" s="1"/>
  <c r="I397" i="1" a="1"/>
  <c r="I397" i="1" s="1"/>
  <c r="I396" i="1" a="1"/>
  <c r="I396" i="1" s="1"/>
  <c r="W416" i="1" a="1"/>
  <c r="W416" i="1" s="1"/>
  <c r="V378" i="1" a="1"/>
  <c r="V378" i="1" s="1"/>
  <c r="W413" i="1" a="1"/>
  <c r="W413" i="1" s="1"/>
  <c r="U414" i="1" a="1"/>
  <c r="U414" i="1" s="1"/>
  <c r="V404" i="1" a="1"/>
  <c r="V404" i="1" s="1"/>
  <c r="T416" i="1" a="1"/>
  <c r="T416" i="1" s="1"/>
  <c r="T423" i="1" a="1"/>
  <c r="T423" i="1" s="1"/>
  <c r="T389" i="1" a="1"/>
  <c r="T389" i="1" s="1"/>
  <c r="V375" i="1" a="1"/>
  <c r="V375" i="1" s="1"/>
  <c r="S392" i="1" a="1"/>
  <c r="S392" i="1" s="1"/>
  <c r="R402" i="1" a="1"/>
  <c r="R402" i="1" s="1"/>
  <c r="R415" i="1" a="1"/>
  <c r="R415" i="1" s="1"/>
  <c r="S420" i="1" a="1"/>
  <c r="S420" i="1" s="1"/>
  <c r="W375" i="1" a="1"/>
  <c r="W375" i="1" s="1"/>
  <c r="W370" i="1" a="1"/>
  <c r="W370" i="1" s="1"/>
  <c r="P397" i="1" a="1"/>
  <c r="P397" i="1" s="1"/>
  <c r="R401" i="1" a="1"/>
  <c r="R401" i="1" s="1"/>
  <c r="U423" i="1" a="1"/>
  <c r="U423" i="1" s="1"/>
  <c r="W418" i="1" a="1"/>
  <c r="W418" i="1" s="1"/>
  <c r="I423" i="1" a="1"/>
  <c r="I423" i="1" s="1"/>
  <c r="U419" i="1" a="1"/>
  <c r="U419" i="1" s="1"/>
  <c r="S401" i="1" a="1"/>
  <c r="S401" i="1" s="1"/>
  <c r="Q399" i="1" a="1"/>
  <c r="Q399" i="1" s="1"/>
  <c r="R422" i="1" a="1"/>
  <c r="R422" i="1" s="1"/>
  <c r="Q417" i="1" a="1"/>
  <c r="Q417" i="1" s="1"/>
  <c r="S421" i="1" a="1"/>
  <c r="S421" i="1" s="1"/>
  <c r="O412" i="1" a="1"/>
  <c r="O412" i="1" s="1"/>
  <c r="S404" i="1" a="1"/>
  <c r="S404" i="1" s="1"/>
  <c r="I395" i="1" a="1"/>
  <c r="I395" i="1" s="1"/>
  <c r="S416" i="1" a="1"/>
  <c r="S416" i="1" s="1"/>
  <c r="O399" i="1" a="1"/>
  <c r="O399" i="1" s="1"/>
  <c r="I402" i="1" a="1"/>
  <c r="I402" i="1" s="1"/>
  <c r="V402" i="1" a="1"/>
  <c r="V402" i="1" s="1"/>
  <c r="U401" i="1" a="1"/>
  <c r="U401" i="1" s="1"/>
  <c r="S415" i="1" a="1"/>
  <c r="S415" i="1" s="1"/>
  <c r="V400" i="1" a="1"/>
  <c r="V400" i="1" s="1"/>
  <c r="U415" i="1" a="1"/>
  <c r="U415" i="1" s="1"/>
  <c r="U403" i="1" a="1"/>
  <c r="U403" i="1" s="1"/>
  <c r="I404" i="1" a="1"/>
  <c r="I404" i="1" s="1"/>
  <c r="P417" i="1" a="1"/>
  <c r="P417" i="1" s="1"/>
  <c r="T390" i="1" a="1"/>
  <c r="T390" i="1" s="1"/>
  <c r="S400" i="1" a="1"/>
  <c r="S400" i="1" s="1"/>
  <c r="R409" i="1" a="1"/>
  <c r="R409" i="1" s="1"/>
  <c r="S393" i="1" a="1"/>
  <c r="S393" i="1" s="1"/>
  <c r="I421" i="1" a="1"/>
  <c r="I421" i="1" s="1"/>
  <c r="V419" i="1" a="1"/>
  <c r="V419" i="1" s="1"/>
  <c r="V396" i="1" a="1"/>
  <c r="V396" i="1" s="1"/>
  <c r="R419" i="1" a="1"/>
  <c r="R419" i="1" s="1"/>
  <c r="T404" i="1" a="1"/>
  <c r="T404" i="1" s="1"/>
  <c r="R411" i="1" a="1"/>
  <c r="R411" i="1" s="1"/>
  <c r="T420" i="1" a="1"/>
  <c r="T420" i="1" s="1"/>
  <c r="W419" i="1" a="1"/>
  <c r="W419" i="1" s="1"/>
  <c r="P396" i="1" a="1"/>
  <c r="P396" i="1" s="1"/>
  <c r="P418" i="1" a="1"/>
  <c r="P418" i="1" s="1"/>
  <c r="Q403" i="1" a="1"/>
  <c r="Q403" i="1" s="1"/>
  <c r="P408" i="1" a="1"/>
  <c r="P408" i="1" s="1"/>
  <c r="R416" i="1" a="1"/>
  <c r="R416" i="1" s="1"/>
  <c r="I420" i="1" a="1"/>
  <c r="I420" i="1" s="1"/>
  <c r="W395" i="1" a="1"/>
  <c r="W395" i="1" s="1"/>
  <c r="T417" i="1" a="1"/>
  <c r="T417" i="1" s="1"/>
  <c r="P402" i="1" a="1"/>
  <c r="P402" i="1" s="1"/>
  <c r="O404" i="1" a="1"/>
  <c r="O404" i="1" s="1"/>
  <c r="Q412" i="1" a="1"/>
  <c r="Q412" i="1" s="1"/>
  <c r="V417" i="1" a="1"/>
  <c r="V417" i="1" s="1"/>
  <c r="Q395" i="1" a="1"/>
  <c r="Q395" i="1" s="1"/>
  <c r="I417" i="1" a="1"/>
  <c r="I417" i="1" s="1"/>
  <c r="P400" i="1" a="1"/>
  <c r="P400" i="1" s="1"/>
  <c r="I403" i="1" a="1"/>
  <c r="I403" i="1" s="1"/>
  <c r="W408" i="1" a="1"/>
  <c r="W408" i="1" s="1"/>
  <c r="V394" i="1" a="1"/>
  <c r="V394" i="1" s="1"/>
  <c r="P423" i="1" a="1"/>
  <c r="P423" i="1" s="1"/>
  <c r="T409" i="1" a="1"/>
  <c r="T409" i="1" s="1"/>
  <c r="W389" i="1" a="1"/>
  <c r="W389" i="1" s="1"/>
  <c r="V380" i="1" a="1"/>
  <c r="V380" i="1" s="1"/>
  <c r="O394" i="1" a="1"/>
  <c r="O394" i="1" s="1"/>
  <c r="T398" i="1" a="1"/>
  <c r="T398" i="1" s="1"/>
  <c r="U408" i="1" a="1"/>
  <c r="U408" i="1" s="1"/>
  <c r="T421" i="1" a="1"/>
  <c r="T421" i="1" s="1"/>
  <c r="O402" i="1" a="1"/>
  <c r="O402" i="1" s="1"/>
  <c r="T395" i="1" a="1"/>
  <c r="T395" i="1" s="1"/>
  <c r="V374" i="1" a="1"/>
  <c r="V374" i="1" s="1"/>
  <c r="V408" i="1" a="1"/>
  <c r="V408" i="1" s="1"/>
  <c r="S419" i="1" a="1"/>
  <c r="S419" i="1" s="1"/>
  <c r="T392" i="1" a="1"/>
  <c r="T392" i="1" s="1"/>
  <c r="O393" i="1" a="1"/>
  <c r="O393" i="1" s="1"/>
  <c r="S423" i="1" a="1"/>
  <c r="S423" i="1" s="1"/>
  <c r="R417" i="1" a="1"/>
  <c r="R417" i="1" s="1"/>
  <c r="I399" i="1" a="1"/>
  <c r="I399" i="1" s="1"/>
  <c r="U413" i="1" a="1"/>
  <c r="U413" i="1" s="1"/>
  <c r="S412" i="1" a="1"/>
  <c r="S412" i="1" s="1"/>
  <c r="S395" i="1" a="1"/>
  <c r="S395" i="1" s="1"/>
  <c r="S402" i="1" a="1"/>
  <c r="S402" i="1" s="1"/>
  <c r="Q392" i="1" a="1"/>
  <c r="Q392" i="1" s="1"/>
  <c r="J421" i="1"/>
  <c r="J402" i="1"/>
  <c r="J383" i="1"/>
  <c r="D82" i="165" s="1"/>
  <c r="H421" i="1"/>
  <c r="H458" i="1"/>
  <c r="B125" i="165" s="1"/>
  <c r="H383" i="1"/>
  <c r="B82" i="165" s="1"/>
  <c r="J439" i="1"/>
  <c r="D103" i="165" s="1"/>
  <c r="H439" i="1"/>
  <c r="B103" i="165" s="1"/>
  <c r="J458" i="1"/>
  <c r="D125" i="165" s="1"/>
  <c r="H402" i="1"/>
  <c r="J411" i="1"/>
  <c r="H411" i="1"/>
  <c r="H392" i="1"/>
  <c r="H429" i="1"/>
  <c r="B93" i="165" s="1"/>
  <c r="H373" i="1"/>
  <c r="B72" i="165" s="1"/>
  <c r="J373" i="1"/>
  <c r="D72" i="165" s="1"/>
  <c r="J448" i="1"/>
  <c r="D115" i="165" s="1"/>
  <c r="J392" i="1"/>
  <c r="H448" i="1"/>
  <c r="B115" i="165" s="1"/>
  <c r="J429" i="1"/>
  <c r="D93" i="165" s="1"/>
  <c r="J403" i="1"/>
  <c r="J440" i="1"/>
  <c r="D104" i="165" s="1"/>
  <c r="H384" i="1"/>
  <c r="B83" i="165" s="1"/>
  <c r="J422" i="1"/>
  <c r="H459" i="1"/>
  <c r="B126" i="165" s="1"/>
  <c r="J384" i="1"/>
  <c r="D83" i="165" s="1"/>
  <c r="H440" i="1"/>
  <c r="B104" i="165" s="1"/>
  <c r="H422" i="1"/>
  <c r="J459" i="1"/>
  <c r="D126" i="165" s="1"/>
  <c r="H403" i="1"/>
  <c r="H457" i="1"/>
  <c r="B124" i="165" s="1"/>
  <c r="J438" i="1"/>
  <c r="D102" i="165" s="1"/>
  <c r="H401" i="1"/>
  <c r="J420" i="1"/>
  <c r="H420" i="1"/>
  <c r="J401" i="1"/>
  <c r="H382" i="1"/>
  <c r="B81" i="165" s="1"/>
  <c r="J382" i="1"/>
  <c r="D81" i="165" s="1"/>
  <c r="H438" i="1"/>
  <c r="B102" i="165" s="1"/>
  <c r="J457" i="1"/>
  <c r="D124" i="165" s="1"/>
  <c r="J375" i="1"/>
  <c r="D74" i="165" s="1"/>
  <c r="J431" i="1"/>
  <c r="D95" i="165" s="1"/>
  <c r="J413" i="1"/>
  <c r="H450" i="1"/>
  <c r="B117" i="165" s="1"/>
  <c r="H413" i="1"/>
  <c r="J450" i="1"/>
  <c r="D117" i="165" s="1"/>
  <c r="H375" i="1"/>
  <c r="B74" i="165" s="1"/>
  <c r="H431" i="1"/>
  <c r="B95" i="165" s="1"/>
  <c r="H394" i="1"/>
  <c r="J394" i="1"/>
  <c r="J453" i="1"/>
  <c r="D120" i="165" s="1"/>
  <c r="H453" i="1"/>
  <c r="B120" i="165" s="1"/>
  <c r="J434" i="1"/>
  <c r="D98" i="165" s="1"/>
  <c r="H434" i="1"/>
  <c r="B98" i="165" s="1"/>
  <c r="J416" i="1"/>
  <c r="H397" i="1"/>
  <c r="H416" i="1"/>
  <c r="J378" i="1"/>
  <c r="D77" i="165" s="1"/>
  <c r="J397" i="1"/>
  <c r="H378" i="1"/>
  <c r="B77" i="165" s="1"/>
  <c r="J430" i="1"/>
  <c r="D94" i="165" s="1"/>
  <c r="J412" i="1"/>
  <c r="J374" i="1"/>
  <c r="D73" i="165" s="1"/>
  <c r="H374" i="1"/>
  <c r="B73" i="165" s="1"/>
  <c r="J393" i="1"/>
  <c r="H412" i="1"/>
  <c r="H430" i="1"/>
  <c r="B94" i="165" s="1"/>
  <c r="H449" i="1"/>
  <c r="B116" i="165" s="1"/>
  <c r="J449" i="1"/>
  <c r="D116" i="165" s="1"/>
  <c r="H393" i="1"/>
  <c r="AG383" i="1" a="1"/>
  <c r="AG383" i="1" s="1"/>
  <c r="AH385" i="1" a="1"/>
  <c r="AH385" i="1" s="1"/>
  <c r="AG380" i="1" a="1"/>
  <c r="AG380" i="1" s="1"/>
  <c r="AG378" i="1" a="1"/>
  <c r="AG378" i="1" s="1"/>
  <c r="AG370" i="1" a="1"/>
  <c r="AG370" i="1" s="1"/>
  <c r="AH376" i="1" a="1"/>
  <c r="AH376" i="1" s="1"/>
  <c r="AG375" i="1" a="1"/>
  <c r="AG375" i="1" s="1"/>
  <c r="AH382" i="1" a="1"/>
  <c r="AH382" i="1" s="1"/>
  <c r="AH379" i="1" a="1"/>
  <c r="AH379" i="1" s="1"/>
  <c r="AG376" i="1" a="1"/>
  <c r="AG376" i="1" s="1"/>
  <c r="AH371" i="1" a="1"/>
  <c r="AH371" i="1" s="1"/>
  <c r="AH384" i="1" a="1"/>
  <c r="AH384" i="1" s="1"/>
  <c r="AH383" i="1" a="1"/>
  <c r="AH383" i="1" s="1"/>
  <c r="AG371" i="1" a="1"/>
  <c r="AG371" i="1" s="1"/>
  <c r="AG381" i="1" a="1"/>
  <c r="AG381" i="1" s="1"/>
  <c r="AH378" i="1" a="1"/>
  <c r="AH378" i="1" s="1"/>
  <c r="AG377" i="1" a="1"/>
  <c r="AG377" i="1" s="1"/>
  <c r="AH370" i="1" a="1"/>
  <c r="AH370" i="1" s="1"/>
  <c r="AG384" i="1" a="1"/>
  <c r="AG384" i="1" s="1"/>
  <c r="AH373" i="1" a="1"/>
  <c r="AH373" i="1" s="1"/>
  <c r="AH381" i="1" a="1"/>
  <c r="AH381" i="1" s="1"/>
  <c r="AH380" i="1" a="1"/>
  <c r="AH380" i="1" s="1"/>
  <c r="AG374" i="1" a="1"/>
  <c r="AG374" i="1" s="1"/>
  <c r="AG373" i="1" a="1"/>
  <c r="AG373" i="1" s="1"/>
  <c r="AG385" i="1" a="1"/>
  <c r="AG385" i="1" s="1"/>
  <c r="AH375" i="1" a="1"/>
  <c r="AH375" i="1" s="1"/>
  <c r="AH377" i="1" a="1"/>
  <c r="AH377" i="1" s="1"/>
  <c r="AG379" i="1" a="1"/>
  <c r="AG379" i="1" s="1"/>
  <c r="AH374" i="1" a="1"/>
  <c r="AH374" i="1" s="1"/>
  <c r="AG382" i="1" a="1"/>
  <c r="AG382" i="1" s="1"/>
  <c r="H415" i="1"/>
  <c r="H396" i="1"/>
  <c r="H452" i="1"/>
  <c r="B119" i="165" s="1"/>
  <c r="J415" i="1"/>
  <c r="J377" i="1"/>
  <c r="D76" i="165" s="1"/>
  <c r="J433" i="1"/>
  <c r="D97" i="165" s="1"/>
  <c r="J452" i="1"/>
  <c r="D119" i="165" s="1"/>
  <c r="H433" i="1"/>
  <c r="B97" i="165" s="1"/>
  <c r="H377" i="1"/>
  <c r="B76" i="165" s="1"/>
  <c r="J396" i="1"/>
  <c r="E14" i="154"/>
  <c r="E18" i="154"/>
  <c r="B101" i="165"/>
  <c r="D101" i="165"/>
  <c r="B123" i="165"/>
  <c r="D123" i="165"/>
  <c r="B113" i="165"/>
  <c r="D113" i="165"/>
  <c r="B92" i="165"/>
  <c r="D92" i="165"/>
  <c r="B80" i="165"/>
  <c r="D80" i="165"/>
  <c r="B70" i="165"/>
  <c r="D70" i="165"/>
  <c r="AW145" i="1"/>
  <c r="AZ145" i="1"/>
  <c r="AW219" i="1"/>
  <c r="AZ219" i="1"/>
  <c r="AW187" i="1"/>
  <c r="AZ187" i="1"/>
  <c r="AW216" i="1"/>
  <c r="AZ216" i="1"/>
  <c r="AW159" i="1"/>
  <c r="AZ159" i="1"/>
  <c r="AW170" i="1"/>
  <c r="AZ170" i="1"/>
  <c r="AW143" i="1"/>
  <c r="AZ143" i="1"/>
  <c r="AW195" i="1"/>
  <c r="AZ195" i="1"/>
  <c r="AW96" i="1"/>
  <c r="AZ96" i="1"/>
  <c r="AW56" i="1"/>
  <c r="AZ56" i="1"/>
  <c r="AW188" i="1"/>
  <c r="AZ188" i="1"/>
  <c r="AW59" i="1"/>
  <c r="AZ59" i="1"/>
  <c r="AW73" i="1"/>
  <c r="AZ73" i="1"/>
  <c r="AW140" i="1"/>
  <c r="AZ140" i="1"/>
  <c r="AW166" i="1"/>
  <c r="AZ166" i="1"/>
  <c r="AW36" i="1"/>
  <c r="AZ36" i="1"/>
  <c r="AW115" i="1"/>
  <c r="AZ115" i="1"/>
  <c r="AW146" i="1"/>
  <c r="AZ146" i="1"/>
  <c r="AW47" i="1"/>
  <c r="AZ47" i="1"/>
  <c r="AW191" i="1"/>
  <c r="AZ191" i="1"/>
  <c r="AW207" i="1"/>
  <c r="AW168" i="1"/>
  <c r="AZ168" i="1"/>
  <c r="AW199" i="1"/>
  <c r="AZ199" i="1"/>
  <c r="AW49" i="1"/>
  <c r="AZ49" i="1"/>
  <c r="AW94" i="1"/>
  <c r="AZ94" i="1"/>
  <c r="AW172" i="1"/>
  <c r="AZ172" i="1"/>
  <c r="AW123" i="1"/>
  <c r="AZ123" i="1"/>
  <c r="AW149" i="1"/>
  <c r="AZ149" i="1"/>
  <c r="AW182" i="1"/>
  <c r="AZ182" i="1"/>
  <c r="AW181" i="1"/>
  <c r="AZ181" i="1"/>
  <c r="AW163" i="1"/>
  <c r="AZ163" i="1"/>
  <c r="AW161" i="1"/>
  <c r="AZ161" i="1"/>
  <c r="AW167" i="1"/>
  <c r="AZ167" i="1"/>
  <c r="AW192" i="1"/>
  <c r="AZ192" i="1"/>
  <c r="AW53" i="1"/>
  <c r="AZ53" i="1"/>
  <c r="AW61" i="1"/>
  <c r="AZ61" i="1"/>
  <c r="AW74" i="1"/>
  <c r="AZ74" i="1"/>
  <c r="AW160" i="1"/>
  <c r="AZ160" i="1"/>
  <c r="AW165" i="1"/>
  <c r="AZ165" i="1"/>
  <c r="AW148" i="1"/>
  <c r="AZ148" i="1"/>
  <c r="AW179" i="1"/>
  <c r="AZ179" i="1"/>
  <c r="AW218" i="1"/>
  <c r="AZ218" i="1"/>
  <c r="AW193" i="1"/>
  <c r="AZ193" i="1"/>
  <c r="AW202" i="1"/>
  <c r="AZ202" i="1"/>
  <c r="AW99" i="1"/>
  <c r="AZ99" i="1"/>
  <c r="AW220" i="1"/>
  <c r="AZ220" i="1"/>
  <c r="AW55" i="1"/>
  <c r="AZ55" i="1"/>
  <c r="AW51" i="1"/>
  <c r="AZ51" i="1"/>
  <c r="AW194" i="1"/>
  <c r="AZ194" i="1"/>
  <c r="AW44" i="1"/>
  <c r="AZ44" i="1"/>
  <c r="C5" i="180" l="1"/>
  <c r="Z257" i="1"/>
  <c r="H258" i="1"/>
  <c r="C20" i="180" s="1"/>
  <c r="C21" i="180" s="1"/>
  <c r="Z460" i="1"/>
  <c r="E8" i="154" s="1"/>
  <c r="AD258" i="1"/>
  <c r="J258" i="1"/>
  <c r="D20" i="180" s="1"/>
  <c r="D21" i="180" s="1"/>
  <c r="Z264" i="1"/>
  <c r="Z267" i="1"/>
  <c r="Z265" i="1"/>
  <c r="Z263" i="1"/>
  <c r="Z254" i="1"/>
  <c r="Z410" i="1"/>
  <c r="X372" i="1" a="1"/>
  <c r="X372" i="1" s="1"/>
  <c r="K71" i="165" s="1"/>
  <c r="E71" i="165"/>
  <c r="X447" i="1" a="1"/>
  <c r="X447" i="1" s="1"/>
  <c r="K114" i="165" s="1"/>
  <c r="E114" i="165"/>
  <c r="Z372" i="1"/>
  <c r="L71" i="165" s="1"/>
  <c r="Z391" i="1"/>
  <c r="Z447" i="1"/>
  <c r="L114" i="165" s="1"/>
  <c r="Z255" i="1"/>
  <c r="Z243" i="1"/>
  <c r="Z252" i="1"/>
  <c r="Z245" i="1"/>
  <c r="Z250" i="1"/>
  <c r="Z253" i="1"/>
  <c r="Z246" i="1"/>
  <c r="Z244" i="1"/>
  <c r="Z249" i="1"/>
  <c r="Z248" i="1"/>
  <c r="Z251" i="1"/>
  <c r="Z247" i="1"/>
  <c r="K98" i="165"/>
  <c r="E98" i="165"/>
  <c r="K122" i="165"/>
  <c r="E122" i="165"/>
  <c r="K119" i="165"/>
  <c r="E119" i="165"/>
  <c r="K94" i="165"/>
  <c r="E94" i="165"/>
  <c r="K104" i="165"/>
  <c r="E104" i="165"/>
  <c r="K125" i="165"/>
  <c r="E125" i="165"/>
  <c r="K95" i="165"/>
  <c r="E95" i="165"/>
  <c r="K115" i="165"/>
  <c r="E115" i="165"/>
  <c r="K96" i="165"/>
  <c r="E96" i="165"/>
  <c r="K117" i="165"/>
  <c r="E117" i="165"/>
  <c r="E37" i="154"/>
  <c r="F105" i="165"/>
  <c r="K93" i="165"/>
  <c r="E93" i="165"/>
  <c r="K101" i="165"/>
  <c r="E101" i="165"/>
  <c r="K92" i="165"/>
  <c r="E92" i="165"/>
  <c r="K118" i="165"/>
  <c r="E118" i="165"/>
  <c r="K124" i="165"/>
  <c r="E124" i="165"/>
  <c r="K102" i="165"/>
  <c r="E102" i="165"/>
  <c r="K103" i="165"/>
  <c r="E103" i="165"/>
  <c r="H105" i="165"/>
  <c r="E45" i="154"/>
  <c r="J127" i="165"/>
  <c r="I50" i="180" s="1"/>
  <c r="K120" i="165"/>
  <c r="E120" i="165"/>
  <c r="K126" i="165"/>
  <c r="E126" i="165"/>
  <c r="K112" i="165"/>
  <c r="E112" i="165"/>
  <c r="K113" i="165"/>
  <c r="E113" i="165"/>
  <c r="E43" i="154"/>
  <c r="J105" i="165"/>
  <c r="I49" i="180" s="1"/>
  <c r="E105" i="165"/>
  <c r="E127" i="165"/>
  <c r="E42" i="154"/>
  <c r="I105" i="165"/>
  <c r="J49" i="180" s="1"/>
  <c r="K121" i="165"/>
  <c r="E121" i="165"/>
  <c r="E38" i="154"/>
  <c r="H127" i="165"/>
  <c r="E39" i="154"/>
  <c r="F127" i="165"/>
  <c r="K97" i="165"/>
  <c r="E97" i="165"/>
  <c r="K91" i="165"/>
  <c r="E91" i="165"/>
  <c r="K116" i="165"/>
  <c r="E116" i="165"/>
  <c r="K100" i="165"/>
  <c r="E100" i="165"/>
  <c r="K123" i="165"/>
  <c r="E123" i="165"/>
  <c r="K99" i="165"/>
  <c r="E99" i="165"/>
  <c r="E44" i="154"/>
  <c r="I127" i="165"/>
  <c r="J50" i="180" s="1"/>
  <c r="K82" i="165"/>
  <c r="E82" i="165"/>
  <c r="K83" i="165"/>
  <c r="E83" i="165"/>
  <c r="K76" i="165"/>
  <c r="E76" i="165"/>
  <c r="K78" i="165"/>
  <c r="E78" i="165"/>
  <c r="K70" i="165"/>
  <c r="E70" i="165"/>
  <c r="K74" i="165"/>
  <c r="E74" i="165"/>
  <c r="K77" i="165"/>
  <c r="E77" i="165"/>
  <c r="K81" i="165"/>
  <c r="E81" i="165"/>
  <c r="K79" i="165"/>
  <c r="E79" i="165"/>
  <c r="K80" i="165"/>
  <c r="E80" i="165"/>
  <c r="K84" i="165"/>
  <c r="E84" i="165"/>
  <c r="K73" i="165"/>
  <c r="E73" i="165"/>
  <c r="K69" i="165"/>
  <c r="E69" i="165"/>
  <c r="K72" i="165"/>
  <c r="E72" i="165"/>
  <c r="K75" i="165"/>
  <c r="E75" i="165"/>
  <c r="Z451" i="1"/>
  <c r="L118" i="165" s="1"/>
  <c r="Z453" i="1"/>
  <c r="L120" i="165" s="1"/>
  <c r="Z459" i="1"/>
  <c r="L126" i="165" s="1"/>
  <c r="Z417" i="1"/>
  <c r="Z398" i="1"/>
  <c r="Z454" i="1"/>
  <c r="L121" i="165" s="1"/>
  <c r="Z435" i="1"/>
  <c r="L99" i="165" s="1"/>
  <c r="Z379" i="1"/>
  <c r="L78" i="165" s="1"/>
  <c r="Z427" i="1"/>
  <c r="L91" i="165" s="1"/>
  <c r="Z409" i="1"/>
  <c r="Z429" i="1"/>
  <c r="L93" i="165" s="1"/>
  <c r="Z441" i="1"/>
  <c r="Z433" i="1"/>
  <c r="L97" i="165" s="1"/>
  <c r="Z456" i="1"/>
  <c r="L123" i="165" s="1"/>
  <c r="Z448" i="1"/>
  <c r="L115" i="165" s="1"/>
  <c r="Z390" i="1"/>
  <c r="Z439" i="1"/>
  <c r="L103" i="165" s="1"/>
  <c r="Z438" i="1"/>
  <c r="L102" i="165" s="1"/>
  <c r="Z445" i="1"/>
  <c r="L112" i="165" s="1"/>
  <c r="Z449" i="1"/>
  <c r="L116" i="165" s="1"/>
  <c r="Z432" i="1"/>
  <c r="L96" i="165" s="1"/>
  <c r="Z440" i="1"/>
  <c r="L104" i="165" s="1"/>
  <c r="Z450" i="1"/>
  <c r="L117" i="165" s="1"/>
  <c r="Z436" i="1"/>
  <c r="L100" i="165" s="1"/>
  <c r="Z431" i="1"/>
  <c r="L95" i="165" s="1"/>
  <c r="Z458" i="1"/>
  <c r="L125" i="165" s="1"/>
  <c r="Z394" i="1"/>
  <c r="Z418" i="1"/>
  <c r="J460" i="1"/>
  <c r="D127" i="165" s="1"/>
  <c r="H45" i="180" s="1"/>
  <c r="Z457" i="1"/>
  <c r="L124" i="165" s="1"/>
  <c r="Z434" i="1"/>
  <c r="L98" i="165" s="1"/>
  <c r="H441" i="1"/>
  <c r="J441" i="1"/>
  <c r="D105" i="165" s="1"/>
  <c r="H44" i="180" s="1"/>
  <c r="Z437" i="1"/>
  <c r="L101" i="165" s="1"/>
  <c r="Z428" i="1"/>
  <c r="L92" i="165" s="1"/>
  <c r="Z446" i="1"/>
  <c r="L113" i="165" s="1"/>
  <c r="Z452" i="1"/>
  <c r="L119" i="165" s="1"/>
  <c r="Z389" i="1"/>
  <c r="H460" i="1"/>
  <c r="Z430" i="1"/>
  <c r="L94" i="165" s="1"/>
  <c r="Z455" i="1"/>
  <c r="L122" i="165" s="1"/>
  <c r="Z375" i="1"/>
  <c r="L74" i="165" s="1"/>
  <c r="Z373" i="1"/>
  <c r="L72" i="165" s="1"/>
  <c r="Z414" i="1"/>
  <c r="Z384" i="1"/>
  <c r="L83" i="165" s="1"/>
  <c r="Z416" i="1"/>
  <c r="Z402" i="1"/>
  <c r="Z421" i="1"/>
  <c r="Z371" i="1"/>
  <c r="L70" i="165" s="1"/>
  <c r="Z370" i="1"/>
  <c r="L69" i="165" s="1"/>
  <c r="Z382" i="1"/>
  <c r="L81" i="165" s="1"/>
  <c r="Z396" i="1"/>
  <c r="Z415" i="1"/>
  <c r="Z399" i="1"/>
  <c r="Z422" i="1"/>
  <c r="Z423" i="1"/>
  <c r="Z419" i="1"/>
  <c r="Z412" i="1"/>
  <c r="Z420" i="1"/>
  <c r="Z378" i="1"/>
  <c r="L77" i="165" s="1"/>
  <c r="Z374" i="1"/>
  <c r="L73" i="165" s="1"/>
  <c r="Z377" i="1"/>
  <c r="L76" i="165" s="1"/>
  <c r="Z408" i="1"/>
  <c r="Z383" i="1"/>
  <c r="L82" i="165" s="1"/>
  <c r="Z403" i="1"/>
  <c r="Z400" i="1"/>
  <c r="Z411" i="1"/>
  <c r="Z413" i="1"/>
  <c r="Z404" i="1"/>
  <c r="Z397" i="1"/>
  <c r="Z392" i="1"/>
  <c r="Z376" i="1"/>
  <c r="L75" i="165" s="1"/>
  <c r="Z380" i="1"/>
  <c r="L79" i="165" s="1"/>
  <c r="Z381" i="1"/>
  <c r="L80" i="165" s="1"/>
  <c r="Z385" i="1"/>
  <c r="Z395" i="1"/>
  <c r="Z401" i="1"/>
  <c r="Z393" i="1"/>
  <c r="H404" i="1"/>
  <c r="H423" i="1"/>
  <c r="H385" i="1"/>
  <c r="B84" i="165" s="1"/>
  <c r="J404" i="1"/>
  <c r="J423" i="1"/>
  <c r="J385" i="1"/>
  <c r="D84" i="165" s="1"/>
  <c r="G50" i="180" l="1"/>
  <c r="G49" i="180"/>
  <c r="L84" i="165"/>
  <c r="E9" i="154"/>
  <c r="E2" i="154"/>
  <c r="K105" i="165"/>
  <c r="H49" i="180" s="1"/>
  <c r="L127" i="165"/>
  <c r="E13" i="154"/>
  <c r="B105" i="165"/>
  <c r="G44" i="180" s="1"/>
  <c r="E3" i="154"/>
  <c r="K127" i="165"/>
  <c r="H50" i="180" s="1"/>
  <c r="E17" i="154"/>
  <c r="B127" i="165"/>
  <c r="G45" i="180" s="1"/>
  <c r="E7" i="154"/>
  <c r="L105" i="165"/>
  <c r="P248" i="77"/>
  <c r="O248" i="77"/>
  <c r="N248" i="77"/>
  <c r="M248" i="77"/>
  <c r="L248" i="77"/>
  <c r="K248" i="77"/>
  <c r="J248" i="77"/>
  <c r="J250" i="77"/>
  <c r="P248" i="76"/>
  <c r="O248" i="76"/>
  <c r="N248" i="76"/>
  <c r="M248" i="76"/>
  <c r="L248" i="76"/>
  <c r="K248" i="76"/>
  <c r="J248" i="76"/>
  <c r="J250" i="76"/>
  <c r="I36" i="75"/>
  <c r="H36" i="75"/>
  <c r="G36" i="75"/>
  <c r="F36" i="75"/>
  <c r="E36" i="75"/>
  <c r="D36" i="75"/>
  <c r="C36" i="75"/>
  <c r="I35" i="75"/>
  <c r="H35" i="75"/>
  <c r="G35" i="75"/>
  <c r="F35" i="75"/>
  <c r="E35" i="75"/>
  <c r="D35" i="75"/>
  <c r="C35" i="75"/>
  <c r="I34" i="75"/>
  <c r="H34" i="75"/>
  <c r="G34" i="75"/>
  <c r="F34" i="75"/>
  <c r="J34" i="75"/>
  <c r="E34" i="75"/>
  <c r="D34" i="75"/>
  <c r="C34" i="75"/>
  <c r="I33" i="75"/>
  <c r="H33" i="75"/>
  <c r="G33" i="75"/>
  <c r="F33" i="75"/>
  <c r="E33" i="75"/>
  <c r="D33" i="75"/>
  <c r="C33" i="75"/>
  <c r="I32" i="75"/>
  <c r="H32" i="75"/>
  <c r="G32" i="75"/>
  <c r="F32" i="75"/>
  <c r="E32" i="75"/>
  <c r="D32" i="75"/>
  <c r="C32" i="75"/>
  <c r="I31" i="75"/>
  <c r="H31" i="75"/>
  <c r="G31" i="75"/>
  <c r="F31" i="75"/>
  <c r="E31" i="75"/>
  <c r="D31" i="75"/>
  <c r="C31" i="75"/>
  <c r="I30" i="75"/>
  <c r="H30" i="75"/>
  <c r="G30" i="75"/>
  <c r="F30" i="75"/>
  <c r="F37" i="75"/>
  <c r="E30" i="75"/>
  <c r="D30" i="75"/>
  <c r="C30" i="75"/>
  <c r="I25" i="75"/>
  <c r="H25" i="75"/>
  <c r="G25" i="75"/>
  <c r="F25" i="75"/>
  <c r="E25" i="75"/>
  <c r="D25" i="75"/>
  <c r="C25" i="75"/>
  <c r="I24" i="75"/>
  <c r="H24" i="75"/>
  <c r="G24" i="75"/>
  <c r="F24" i="75"/>
  <c r="E24" i="75"/>
  <c r="D24" i="75"/>
  <c r="C24" i="75"/>
  <c r="I23" i="75"/>
  <c r="H23" i="75"/>
  <c r="G23" i="75"/>
  <c r="F23" i="75"/>
  <c r="E23" i="75"/>
  <c r="D23" i="75"/>
  <c r="C23" i="75"/>
  <c r="I22" i="75"/>
  <c r="H22" i="75"/>
  <c r="G22" i="75"/>
  <c r="F22" i="75"/>
  <c r="J22" i="75"/>
  <c r="E22" i="75"/>
  <c r="D22" i="75"/>
  <c r="C22" i="75"/>
  <c r="I17" i="75"/>
  <c r="H17" i="75"/>
  <c r="G17" i="75"/>
  <c r="F17" i="75"/>
  <c r="E17" i="75"/>
  <c r="D17" i="75"/>
  <c r="C17" i="75"/>
  <c r="I16" i="75"/>
  <c r="H16" i="75"/>
  <c r="G16" i="75"/>
  <c r="F16" i="75"/>
  <c r="E16" i="75"/>
  <c r="D16" i="75"/>
  <c r="C16" i="75"/>
  <c r="I15" i="75"/>
  <c r="H15" i="75"/>
  <c r="G15" i="75"/>
  <c r="F15" i="75"/>
  <c r="E15" i="75"/>
  <c r="D15" i="75"/>
  <c r="C15" i="75"/>
  <c r="I14" i="75"/>
  <c r="J14" i="75" s="1"/>
  <c r="J18" i="75" s="1"/>
  <c r="H14" i="75"/>
  <c r="G14" i="75"/>
  <c r="F14" i="75"/>
  <c r="E14" i="75"/>
  <c r="D14" i="75"/>
  <c r="C14" i="75"/>
  <c r="I13" i="75"/>
  <c r="H13" i="75"/>
  <c r="G13" i="75"/>
  <c r="F13" i="75"/>
  <c r="E13" i="75"/>
  <c r="D13" i="75"/>
  <c r="C13" i="75"/>
  <c r="I12" i="75"/>
  <c r="H12" i="75"/>
  <c r="G12" i="75"/>
  <c r="F12" i="75"/>
  <c r="E12" i="75"/>
  <c r="D12" i="75"/>
  <c r="C12" i="75"/>
  <c r="I11" i="75"/>
  <c r="H11" i="75"/>
  <c r="G11" i="75"/>
  <c r="G18" i="75"/>
  <c r="F11" i="75"/>
  <c r="E11" i="75"/>
  <c r="D11" i="75"/>
  <c r="C11" i="75"/>
  <c r="C18" i="75"/>
  <c r="C7" i="75"/>
  <c r="C6" i="75"/>
  <c r="D18" i="75"/>
  <c r="J17" i="75"/>
  <c r="C26" i="75"/>
  <c r="G26" i="75"/>
  <c r="J25" i="75"/>
  <c r="C37" i="75"/>
  <c r="G37" i="75"/>
  <c r="J33" i="75"/>
  <c r="H18" i="75"/>
  <c r="J13" i="75"/>
  <c r="E18" i="75"/>
  <c r="J12" i="75"/>
  <c r="J16" i="75"/>
  <c r="D26" i="75"/>
  <c r="H26" i="75"/>
  <c r="J24" i="75"/>
  <c r="D37" i="75"/>
  <c r="H37" i="75"/>
  <c r="J32" i="75"/>
  <c r="J36" i="75"/>
  <c r="J11" i="75"/>
  <c r="J15" i="75"/>
  <c r="E26" i="75"/>
  <c r="I26" i="75"/>
  <c r="J23" i="75"/>
  <c r="E37" i="75"/>
  <c r="I37" i="75"/>
  <c r="J31" i="75"/>
  <c r="J35" i="75"/>
  <c r="J26" i="75"/>
  <c r="F18" i="75"/>
  <c r="F26" i="75"/>
  <c r="J30" i="75"/>
  <c r="J37" i="75"/>
  <c r="C12" i="14"/>
  <c r="D12" i="14"/>
  <c r="I12" i="14"/>
  <c r="E12" i="14"/>
  <c r="F12" i="14"/>
  <c r="C13" i="14"/>
  <c r="D13" i="14"/>
  <c r="I13" i="14"/>
  <c r="E13" i="14"/>
  <c r="F13" i="14"/>
  <c r="C14" i="14"/>
  <c r="D14" i="14"/>
  <c r="I14" i="14"/>
  <c r="E14" i="14"/>
  <c r="F14" i="14"/>
  <c r="C15" i="14"/>
  <c r="D15" i="14"/>
  <c r="I15" i="14"/>
  <c r="E15" i="14"/>
  <c r="F15" i="14"/>
  <c r="C16" i="14"/>
  <c r="D16" i="14"/>
  <c r="I16" i="14"/>
  <c r="E16" i="14"/>
  <c r="F16" i="14"/>
  <c r="C17" i="14"/>
  <c r="D17" i="14"/>
  <c r="I17" i="14"/>
  <c r="E17" i="14"/>
  <c r="F17" i="14"/>
  <c r="C18" i="14"/>
  <c r="D18" i="14"/>
  <c r="I18" i="14"/>
  <c r="E18" i="14"/>
  <c r="F18" i="14"/>
  <c r="K18" i="14"/>
  <c r="K17" i="14"/>
  <c r="K15" i="14"/>
  <c r="K16" i="14"/>
  <c r="K14" i="14"/>
  <c r="K12" i="14"/>
  <c r="K13" i="14"/>
  <c r="J248" i="44"/>
  <c r="J250" i="44"/>
  <c r="K248" i="44"/>
  <c r="L248" i="44"/>
  <c r="M248" i="44"/>
  <c r="N248" i="44"/>
  <c r="O248" i="44"/>
  <c r="P248" i="44"/>
  <c r="C6" i="43"/>
  <c r="C7" i="43"/>
  <c r="C11" i="43"/>
  <c r="D11" i="43"/>
  <c r="E11" i="43"/>
  <c r="E19" i="43"/>
  <c r="F11" i="43"/>
  <c r="G11" i="43"/>
  <c r="H11" i="43"/>
  <c r="I11" i="43"/>
  <c r="C12" i="43"/>
  <c r="D12" i="43"/>
  <c r="E12" i="43"/>
  <c r="F12" i="43"/>
  <c r="G12" i="43"/>
  <c r="H12" i="43"/>
  <c r="I12" i="43"/>
  <c r="C13" i="43"/>
  <c r="D13" i="43"/>
  <c r="E13" i="43"/>
  <c r="F13" i="43"/>
  <c r="G13" i="43"/>
  <c r="J13" i="43"/>
  <c r="H13" i="43"/>
  <c r="I13" i="43"/>
  <c r="C14" i="43"/>
  <c r="D14" i="43"/>
  <c r="E14" i="43"/>
  <c r="F14" i="43"/>
  <c r="G14" i="43"/>
  <c r="H14" i="43"/>
  <c r="I14" i="43"/>
  <c r="I19" i="43" s="1"/>
  <c r="C15" i="43"/>
  <c r="D15" i="43"/>
  <c r="E15" i="43"/>
  <c r="F15" i="43"/>
  <c r="G15" i="43"/>
  <c r="H15" i="43"/>
  <c r="I15" i="43"/>
  <c r="C16" i="43"/>
  <c r="D16" i="43"/>
  <c r="E16" i="43"/>
  <c r="F16" i="43"/>
  <c r="G16" i="43"/>
  <c r="H16" i="43"/>
  <c r="I16" i="43"/>
  <c r="C17" i="43"/>
  <c r="D17" i="43"/>
  <c r="E17" i="43"/>
  <c r="F17" i="43"/>
  <c r="G17" i="43"/>
  <c r="J17" i="43"/>
  <c r="H17" i="43"/>
  <c r="I17" i="43"/>
  <c r="C18" i="43"/>
  <c r="D18" i="43"/>
  <c r="E18" i="43"/>
  <c r="F18" i="43"/>
  <c r="G18" i="43"/>
  <c r="H18" i="43"/>
  <c r="I18" i="43"/>
  <c r="C23" i="43"/>
  <c r="D23" i="43"/>
  <c r="E23" i="43"/>
  <c r="F23" i="43"/>
  <c r="G23" i="43"/>
  <c r="H23" i="43"/>
  <c r="I23" i="43"/>
  <c r="C24" i="43"/>
  <c r="D24" i="43"/>
  <c r="E24" i="43"/>
  <c r="F24" i="43"/>
  <c r="G24" i="43"/>
  <c r="H24" i="43"/>
  <c r="I24" i="43"/>
  <c r="C25" i="43"/>
  <c r="D25" i="43"/>
  <c r="E25" i="43"/>
  <c r="F25" i="43"/>
  <c r="G25" i="43"/>
  <c r="H25" i="43"/>
  <c r="I25" i="43"/>
  <c r="C26" i="43"/>
  <c r="D26" i="43"/>
  <c r="E26" i="43"/>
  <c r="F26" i="43"/>
  <c r="G26" i="43"/>
  <c r="H26" i="43"/>
  <c r="I26" i="43"/>
  <c r="C31" i="43"/>
  <c r="D31" i="43"/>
  <c r="E31" i="43"/>
  <c r="F31" i="43"/>
  <c r="G31" i="43"/>
  <c r="H31" i="43"/>
  <c r="I31" i="43"/>
  <c r="C32" i="43"/>
  <c r="D32" i="43"/>
  <c r="E32" i="43"/>
  <c r="F32" i="43"/>
  <c r="G32" i="43"/>
  <c r="H32" i="43"/>
  <c r="I32" i="43"/>
  <c r="C33" i="43"/>
  <c r="D33" i="43"/>
  <c r="E33" i="43"/>
  <c r="F33" i="43"/>
  <c r="G33" i="43"/>
  <c r="H33" i="43"/>
  <c r="I33" i="43"/>
  <c r="C34" i="43"/>
  <c r="C39" i="43"/>
  <c r="D34" i="43"/>
  <c r="E34" i="43"/>
  <c r="F34" i="43"/>
  <c r="G34" i="43"/>
  <c r="H34" i="43"/>
  <c r="I34" i="43"/>
  <c r="C35" i="43"/>
  <c r="D35" i="43"/>
  <c r="E35" i="43"/>
  <c r="F35" i="43"/>
  <c r="G35" i="43"/>
  <c r="H35" i="43"/>
  <c r="I35" i="43"/>
  <c r="C36" i="43"/>
  <c r="D36" i="43"/>
  <c r="E36" i="43"/>
  <c r="F36" i="43"/>
  <c r="G36" i="43"/>
  <c r="H36" i="43"/>
  <c r="I36" i="43"/>
  <c r="C37" i="43"/>
  <c r="D37" i="43"/>
  <c r="E37" i="43"/>
  <c r="F37" i="43"/>
  <c r="G37" i="43"/>
  <c r="H37" i="43"/>
  <c r="I37" i="43"/>
  <c r="C38" i="43"/>
  <c r="D38" i="43"/>
  <c r="E38" i="43"/>
  <c r="F38" i="43"/>
  <c r="G38" i="43"/>
  <c r="H38" i="43"/>
  <c r="I38" i="43"/>
  <c r="H39" i="43"/>
  <c r="C19" i="43"/>
  <c r="F19" i="43"/>
  <c r="F39" i="43"/>
  <c r="I39" i="43"/>
  <c r="E39" i="43"/>
  <c r="D39" i="43"/>
  <c r="H27" i="43"/>
  <c r="F27" i="43"/>
  <c r="I27" i="43"/>
  <c r="E27" i="43"/>
  <c r="H19" i="43"/>
  <c r="D19" i="43"/>
  <c r="J37" i="43"/>
  <c r="J33" i="43"/>
  <c r="J23" i="43"/>
  <c r="J25" i="43"/>
  <c r="J27" i="43"/>
  <c r="G39" i="43"/>
  <c r="J38" i="43"/>
  <c r="J34" i="43"/>
  <c r="D27" i="43"/>
  <c r="J24" i="43"/>
  <c r="J18" i="43"/>
  <c r="G19" i="43"/>
  <c r="J15" i="43"/>
  <c r="J11" i="43"/>
  <c r="J35" i="43"/>
  <c r="J31" i="43"/>
  <c r="J36" i="43"/>
  <c r="J32" i="43"/>
  <c r="G27" i="43"/>
  <c r="J26" i="43"/>
  <c r="J16" i="43"/>
  <c r="J12" i="43"/>
  <c r="J39" i="43"/>
  <c r="C27" i="43"/>
  <c r="B18" i="14"/>
  <c r="J18" i="14"/>
  <c r="A18" i="14"/>
  <c r="B17" i="14"/>
  <c r="J17" i="14"/>
  <c r="A17" i="14"/>
  <c r="B16" i="14"/>
  <c r="J16" i="14"/>
  <c r="A16" i="14"/>
  <c r="B15" i="14"/>
  <c r="J15" i="14"/>
  <c r="A15" i="14"/>
  <c r="B14" i="14"/>
  <c r="J14" i="14"/>
  <c r="A14" i="14"/>
  <c r="B13" i="14"/>
  <c r="A13" i="14"/>
  <c r="B12" i="14"/>
  <c r="J12" i="14"/>
  <c r="A12" i="14"/>
  <c r="E16" i="154" l="1"/>
  <c r="E48" i="154"/>
  <c r="E20" i="154"/>
  <c r="E49" i="154"/>
  <c r="E21" i="154"/>
  <c r="E29" i="154"/>
  <c r="E25" i="154"/>
  <c r="E27" i="154" s="1"/>
  <c r="I18" i="75"/>
  <c r="J14" i="43"/>
  <c r="J19" i="43" s="1"/>
  <c r="E31" i="154" l="1"/>
  <c r="E32" i="15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tc={CE8A1F8B-FD24-4A43-84B7-C8085B629582}</author>
    <author>tc={000EBF10-EF00-084E-816E-25FFE74E9D05}</author>
    <author>tc={E352C6BE-3292-418C-BFED-6220E7EAA43C}</author>
    <author>tc={5EA278BE-B552-49E0-99E6-AF6F5F758FE7}</author>
  </authors>
  <commentList>
    <comment ref="E28" authorId="0" shapeId="0" xr:uid="{CE8A1F8B-FD24-4A43-84B7-C8085B629582}">
      <text>
        <t>[Threaded comment]
Your version of Excel allows you to read this threaded comment; however, any edits to it will get removed if the file is opened in a newer version of Excel. Learn more: https://go.microsoft.com/fwlink/?linkid=870924
Comment:
    @Vandana Vishnubhotla same comment as F22</t>
      </text>
    </comment>
    <comment ref="F28" authorId="1" shapeId="0" xr:uid="{000EBF10-EF00-084E-816E-25FFE74E9D05}">
      <text>
        <t>[Threaded comment]
Your version of Excel allows you to read this threaded comment; however, any edits to it will get removed if the file is opened in a newer version of Excel. Learn more: https://go.microsoft.com/fwlink/?linkid=870924
Comment:
    @Vandana Vishnubhotla how come on quarterly basis (cells F5 and F6) there is downtime, but on half basis there isn’t? Same comment for leasing spreads
Reply:
    The quarterly info starts is shown from Q1 2022, per your template. 
Expanded this to all quarters now. 
Reply:
    Got it, thanks!</t>
      </text>
    </comment>
    <comment ref="E37" authorId="2" shapeId="0" xr:uid="{E352C6BE-3292-418C-BFED-6220E7EAA43C}">
      <text>
        <t xml:space="preserve">[Threaded comment]
Your version of Excel allows you to read this threaded comment; however, any edits to it will get removed if the file is opened in a newer version of Excel. Learn more: https://go.microsoft.com/fwlink/?linkid=870924
Comment:
    In this leasing spreadsheet, we don’t calculate BP increase over Prior Rate. 
We are only showing spread over prior rate and spread over BP. 
For Q3-24 report, I did a quick manual calc to exclude vacant spaces and make sure the logic matches the “Rent Increase over Prior Lease” calc. @Ori Regev 
Reply:
    Thanks! Can we maybe have that calculated going forward? Should be a pretty simple thing to add no?
Reply:
    Yes of course. Simple enough. @Ori Regev </t>
      </text>
    </comment>
    <comment ref="O47" authorId="3" shapeId="0" xr:uid="{5EA278BE-B552-49E0-99E6-AF6F5F758FE7}">
      <text>
        <t>[Threaded comment]
Your version of Excel allows you to read this threaded comment; however, any edits to it will get removed if the file is opened in a newer version of Excel. Learn more: https://go.microsoft.com/fwlink/?linkid=870924
Comment:
    @Jordan Nathan @Michael Tang Per our slack-this is priority for Adir.  This file is 4Q24 so we need to create a 1Q25 file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tc={C6C56E1B-60B7-451F-9BB1-E8921C018356}</author>
    <author>tc={AA504026-8E93-441B-B4D7-73AE78C88A42}</author>
    <author>tc={02E30905-9DF1-4D25-93D1-C2F22BDDEDE8}</author>
    <author>tc={FDB352F7-F01A-47F2-B43F-6B14D7AB2EA8}</author>
    <author>tc={CAE7E98A-82B9-4879-BABB-604A034B9DFD}</author>
    <author>tc={1CB624E2-5AB4-426E-8433-638302E8887F}</author>
    <author>tc={27C3A170-FF26-44AF-BF60-2BC401036D87}</author>
    <author>tc={CCEF0ED2-F716-4BAB-9ADD-D294BCA1A31D}</author>
  </authors>
  <commentList>
    <comment ref="A8" authorId="0" shapeId="0" xr:uid="{C6C56E1B-60B7-451F-9BB1-E8921C018356}">
      <text>
        <t>[Threaded comment]
Your version of Excel allows you to read this threaded comment; however, any edits to it will get removed if the file is opened in a newer version of Excel. Learn more: https://go.microsoft.com/fwlink/?linkid=870924
Comment:
    Existing tenant determined to vacate. we were able to engage partners of the outgoing tenant and agreed to a lease deal with them as a dual-tenant lease set up. Both tenants are equally responsible for the lease obligations. This deal is at higher than UW base rate, no downtime, no TIA, no abatement.</t>
      </text>
    </comment>
    <comment ref="A9" authorId="1" shapeId="0" xr:uid="{AA504026-8E93-441B-B4D7-73AE78C88A42}">
      <text>
        <t>[Threaded comment]
Your version of Excel allows you to read this threaded comment; however, any edits to it will get removed if the file is opened in a newer version of Excel. Learn more: https://go.microsoft.com/fwlink/?linkid=870924
Comment:
    Big Rig acq in August. LCD mid Dec. 4 mos DT</t>
      </text>
    </comment>
    <comment ref="B31" authorId="2" shapeId="0" xr:uid="{02E30905-9DF1-4D25-93D1-C2F22BDDEDE8}">
      <text>
        <t>[Threaded comment]
Your version of Excel allows you to read this threaded comment; however, any edits to it will get removed if the file is opened in a newer version of Excel. Learn more: https://go.microsoft.com/fwlink/?linkid=870924
Comment:
    US Tech assumed 100% renewal prob and no DT</t>
      </text>
    </comment>
    <comment ref="B65" authorId="3" shapeId="0" xr:uid="{FDB352F7-F01A-47F2-B43F-6B14D7AB2EA8}">
      <text>
        <t>[Threaded comment]
Your version of Excel allows you to read this threaded comment; however, any edits to it will get removed if the file is opened in a newer version of Excel. Learn more: https://go.microsoft.com/fwlink/?linkid=870924
Comment:
    BP does not have DT modeled after short term SLB expires</t>
      </text>
    </comment>
    <comment ref="B77" authorId="4" shapeId="0" xr:uid="{CAE7E98A-82B9-4879-BABB-604A034B9DFD}">
      <text>
        <t xml:space="preserve">[Threaded comment]
Your version of Excel allows you to read this threaded comment; however, any edits to it will get removed if the file is opened in a newer version of Excel. Learn more: https://go.microsoft.com/fwlink/?linkid=870924
Comment:
    Benchmarking to E1 for this space. At original E1 the new lease here was Sun Badger Solar. </t>
      </text>
    </comment>
    <comment ref="A79" authorId="5" shapeId="0" xr:uid="{1CB624E2-5AB4-426E-8433-638302E8887F}">
      <text>
        <t xml:space="preserve">[Threaded comment]
Your version of Excel allows you to read this threaded comment; however, any edits to it will get removed if the file is opened in a newer version of Excel. Learn more: https://go.microsoft.com/fwlink/?linkid=870924
Comment:
    For AFS: They signed a lease for A, B and B1 on 4/1/2023
20,150 SF Suite A was inherited with AFS occupying in place
at acquisition, we put them on MTM until new LCD 4/1/2023 with 0 downtime
First Initial Expansion of 12,585 SF Suite B
Inherited T evicted with LXD 12/19/2022 to 4/1/2023 4 months DT
Delivery/ RCD expected 8/1
Second Expansion of 2,160 Suite B1
Vacant at acquisition 6/21/2023 to 4/1/2023 9 months DT
Delivery/ RCD expected 9/15 </t>
      </text>
    </comment>
    <comment ref="B103" authorId="6" shapeId="0" xr:uid="{27C3A170-FF26-44AF-BF60-2BC401036D87}">
      <text>
        <t>[Threaded comment]
Your version of Excel allows you to read this threaded comment; however, any edits to it will get removed if the file is opened in a newer version of Excel. Learn more: https://go.microsoft.com/fwlink/?linkid=870924
Comment:
    confirmed</t>
      </text>
    </comment>
    <comment ref="F129" authorId="7" shapeId="0" xr:uid="{CCEF0ED2-F716-4BAB-9ADD-D294BCA1A31D}">
      <text>
        <t>[Threaded comment]
Your version of Excel allows you to read this threaded comment; however, any edits to it will get removed if the file is opened in a newer version of Excel. Learn more: https://go.microsoft.com/fwlink/?linkid=870924
Comment:
    Excluding FP Lease in Philly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tc={F36C5FBC-DDF3-4C64-9AFB-DF08A3A570B1}</author>
    <author>tc={F8964D77-5443-4C0D-9676-BCDB7F30249B}</author>
    <author>tc={9920D52D-2DCE-463C-B5ED-3218B9C0D07B}</author>
    <author>tc={B5F8824F-A950-4F2D-9A40-7C4D97A473B1}</author>
    <author>tc={65838F6E-31AA-4B24-AA52-548DC78DB811}</author>
    <author>tc={22018CF7-92E5-4E07-A422-5C0175D05A18}</author>
    <author>tc={BBDA6E16-EF75-4971-8ED8-390BFF82F54F}</author>
    <author>tc={14CC6961-9AEC-48F1-A3A3-B04B447E8D00}</author>
    <author>tc={EC5399FB-2DD0-4631-B410-C93C869DA28B}</author>
    <author>tc={3D61CDF0-4295-4CCA-97B4-9228E8E79329}</author>
    <author>tc={50ADEE5A-3F67-435C-AB68-4A286D4EB3C0}</author>
    <author>tc={0541420C-2D19-4B5C-84AC-AD5A54133B23}</author>
    <author>tc={DEE8155C-6259-4DDB-A9E2-8266050A618E}</author>
    <author>tc={89CEE0F4-E63B-4CDB-9143-E57D1136BC44}</author>
    <author>tc={9AF26D95-DEE9-4E76-B844-54ECC8B5900E}</author>
    <author>tc={73466CAA-6988-4DFB-931B-D6D62943F5A7}</author>
    <author>tc={2E7CEBE5-FCB9-444C-BA1B-97B0CF599027}</author>
    <author>tc={AAD3CF53-D639-401F-B64F-B540740F9439}</author>
    <author>tc={4DBC1743-B2E5-44B0-8C87-E2B6B69FC5A8}</author>
    <author>tc={360941D5-BBCF-4535-8DC5-67501CE37A9B}</author>
    <author>tc={2F280B3F-2018-4B95-941E-FC7222493F3A}</author>
    <author>tc={27C1A110-0104-4E17-80A6-3B3875027405}</author>
    <author>tc={D25F8860-8887-418A-B5B5-9D6E69F30555}</author>
    <author>tc={3312A7D2-123A-4C7C-942C-746D8AA9E124}</author>
    <author>tc={D04B58E6-AF5B-42E6-9052-0172BA0EEA31}</author>
    <author>tc={859BED8B-3AE0-4B95-94E5-D59C5615EF54}</author>
    <author>tc={0B932E3E-1F4A-4C43-A81D-4CDA29107BC9}</author>
    <author>tc={36F9907C-E900-4A2E-BF51-6269739E25FE}</author>
    <author>tc={E63ADD2B-FD4B-4913-8308-65C8CF5F972F}</author>
    <author>tc={37FB6465-33B2-4283-9654-ADCC8CD89B02}</author>
    <author>tc={12992C37-3412-42F3-894A-A501C97564C4}</author>
    <author>tc={1BC79D79-5B53-443E-9677-A46039C0B460}</author>
    <author>tc={D594347D-ECF7-4EFC-B41B-243EF13A04CE}</author>
    <author>tc={54EA7B37-6C87-4531-AC62-68BCE2D595C8}</author>
    <author>tc={83EFAB4B-5A1A-4FF4-8B99-522C572C472C}</author>
    <author>tc={626044FF-A2E2-46ED-BEEF-5A8199A2062F}</author>
  </authors>
  <commentList>
    <comment ref="W3" authorId="0" shapeId="0" xr:uid="{F36C5FBC-DDF3-4C64-9AFB-DF08A3A570B1}">
      <text>
        <t xml:space="preserve">[Threaded comment]
Your version of Excel allows you to read this threaded comment; however, any edits to it will get removed if the file is opened in a newer version of Excel. Learn more: https://go.microsoft.com/fwlink/?linkid=870924
Comment:
    Avg FR for Fund 2, being used to back out of DT (BP) for New Leases. </t>
      </text>
    </comment>
    <comment ref="G4" authorId="1" shapeId="0" xr:uid="{F8964D77-5443-4C0D-9676-BCDB7F30249B}">
      <text>
        <t>[Threaded comment]
Your version of Excel allows you to read this threaded comment; however, any edits to it will get removed if the file is opened in a newer version of Excel. Learn more: https://go.microsoft.com/fwlink/?linkid=870924
Comment:
    SLB info is not available on deal manager. Taken from Yardi if SLB is checked as ‘yes’</t>
      </text>
    </comment>
    <comment ref="K4" authorId="2" shapeId="0" xr:uid="{9920D52D-2DCE-463C-B5ED-3218B9C0D07B}">
      <text>
        <t xml:space="preserve">[Threaded comment]
Your version of Excel allows you to read this threaded comment; however, any edits to it will get removed if the file is opened in a newer version of Excel. Learn more: https://go.microsoft.com/fwlink/?linkid=870924
Comment:
    Total Cost as of prior quarter - this column is not available on Deal Manger. Use performance table or take from fund accounting </t>
      </text>
    </comment>
    <comment ref="O4" authorId="3" shapeId="0" xr:uid="{B5F8824F-A950-4F2D-9A40-7C4D97A473B1}">
      <text>
        <t>[Threaded comment]
Your version of Excel allows you to read this threaded comment; however, any edits to it will get removed if the file is opened in a newer version of Excel. Learn more: https://go.microsoft.com/fwlink/?linkid=870924
Comment:
    BP Rate is not available on Deal Manager Leasing Report. This is a manually entered column</t>
      </text>
    </comment>
    <comment ref="V6" authorId="4" shapeId="0" xr:uid="{65838F6E-31AA-4B24-AA52-548DC78DB811}">
      <text>
        <t>[Threaded comment]
Your version of Excel allows you to read this threaded comment; however, any edits to it will get removed if the file is opened in a newer version of Excel. Learn more: https://go.microsoft.com/fwlink/?linkid=870924
Comment:
    Existing tenant determined to vacate. we were able to engage partners of the outgoing tenant and agreed to a lease deal with them as a dual-tenant lease set up. Both tenants are equally responsible for the lease obligations. This deal is at higher than UW base rate, no downtime, no TIA, no abatement.</t>
      </text>
    </comment>
    <comment ref="N10" authorId="5" shapeId="0" xr:uid="{22018CF7-92E5-4E07-A422-5C0175D05A18}">
      <text>
        <t xml:space="preserve">[Threaded comment]
Your version of Excel allows you to read this threaded comment; however, any edits to it will get removed if the file is opened in a newer version of Excel. Learn more: https://go.microsoft.com/fwlink/?linkid=870924
Comment:
    Sigma Marble was signed at a higher rate and higher escalation than BP. Therefore this property is now trending at a higher rate altogether. </t>
      </text>
    </comment>
    <comment ref="Q23" authorId="6" shapeId="0" xr:uid="{BBDA6E16-EF75-4971-8ED8-390BFF82F54F}">
      <text>
        <t>[Threaded comment]
Your version of Excel allows you to read this threaded comment; however, any edits to it will get removed if the file is opened in a newer version of Excel. Learn more: https://go.microsoft.com/fwlink/?linkid=870924
Comment:
    FP first proposal was above $3.5 but Tenant was sensitive to rate so we removed TI and gave 2 mos FR. 
BP has $1.03 TI PSF and 1 mo FR. 
This is not a favorable renewal and has lower effective rent. 
Avoided Downtime and TI</t>
      </text>
    </comment>
    <comment ref="O25" authorId="7" shapeId="0" xr:uid="{14CC6961-9AEC-48F1-A3A3-B04B447E8D00}">
      <text>
        <t>[Threaded comment]
Your version of Excel allows you to read this threaded comment; however, any edits to it will get removed if the file is opened in a newer version of Excel. Learn more: https://go.microsoft.com/fwlink/?linkid=870924
Comment:
    This is an above market lease and we were also conservative in underwriting market rent. The renewal prob is 60% and the renewal could have assumed a higher rate as opposed to $5</t>
      </text>
    </comment>
    <comment ref="O26" authorId="8" shapeId="0" xr:uid="{EC5399FB-2DD0-4631-B410-C93C869DA28B}">
      <text>
        <t xml:space="preserve">[Threaded comment]
Your version of Excel allows you to read this threaded comment; however, any edits to it will get removed if the file is opened in a newer version of Excel. Learn more: https://go.microsoft.com/fwlink/?linkid=870924
Comment:
    We did a 3 yr renewal vs 5 yrs, at slightly below UW. This is a tough building and prioritized occupancy. This deal was approved by everyone and it passes AML, but a 3.5 credit score. </t>
      </text>
    </comment>
    <comment ref="Q27" authorId="9" shapeId="0" xr:uid="{3D61CDF0-4295-4CCA-97B4-9228E8E79329}">
      <text>
        <t xml:space="preserve">[Threaded comment]
Your version of Excel allows you to read this threaded comment; however, any edits to it will get removed if the file is opened in a newer version of Excel. Learn more: https://go.microsoft.com/fwlink/?linkid=870924
Comment:
    working on this deal since December 2023. The price was a sticker shock for the tenant. They came back to us after understanding the market. The overall market is still slow in Columbus but the lack of inventory in this size range and quality favored our renewal terms here.  </t>
      </text>
    </comment>
    <comment ref="R30" authorId="10" shapeId="0" xr:uid="{50ADEE5A-3F67-435C-AB68-4A286D4EB3C0}">
      <text>
        <t xml:space="preserve">[Threaded comment]
Your version of Excel allows you to read this threaded comment; however, any edits to it will get removed if the file is opened in a newer version of Excel. Learn more: https://go.microsoft.com/fwlink/?linkid=870924
Comment:
    We did a short term deal with them below market to avoid vacancy.  Frist year is 8:30 then bumps up to $9.15 which is inline with our forecast on year 2 </t>
      </text>
    </comment>
    <comment ref="S30" authorId="11" shapeId="0" xr:uid="{0541420C-2D19-4B5C-84AC-AD5A54133B23}">
      <text>
        <t>[Threaded comment]
Your version of Excel allows you to read this threaded comment; however, any edits to it will get removed if the file is opened in a newer version of Excel. Learn more: https://go.microsoft.com/fwlink/?linkid=870924
Comment:
    Looks like we didn’t UW any escalation here which could be likely an error. Need to confirm. 
The 10.24 escalation is a DM representation. Need to look at the rent steps in the lease to understand actual escalation</t>
      </text>
    </comment>
    <comment ref="P33" authorId="12" shapeId="0" xr:uid="{DEE8155C-6259-4DDB-A9E2-8266050A618E}">
      <text>
        <t>[Threaded comment]
Your version of Excel allows you to read this threaded comment; however, any edits to it will get removed if the file is opened in a newer version of Excel. Learn more: https://go.microsoft.com/fwlink/?linkid=870924
Comment:
    FM did not model out a fixed option. There is a renewal prob of 60% with New Rate at $6.50 and Renew at $4.65. Benchmarking to a blended rate of $5.39</t>
      </text>
    </comment>
    <comment ref="P34" authorId="13" shapeId="0" xr:uid="{89CEE0F4-E63B-4CDB-9143-E57D1136BC44}">
      <text>
        <t xml:space="preserve">[Threaded comment]
Your version of Excel allows you to read this threaded comment; however, any edits to it will get removed if the file is opened in a newer version of Excel. Learn more: https://go.microsoft.com/fwlink/?linkid=870924
Comment:
    We should not have dropped FM rate here compared to BP. </t>
      </text>
    </comment>
    <comment ref="K37" authorId="14" shapeId="0" xr:uid="{9AF26D95-DEE9-4E76-B844-54ECC8B5900E}">
      <text>
        <t xml:space="preserve">[Threaded comment]
Your version of Excel allows you to read this threaded comment; however, any edits to it will get removed if the file is opened in a newer version of Excel. Learn more: https://go.microsoft.com/fwlink/?linkid=870924
Comment:
    From closing statement. Data is not yet on Yardi or reporting </t>
      </text>
    </comment>
    <comment ref="N37" authorId="15" shapeId="0" xr:uid="{73466CAA-6988-4DFB-931B-D6D62943F5A7}">
      <text>
        <t xml:space="preserve">[Threaded comment]
Your version of Excel allows you to read this threaded comment; however, any edits to it will get removed if the file is opened in a newer version of Excel. Learn more: https://go.microsoft.com/fwlink/?linkid=870924
Comment:
     Prior tenant was modgross. Hard coding the NNN rate here after discussing with AM 
</t>
      </text>
    </comment>
    <comment ref="P37" authorId="16" shapeId="0" xr:uid="{2E7CEBE5-FCB9-444C-BA1B-97B0CF599027}">
      <text>
        <t>[Threaded comment]
Your version of Excel allows you to read this threaded comment; however, any edits to it will get removed if the file is opened in a newer version of Excel. Learn more: https://go.microsoft.com/fwlink/?linkid=870924
Comment:
    This is a new acquisition and doesn’t have a forecast. Making FM equal to BP</t>
      </text>
    </comment>
    <comment ref="W41" authorId="17" shapeId="0" xr:uid="{AAD3CF53-D639-401F-B64F-B540740F9439}">
      <text>
        <t xml:space="preserve">[Threaded comment]
Your version of Excel allows you to read this threaded comment; however, any edits to it will get removed if the file is opened in a newer version of Excel. Learn more: https://go.microsoft.com/fwlink/?linkid=870924
Comment:
    Benchmarking to E1 for this space. At original E1 the new lease here was Sun Badger Solar. </t>
      </text>
    </comment>
    <comment ref="W55" authorId="18" shapeId="0" xr:uid="{4DBC1743-B2E5-44B0-8C87-E2B6B69FC5A8}">
      <text>
        <t>[Threaded comment]
Your version of Excel allows you to read this threaded comment; however, any edits to it will get removed if the file is opened in a newer version of Excel. Learn more: https://go.microsoft.com/fwlink/?linkid=870924
Comment:
    confirmed</t>
      </text>
    </comment>
    <comment ref="U68" authorId="19" shapeId="0" xr:uid="{360941D5-BBCF-4535-8DC5-67501CE37A9B}">
      <text>
        <t>[Threaded comment]
Your version of Excel allows you to read this threaded comment; however, any edits to it will get removed if the file is opened in a newer version of Excel. Learn more: https://go.microsoft.com/fwlink/?linkid=870924
Comment:
    6% LC $2 TI
Reply:
    BP Lease Value is significantly lower than Executed Rate</t>
      </text>
    </comment>
    <comment ref="U77" authorId="20" shapeId="0" xr:uid="{2F280B3F-2018-4B95-941E-FC7222493F3A}">
      <text>
        <t>[Threaded comment]
Your version of Excel allows you to read this threaded comment; however, any edits to it will get removed if the file is opened in a newer version of Excel. Learn more: https://go.microsoft.com/fwlink/?linkid=870924
Comment:
    Tenant missed renewal per Option window and we converted them to NNN</t>
      </text>
    </comment>
    <comment ref="U87" authorId="21" shapeId="0" xr:uid="{27C1A110-0104-4E17-80A6-3B3875027405}">
      <text>
        <t>[Threaded comment]
Your version of Excel allows you to read this threaded comment; however, any edits to it will get removed if the file is opened in a newer version of Excel. Learn more: https://go.microsoft.com/fwlink/?linkid=870924
Comment:
    4% LC and $3 TI on a renewal. Renewal per Option is not modeled</t>
      </text>
    </comment>
    <comment ref="N90" authorId="22" shapeId="0" xr:uid="{D25F8860-8887-418A-B5B5-9D6E69F30555}">
      <text>
        <t>[Threaded comment]
Your version of Excel allows you to read this threaded comment; however, any edits to it will get removed if the file is opened in a newer version of Excel. Learn more: https://go.microsoft.com/fwlink/?linkid=870924
Comment:
    Capex amortized here therefore prior lease looks higher than executed rate (Fixed option)</t>
      </text>
    </comment>
    <comment ref="O90" authorId="23" shapeId="0" xr:uid="{3312A7D2-123A-4C7C-942C-746D8AA9E124}">
      <text>
        <t>[Threaded comment]
Your version of Excel allows you to read this threaded comment; however, any edits to it will get removed if the file is opened in a newer version of Excel. Learn more: https://go.microsoft.com/fwlink/?linkid=870924
Comment:
    4.37 fixed rate renewal option. Update BP Rate in Q4 23 reporting. Confirmed with Ahmed on 12/7/2023</t>
      </text>
    </comment>
    <comment ref="W94" authorId="24" shapeId="0" xr:uid="{D04B58E6-AF5B-42E6-9052-0172BA0EEA31}">
      <text>
        <t>[Threaded comment]
Your version of Excel allows you to read this threaded comment; however, any edits to it will get removed if the file is opened in a newer version of Excel. Learn more: https://go.microsoft.com/fwlink/?linkid=870924
Comment:
    BP does not have DT modeled after short term SLB expires</t>
      </text>
    </comment>
    <comment ref="U95" authorId="25" shapeId="0" xr:uid="{859BED8B-3AE0-4B95-94E5-D59C5615EF54}">
      <text>
        <t>[Threaded comment]
Your version of Excel allows you to read this threaded comment; however, any edits to it will get removed if the file is opened in a newer version of Excel. Learn more: https://go.microsoft.com/fwlink/?linkid=870924
Comment:
    Only for the expansion space. Taken from the BP Board</t>
      </text>
    </comment>
    <comment ref="N124" authorId="26" shapeId="0" xr:uid="{0B932E3E-1F4A-4C43-A81D-4CDA29107BC9}">
      <text>
        <t xml:space="preserve">[Threaded comment]
Your version of Excel allows you to read this threaded comment; however, any edits to it will get removed if the file is opened in a newer version of Excel. Learn more: https://go.microsoft.com/fwlink/?linkid=870924
Comment:
    Prior lease was the rate signed with Combocap which was above BP </t>
      </text>
    </comment>
    <comment ref="V129" authorId="27" shapeId="0" xr:uid="{36F9907C-E900-4A2E-BF51-6269739E25FE}">
      <text>
        <t xml:space="preserve">[Threaded comment]
Your version of Excel allows you to read this threaded comment; however, any edits to it will get removed if the file is opened in a newer version of Excel. Learn more: https://go.microsoft.com/fwlink/?linkid=870924
Comment:
    For AFS: They signed a lease for A, B and B1 on 4/1/2023
20,150 SF Suite A was inherited with AFS occupying in place
at acquisition, we put them on MTM until new LCD 4/1/2023 with 0 downtime
First Initial Expansion of 12,585 SF Suite B
Inherited T evicted with LXD 12/19/2022 to 4/1/2023 4 months DT
Delivery/ RCD expected 8/1
Second Expansion of 2,160 Suite B1
Vacant at acquisition 6/21/2023 to 4/1/2023 9 months DT
Delivery/ RCD expected 9/15 </t>
      </text>
    </comment>
    <comment ref="V130" authorId="28" shapeId="0" xr:uid="{E63ADD2B-FD4B-4913-8308-65C8CF5F972F}">
      <text>
        <t>[Threaded comment]
Your version of Excel allows you to read this threaded comment; however, any edits to it will get removed if the file is opened in a newer version of Excel. Learn more: https://go.microsoft.com/fwlink/?linkid=870924
Comment:
    Big Rig acq in August. LCD mid Dec. 4 mos DT</t>
      </text>
    </comment>
    <comment ref="N150" authorId="29" shapeId="0" xr:uid="{37FB6465-33B2-4283-9654-ADCC8CD89B02}">
      <text>
        <t>[Threaded comment]
Your version of Excel allows you to read this threaded comment; however, any edits to it will get removed if the file is opened in a newer version of Excel. Learn more: https://go.microsoft.com/fwlink/?linkid=870924
Comment:
    medeast</t>
      </text>
    </comment>
    <comment ref="U158" authorId="30" shapeId="0" xr:uid="{12992C37-3412-42F3-894A-A501C97564C4}">
      <text>
        <t>[Threaded comment]
Your version of Excel allows you to read this threaded comment; however, any edits to it will get removed if the file is opened in a newer version of Excel. Learn more: https://go.microsoft.com/fwlink/?linkid=870924
Comment:
    Small suite so the variance looks large.</t>
      </text>
    </comment>
    <comment ref="N171" authorId="31" shapeId="0" xr:uid="{1BC79D79-5B53-443E-9677-A46039C0B460}">
      <text>
        <t xml:space="preserve">[Threaded comment]
Your version of Excel allows you to read this threaded comment; however, any edits to it will get removed if the file is opened in a newer version of Excel. Learn more: https://go.microsoft.com/fwlink/?linkid=870924
Comment:
    Event Link has taken up 2 spaces that were previously DC Foam and Joerns. Both tenants were modgross. Hard coding the NNN rate here after discussing with AM </t>
      </text>
    </comment>
    <comment ref="N173" authorId="32" shapeId="0" xr:uid="{D594347D-ECF7-4EFC-B41B-243EF13A04CE}">
      <text>
        <t>[Threaded comment]
Your version of Excel allows you to read this threaded comment; however, any edits to it will get removed if the file is opened in a newer version of Excel. Learn more: https://go.microsoft.com/fwlink/?linkid=870924
Comment:
    $8.94 gross
$6.5 Net
Calcd with AM</t>
      </text>
    </comment>
    <comment ref="O200" authorId="33" shapeId="0" xr:uid="{54EA7B37-6C87-4531-AC62-68BCE2D595C8}">
      <text>
        <t>[Threaded comment]
Your version of Excel allows you to read this threaded comment; however, any edits to it will get removed if the file is opened in a newer version of Excel. Learn more: https://go.microsoft.com/fwlink/?linkid=870924
Comment:
    Market Rent $12.5 at Acq with 6% growth rate. US Tech assumed 100% renewal in 7/2022</t>
      </text>
    </comment>
    <comment ref="W200" authorId="34" shapeId="0" xr:uid="{83EFAB4B-5A1A-4FF4-8B99-522C572C472C}">
      <text>
        <t>[Threaded comment]
Your version of Excel allows you to read this threaded comment; however, any edits to it will get removed if the file is opened in a newer version of Excel. Learn more: https://go.microsoft.com/fwlink/?linkid=870924
Comment:
    US Tech assumed 100% renewal prob and no DT</t>
      </text>
    </comment>
    <comment ref="U203" authorId="35" shapeId="0" xr:uid="{626044FF-A2E2-46ED-BEEF-5A8199A2062F}">
      <text>
        <t>[Threaded comment]
Your version of Excel allows you to read this threaded comment; however, any edits to it will get removed if the file is opened in a newer version of Excel. Learn more: https://go.microsoft.com/fwlink/?linkid=870924
Comment:
    6% LC $7 TI</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tc={A4D9F810-D97E-45C0-8F20-CB01AAA1E6FC}</author>
    <author>tc={3E83DCBF-61C7-4CEE-877F-3C55DF45D2F8}</author>
  </authors>
  <commentList>
    <comment ref="B24" authorId="0" shapeId="0" xr:uid="{A4D9F810-D97E-45C0-8F20-CB01AAA1E6FC}">
      <text>
        <t xml:space="preserve">[Threaded comment]
Your version of Excel allows you to read this threaded comment; however, any edits to it will get removed if the file is opened in a newer version of Excel. Learn more: https://go.microsoft.com/fwlink/?linkid=870924
Comment:
    SLBs/ Known Vacates / Spaces with 0% Renewal probability since Inception
</t>
      </text>
    </comment>
    <comment ref="B28" authorId="1" shapeId="0" xr:uid="{3E83DCBF-61C7-4CEE-877F-3C55DF45D2F8}">
      <text>
        <t xml:space="preserve">[Threaded comment]
Your version of Excel allows you to read this threaded comment; however, any edits to it will get removed if the file is opened in a newer version of Excel. Learn more: https://go.microsoft.com/fwlink/?linkid=870924
Comment:
    SLBs/ Known Vacates / Spaces with 0% Renewal probability since Inception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tc={04C3CFDB-E76A-47F2-BC0B-2F1D88B1F3C9}</author>
  </authors>
  <commentList>
    <comment ref="L12" authorId="0" shapeId="0" xr:uid="{04C3CFDB-E76A-47F2-BC0B-2F1D88B1F3C9}">
      <text>
        <t>[Threaded comment]
Your version of Excel allows you to read this threaded comment; however, any edits to it will get removed if the file is opened in a newer version of Excel. Learn more: https://go.microsoft.com/fwlink/?linkid=870924
Comment:
    @Lee Abrams let's add same values precented by % of increase in an additiobal graph next to the nominal values</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<sst xmlns="http://schemas.openxmlformats.org/spreadsheetml/2006/main" count="13750" uniqueCount="1799">
  <si>
    <t>Total Leasing Activity (Fund 2 &amp; Fund 3)</t>
  </si>
  <si>
    <t>Quarters</t>
  </si>
  <si>
    <t>Leases</t>
  </si>
  <si>
    <t>SF Leased</t>
  </si>
  <si>
    <t>Leasing Spreads</t>
  </si>
  <si>
    <t>Downtime (Months)</t>
  </si>
  <si>
    <t>Contractual Rent Escalations</t>
  </si>
  <si>
    <t>Fund 2</t>
  </si>
  <si>
    <t>Rent Increase over prior lease</t>
  </si>
  <si>
    <t>Downtime</t>
  </si>
  <si>
    <t>Fund 3</t>
  </si>
  <si>
    <t>Q2 2021</t>
  </si>
  <si>
    <t>Q3 2021</t>
  </si>
  <si>
    <t>Q4 2021</t>
  </si>
  <si>
    <t>Q1 2022</t>
  </si>
  <si>
    <t>Q2 2022</t>
  </si>
  <si>
    <t>2H2024</t>
  </si>
  <si>
    <t>Q3 2022</t>
  </si>
  <si>
    <t>Q4 2022</t>
  </si>
  <si>
    <t>Q1 2023</t>
  </si>
  <si>
    <t>Q2 2023</t>
  </si>
  <si>
    <t>Q3 2023</t>
  </si>
  <si>
    <t>Q4 2023</t>
  </si>
  <si>
    <t>Q1 2024</t>
  </si>
  <si>
    <t>Q2 2024</t>
  </si>
  <si>
    <t>Q3 2024</t>
  </si>
  <si>
    <t>Q4 2024</t>
  </si>
  <si>
    <t>Total</t>
  </si>
  <si>
    <t>Business Plan</t>
  </si>
  <si>
    <t>For Charts</t>
  </si>
  <si>
    <t>Halfs</t>
  </si>
  <si>
    <t>Since Inception</t>
  </si>
  <si>
    <t>Q4 24 Activity</t>
  </si>
  <si>
    <t>New/Renewed Leases</t>
  </si>
  <si>
    <t>Size</t>
  </si>
  <si>
    <t>WALT (Years)</t>
  </si>
  <si>
    <t>Fund II</t>
  </si>
  <si>
    <t>Fund III</t>
  </si>
  <si>
    <t>Annual Rent Escalations</t>
  </si>
  <si>
    <t>Actual</t>
  </si>
  <si>
    <t>Leasing Activity Since Inception</t>
  </si>
  <si>
    <r>
      <t>Market</t>
    </r>
    <r>
      <rPr>
        <sz val="9"/>
        <color rgb="FFFFFFFF"/>
        <rFont val="Calibri Light"/>
        <family val="2"/>
      </rPr>
      <t>​</t>
    </r>
  </si>
  <si>
    <r>
      <t># Deals (1)</t>
    </r>
    <r>
      <rPr>
        <sz val="9"/>
        <color rgb="FFFFFFFF"/>
        <rFont val="Calibri Light"/>
        <family val="2"/>
      </rPr>
      <t>​</t>
    </r>
  </si>
  <si>
    <r>
      <t>Term (mos)</t>
    </r>
    <r>
      <rPr>
        <sz val="9"/>
        <color rgb="FFFFFFFF"/>
        <rFont val="Calibri Light"/>
        <family val="2"/>
      </rPr>
      <t>​</t>
    </r>
  </si>
  <si>
    <r>
      <t>                           Total SF</t>
    </r>
    <r>
      <rPr>
        <sz val="9"/>
        <color rgb="FFFFFFFF"/>
        <rFont val="Calibri Light"/>
        <family val="2"/>
      </rPr>
      <t>​</t>
    </r>
  </si>
  <si>
    <r>
      <t>Prior Lease PSF</t>
    </r>
    <r>
      <rPr>
        <sz val="9"/>
        <color rgb="FFFFFFFF"/>
        <rFont val="Calibri Light"/>
        <family val="2"/>
      </rPr>
      <t>​</t>
    </r>
  </si>
  <si>
    <r>
      <t>PSF (BP)</t>
    </r>
    <r>
      <rPr>
        <sz val="9"/>
        <color rgb="FFFFFFFF"/>
        <rFont val="Calibri Light"/>
        <family val="2"/>
      </rPr>
      <t>​</t>
    </r>
  </si>
  <si>
    <r>
      <t>Current PSF</t>
    </r>
    <r>
      <rPr>
        <sz val="9"/>
        <color rgb="FFFFFFFF"/>
        <rFont val="Calibri Light"/>
        <family val="2"/>
      </rPr>
      <t>​</t>
    </r>
  </si>
  <si>
    <r>
      <t>Escalations</t>
    </r>
    <r>
      <rPr>
        <sz val="9"/>
        <color rgb="FFFFFFFF"/>
        <rFont val="Calibri Light"/>
        <family val="2"/>
      </rPr>
      <t>​</t>
    </r>
  </si>
  <si>
    <r>
      <t>Escalations BP</t>
    </r>
    <r>
      <rPr>
        <sz val="9"/>
        <color rgb="FFFFFFFF"/>
        <rFont val="Calibri Light"/>
        <family val="2"/>
      </rPr>
      <t>​</t>
    </r>
  </si>
  <si>
    <r>
      <t>Rent Inc over Prior Leases (3)</t>
    </r>
    <r>
      <rPr>
        <sz val="9"/>
        <color rgb="FFFFFFFF"/>
        <rFont val="Calibri Light"/>
        <family val="2"/>
      </rPr>
      <t>​</t>
    </r>
  </si>
  <si>
    <r>
      <t>Rent Increase over BP</t>
    </r>
    <r>
      <rPr>
        <sz val="9"/>
        <color rgb="FFFFFFFF"/>
        <rFont val="Calibri Light"/>
        <family val="2"/>
      </rPr>
      <t>​</t>
    </r>
  </si>
  <si>
    <t>1. Deals represent executed leases with term &gt; 12 months​</t>
  </si>
  <si>
    <t>2. Rent Increase over Prior Lease calculation excludes spaces that were previously vacant​</t>
  </si>
  <si>
    <t>Fund 2 Since Inception</t>
  </si>
  <si>
    <r>
      <t>Rent Inc over Prior Leases (2)</t>
    </r>
    <r>
      <rPr>
        <sz val="9"/>
        <color rgb="FFFFFFFF"/>
        <rFont val="Calibri Light"/>
        <family val="2"/>
      </rPr>
      <t>​</t>
    </r>
  </si>
  <si>
    <t>Fund 3 Since Inception</t>
  </si>
  <si>
    <t>Current Quarter Leasing Activity</t>
  </si>
  <si>
    <t>FM PSF</t>
  </si>
  <si>
    <t>Current Quarter Leasing Activity - Fund 2</t>
  </si>
  <si>
    <r>
      <t>Term (yr)</t>
    </r>
    <r>
      <rPr>
        <sz val="9"/>
        <color rgb="FFFFFFFF"/>
        <rFont val="Calibri Light"/>
        <family val="2"/>
      </rPr>
      <t>​</t>
    </r>
  </si>
  <si>
    <t>2. CTV (Cost to Value) includes TI, LC and FR​</t>
  </si>
  <si>
    <t>3. Rent Increase over Prior Lease calculation excludes spaces that were previously vacant​</t>
  </si>
  <si>
    <t>Current Quarter Leasing Activity - Fund 3</t>
  </si>
  <si>
    <t>DT</t>
  </si>
  <si>
    <t>DT BP</t>
  </si>
  <si>
    <t>Quarter</t>
  </si>
  <si>
    <t>Q</t>
  </si>
  <si>
    <t>Var</t>
  </si>
  <si>
    <t>Leases exceeding DT BP</t>
  </si>
  <si>
    <t>Total Leases</t>
  </si>
  <si>
    <t>Last 4 quarters</t>
  </si>
  <si>
    <t>% leases exceeding DT BP in the last 4 quarters</t>
  </si>
  <si>
    <t>Inception to Date</t>
  </si>
  <si>
    <t>NIKE IS EXCLUDED</t>
  </si>
  <si>
    <t>Percentile (Total Lease Value)</t>
  </si>
  <si>
    <t>Leasing activity</t>
  </si>
  <si>
    <t>Median (Total Lease Value)</t>
  </si>
  <si>
    <t>Average Lease Value ^^</t>
  </si>
  <si>
    <t>Total Lease Value ^^</t>
  </si>
  <si>
    <t>Percentile Rank of $1M Total Lease Value</t>
  </si>
  <si>
    <t>Name</t>
  </si>
  <si>
    <t>Activity Type</t>
  </si>
  <si>
    <t>Activity Strategy</t>
  </si>
  <si>
    <t>BP Stategy</t>
  </si>
  <si>
    <t>BP / In-Place Rate</t>
  </si>
  <si>
    <t>Market</t>
  </si>
  <si>
    <t>SLB</t>
  </si>
  <si>
    <t>Tenant Name</t>
  </si>
  <si>
    <t>Term (Months)</t>
  </si>
  <si>
    <t>SF</t>
  </si>
  <si>
    <t>Total Cost as of Prior Quarter Ending</t>
  </si>
  <si>
    <t>Property SF</t>
  </si>
  <si>
    <t>YOC</t>
  </si>
  <si>
    <t>Prior Lease PSF</t>
  </si>
  <si>
    <t>PSF (BP)</t>
  </si>
  <si>
    <t>PSF</t>
  </si>
  <si>
    <t>Escalations</t>
  </si>
  <si>
    <t>Escalation (BP)</t>
  </si>
  <si>
    <t>CTV</t>
  </si>
  <si>
    <t>CTV (BP)</t>
  </si>
  <si>
    <t>Downtime (BP)</t>
  </si>
  <si>
    <t>LC</t>
  </si>
  <si>
    <t>TI per SF</t>
  </si>
  <si>
    <t>TI</t>
  </si>
  <si>
    <t>Other Costs</t>
  </si>
  <si>
    <t>FR</t>
  </si>
  <si>
    <t>Total Costs</t>
  </si>
  <si>
    <t>Total Lease Value</t>
  </si>
  <si>
    <t>Fund</t>
  </si>
  <si>
    <t>Date deal signed</t>
  </si>
  <si>
    <t>MR Model PSF</t>
  </si>
  <si>
    <t>M2M Model PSF</t>
  </si>
  <si>
    <t>MR % Error</t>
  </si>
  <si>
    <t>M2M % Error</t>
  </si>
  <si>
    <t>Credit Score</t>
  </si>
  <si>
    <t>AML</t>
  </si>
  <si>
    <t>Rexy</t>
  </si>
  <si>
    <t>Yardi Property Code</t>
  </si>
  <si>
    <t>&gt;&gt;&gt; CALCULATED FIELDS FOR PIVOT TABLE</t>
  </si>
  <si>
    <t>MR % Error over BP</t>
  </si>
  <si>
    <t>M2M % Error over BP</t>
  </si>
  <si>
    <t>Activity Type : New Lease or Renewal</t>
  </si>
  <si>
    <t>Half</t>
  </si>
  <si>
    <t>Size Range</t>
  </si>
  <si>
    <t>Prior Lease SF</t>
  </si>
  <si>
    <t>SF * Prior Lease PSF</t>
  </si>
  <si>
    <t>SF * PSF (BP)</t>
  </si>
  <si>
    <t>SF * FM PSF</t>
  </si>
  <si>
    <t>Prior Lease SF * PSF</t>
  </si>
  <si>
    <t>SF * PSF</t>
  </si>
  <si>
    <t>PSF of spaces that were previously occupied * SF</t>
  </si>
  <si>
    <t>SF * MR</t>
  </si>
  <si>
    <t>SF * M2M</t>
  </si>
  <si>
    <t>DT * SF</t>
  </si>
  <si>
    <t>New Lease SF</t>
  </si>
  <si>
    <t>DT BP * SF</t>
  </si>
  <si>
    <t>Rent of Leases with FR</t>
  </si>
  <si>
    <t>FR (months)</t>
  </si>
  <si>
    <t>FR (months) * SF * PSF</t>
  </si>
  <si>
    <t>Rent Bumps</t>
  </si>
  <si>
    <t>Rent Bumps (BP)</t>
  </si>
  <si>
    <t>770 Arthur Avenue</t>
  </si>
  <si>
    <t>New Lease</t>
  </si>
  <si>
    <t>Chicago</t>
  </si>
  <si>
    <t>Innoved Institute</t>
  </si>
  <si>
    <t>1,394,509.05</t>
  </si>
  <si>
    <t>FUND2[FRG_10]</t>
  </si>
  <si>
    <t>5</t>
  </si>
  <si>
    <t>Pass</t>
  </si>
  <si>
    <t>8.06</t>
  </si>
  <si>
    <t>xil770ar</t>
  </si>
  <si>
    <t>4507 Mills Place Southwest</t>
  </si>
  <si>
    <t>Atlanta</t>
  </si>
  <si>
    <t>Magic Screenprint / Retro Vert</t>
  </si>
  <si>
    <t>xga4507m</t>
  </si>
  <si>
    <t>3338 Democrat Road</t>
  </si>
  <si>
    <t>Renewal</t>
  </si>
  <si>
    <t>Memphis</t>
  </si>
  <si>
    <t>Overhead Door Corporation</t>
  </si>
  <si>
    <t>306,551.90</t>
  </si>
  <si>
    <t>FUND3[FRG_11]</t>
  </si>
  <si>
    <t>Not Completed</t>
  </si>
  <si>
    <t>5.27</t>
  </si>
  <si>
    <t>3tn00001</t>
  </si>
  <si>
    <t>4025 Steve Reynolds</t>
  </si>
  <si>
    <t>Delta Landscape Supply of Georgia, Inc.</t>
  </si>
  <si>
    <t/>
  </si>
  <si>
    <t>392,417.29</t>
  </si>
  <si>
    <t>4.5</t>
  </si>
  <si>
    <t>9.44</t>
  </si>
  <si>
    <t>3ga00007</t>
  </si>
  <si>
    <t>200-204 Evans Way</t>
  </si>
  <si>
    <t>North New Jersey</t>
  </si>
  <si>
    <t>Zeus Scientific, Inc.</t>
  </si>
  <si>
    <t>3nj00020</t>
  </si>
  <si>
    <t>420 S. Ware</t>
  </si>
  <si>
    <t>Tampa</t>
  </si>
  <si>
    <t>Matheson</t>
  </si>
  <si>
    <t>xfl420sw</t>
  </si>
  <si>
    <t>1601-1641 Sherman Avenue</t>
  </si>
  <si>
    <t>Greater Philadelphia</t>
  </si>
  <si>
    <t>The Printer Inc. (TPI)</t>
  </si>
  <si>
    <t>xnj1601s</t>
  </si>
  <si>
    <t>12080 Mosteller</t>
  </si>
  <si>
    <t>Cincinnati</t>
  </si>
  <si>
    <t>The Gorilla Glue Company LLC</t>
  </si>
  <si>
    <t>xohmost</t>
  </si>
  <si>
    <t>400 Water Street</t>
  </si>
  <si>
    <t>L&amp;W Supply Corporation</t>
  </si>
  <si>
    <t>6</t>
  </si>
  <si>
    <t>xnj400wa</t>
  </si>
  <si>
    <t>4133-4175 Senator St</t>
  </si>
  <si>
    <t>Network Communications Systems, LLC</t>
  </si>
  <si>
    <t>N/A-Deal under $100K Total Rent</t>
  </si>
  <si>
    <t>3tn00016</t>
  </si>
  <si>
    <t>4600 &amp; 4630 Frederick Drive</t>
  </si>
  <si>
    <t>Fastenal Company</t>
  </si>
  <si>
    <t>9.5</t>
  </si>
  <si>
    <t>xga4600f</t>
  </si>
  <si>
    <t>2101 Westinghouse Boulevard</t>
  </si>
  <si>
    <t>Charlotte</t>
  </si>
  <si>
    <t>cbdMD, Inc.</t>
  </si>
  <si>
    <t>3nc00004</t>
  </si>
  <si>
    <t>12080 Mosteller Road</t>
  </si>
  <si>
    <t>Appliance Factory</t>
  </si>
  <si>
    <t>9176 Red Branch Road</t>
  </si>
  <si>
    <t>Baltimore/DC</t>
  </si>
  <si>
    <t>Casey's Coffee, Inc.</t>
  </si>
  <si>
    <t>3md00001</t>
  </si>
  <si>
    <t>2101 Arthur Avenue</t>
  </si>
  <si>
    <t>Centerpoint Marketing Inc.</t>
  </si>
  <si>
    <t>xil2101</t>
  </si>
  <si>
    <t>3040 – 3050 E 14th Avenue</t>
  </si>
  <si>
    <t>Columbus</t>
  </si>
  <si>
    <t>True World Foods</t>
  </si>
  <si>
    <t>xohcolu3</t>
  </si>
  <si>
    <t>305 E North Ave - THE MCALEAR GROUP, INC</t>
  </si>
  <si>
    <t>The McAlear Group</t>
  </si>
  <si>
    <t>xil305e</t>
  </si>
  <si>
    <t>I-LOG dba Waylanders - 3333 N Canal</t>
  </si>
  <si>
    <t>Jacksonville</t>
  </si>
  <si>
    <t>I-Log dba Waylanders</t>
  </si>
  <si>
    <t>xfl3333c</t>
  </si>
  <si>
    <t>4026-4080 Senator St</t>
  </si>
  <si>
    <t>La Michoacana Wholesale, Inc.</t>
  </si>
  <si>
    <t>3tn00013</t>
  </si>
  <si>
    <t>4179-4189 Senator St</t>
  </si>
  <si>
    <t>Arnett Logistics Group LLC</t>
  </si>
  <si>
    <t>3tn00017</t>
  </si>
  <si>
    <t>Kee Pest Control Inc.</t>
  </si>
  <si>
    <t>1145 Battlecreek</t>
  </si>
  <si>
    <t>Snap Tire, Inc.</t>
  </si>
  <si>
    <t>xga1145b</t>
  </si>
  <si>
    <t>2060-2098 Integrity Drive</t>
  </si>
  <si>
    <t>Packard Forest Products</t>
  </si>
  <si>
    <t>3oh00001</t>
  </si>
  <si>
    <t>5 Mary Way - Proskills</t>
  </si>
  <si>
    <t>Expansion</t>
  </si>
  <si>
    <t>Pro Skills Baseball, LLC and JD Fast Pitch, LLC</t>
  </si>
  <si>
    <t>xnjmway5</t>
  </si>
  <si>
    <t>9176 Red Branch</t>
  </si>
  <si>
    <t>Xcision Medical Systems, LLC</t>
  </si>
  <si>
    <t>2616 Andjon Drive</t>
  </si>
  <si>
    <t>Dallas</t>
  </si>
  <si>
    <t>Z&amp;A Enterprises, LLC</t>
  </si>
  <si>
    <t>xtx2616a</t>
  </si>
  <si>
    <t>12080 Mosteller - Gorilla Glue (expansion)</t>
  </si>
  <si>
    <t>19-05 Nevins Road</t>
  </si>
  <si>
    <t>RD Foods</t>
  </si>
  <si>
    <t>xnj19nev</t>
  </si>
  <si>
    <t>4200 Macalaster Street</t>
  </si>
  <si>
    <t>Renewal per Option</t>
  </si>
  <si>
    <t>Ehmke Manufacturing Co., Inc</t>
  </si>
  <si>
    <t>xpa4200m</t>
  </si>
  <si>
    <t>26 Hanes Drive</t>
  </si>
  <si>
    <t>Z.One Concept USA</t>
  </si>
  <si>
    <t>3nj00003</t>
  </si>
  <si>
    <t>3272 Democrat</t>
  </si>
  <si>
    <t xml:space="preserve">Motion Industries, Inc. </t>
  </si>
  <si>
    <t>3tn00004</t>
  </si>
  <si>
    <t>130 James Aldredge Blvd (Kirnland Foods_dba HF Foods)</t>
  </si>
  <si>
    <t>Kirnland Food Distribution Inc</t>
  </si>
  <si>
    <t>xga130j</t>
  </si>
  <si>
    <t>Spring Creek Park</t>
  </si>
  <si>
    <t>Tri-State Car Wash Supplies, LLC</t>
  </si>
  <si>
    <t>3tx00015</t>
  </si>
  <si>
    <t>241 James/1071 Judson - Fitzsimmons</t>
  </si>
  <si>
    <t>Fitzsimmons Surgical Supply, Inc.</t>
  </si>
  <si>
    <t>xil231ja</t>
  </si>
  <si>
    <t>4646 South Grady Avenue</t>
  </si>
  <si>
    <t>QG Printing II LLC</t>
  </si>
  <si>
    <t>xfl4646g</t>
  </si>
  <si>
    <t>Custom Piping System - 9615 Ball st, San Antonio</t>
  </si>
  <si>
    <t>San Antonio</t>
  </si>
  <si>
    <t>Custom Piping System</t>
  </si>
  <si>
    <t>xtxball</t>
  </si>
  <si>
    <t>224 James - Triple Trading</t>
  </si>
  <si>
    <t>Triple Trading</t>
  </si>
  <si>
    <t>xil222ja</t>
  </si>
  <si>
    <t>801 Blacklawn Road</t>
  </si>
  <si>
    <t>Clique Here, LLC</t>
  </si>
  <si>
    <t>3ga00002</t>
  </si>
  <si>
    <t>ACC Brakers - 10501 King William Dr</t>
  </si>
  <si>
    <t>ACC Brakers</t>
  </si>
  <si>
    <t>xtx1050k</t>
  </si>
  <si>
    <t>4225_phil_niekro_atl (Lucky River Fish_ste_107)</t>
  </si>
  <si>
    <t>Lucky River Seafood</t>
  </si>
  <si>
    <t>xga4225</t>
  </si>
  <si>
    <t>3380 Grand-Northstar Trading</t>
  </si>
  <si>
    <t>Re-tenant</t>
  </si>
  <si>
    <t>Stabilized</t>
  </si>
  <si>
    <t>Northstar Trading</t>
  </si>
  <si>
    <t>3il00004</t>
  </si>
  <si>
    <t>201 James Street</t>
  </si>
  <si>
    <t>JL Services Group, Inc.</t>
  </si>
  <si>
    <t>xil201ja</t>
  </si>
  <si>
    <t>OEM 19 Industrial</t>
  </si>
  <si>
    <t>OEM Accessories Incorporated</t>
  </si>
  <si>
    <t>xnj19ind</t>
  </si>
  <si>
    <t>420 Benigno Boulevard</t>
  </si>
  <si>
    <t>Kings Management Company</t>
  </si>
  <si>
    <t>xnj420be</t>
  </si>
  <si>
    <t>12080 Mosteller - Rite Rug</t>
  </si>
  <si>
    <t>Rite Rug Co.</t>
  </si>
  <si>
    <t>95 Bauer Drive</t>
  </si>
  <si>
    <t>Kradle to Kindergarten, Inc.</t>
  </si>
  <si>
    <t>xnj95bau</t>
  </si>
  <si>
    <t>9 Mary Way - Cryovation</t>
  </si>
  <si>
    <t>Cryovation LLC</t>
  </si>
  <si>
    <t>xnjmway9</t>
  </si>
  <si>
    <t>6 Pearl Court</t>
  </si>
  <si>
    <t>TBS Controls, LLC</t>
  </si>
  <si>
    <t>3nj00014</t>
  </si>
  <si>
    <t>7 Mary Way - Liberty Hardware</t>
  </si>
  <si>
    <t>Philadelphia Hardware Group, Inc.</t>
  </si>
  <si>
    <t>xnjmway7</t>
  </si>
  <si>
    <t>3 Pearl Court</t>
  </si>
  <si>
    <t>WAB US Corporation</t>
  </si>
  <si>
    <t>3nj00012</t>
  </si>
  <si>
    <t>Tradeforce - 3113 Glenfield Ave</t>
  </si>
  <si>
    <t>TradeForce, Inc</t>
  </si>
  <si>
    <t>xtxglen</t>
  </si>
  <si>
    <t>17-01 Pollitt Drive - Kyodo</t>
  </si>
  <si>
    <t>Kyodo Shipping and Trading USA, Corp</t>
  </si>
  <si>
    <t>xnj17pol</t>
  </si>
  <si>
    <t>4525 McEwen Road</t>
  </si>
  <si>
    <t>Worldpac, Inc.</t>
  </si>
  <si>
    <t>3tx00012</t>
  </si>
  <si>
    <t>4290 Delp - Darby Dental</t>
  </si>
  <si>
    <t>Darby Dental</t>
  </si>
  <si>
    <t>xtndelp1</t>
  </si>
  <si>
    <t>12080 Mosteller - KDM Signs</t>
  </si>
  <si>
    <t>KDM Signs, Inc.</t>
  </si>
  <si>
    <t>812 Greenleaf-Ultimate Stone Inc</t>
  </si>
  <si>
    <t>Lease up</t>
  </si>
  <si>
    <t>Ultimate Stone Inc</t>
  </si>
  <si>
    <t>3il00007</t>
  </si>
  <si>
    <t>3 Mary Way - ABC Supply</t>
  </si>
  <si>
    <t>ABC Supply</t>
  </si>
  <si>
    <t>xnjmway3</t>
  </si>
  <si>
    <t>153 Bauer</t>
  </si>
  <si>
    <t>Premio Sausage</t>
  </si>
  <si>
    <t>3nj00002</t>
  </si>
  <si>
    <t>2200 Executive Street</t>
  </si>
  <si>
    <t>Charlotte Water</t>
  </si>
  <si>
    <t>3nc00005</t>
  </si>
  <si>
    <t>3338-3352 Democrat</t>
  </si>
  <si>
    <t>AMERICAN BUILDERS &amp; CONTRACTORS SUPPLY CO., INC - Exp.</t>
  </si>
  <si>
    <t>2005 Marietta (Brasfield &amp; Gorrie)</t>
  </si>
  <si>
    <t>Brasfield Gorrie</t>
  </si>
  <si>
    <t>3ga00004</t>
  </si>
  <si>
    <t>Biosil Technologies, Inc.</t>
  </si>
  <si>
    <t>8154 Bracken Creek Drive</t>
  </si>
  <si>
    <t>Tormax USA, Inc</t>
  </si>
  <si>
    <t>xtx8154b</t>
  </si>
  <si>
    <t>220 NJ-70- Simonik</t>
  </si>
  <si>
    <t>Simonik</t>
  </si>
  <si>
    <t>xnj220r</t>
  </si>
  <si>
    <t>2005 Marietta (Gaylor Elec)</t>
  </si>
  <si>
    <t>Gaylor Electric</t>
  </si>
  <si>
    <t>10507 King William - Sky House Distribution</t>
  </si>
  <si>
    <t>Sky House Distribution, Inc.</t>
  </si>
  <si>
    <t>2060 N Integrity Dr.- Ross Restoration- 17,000 sqft</t>
  </si>
  <si>
    <t>Ross Restoration</t>
  </si>
  <si>
    <t>10501 King William - Sky House Distribution</t>
  </si>
  <si>
    <t>265 Castleberry (Struxure)</t>
  </si>
  <si>
    <t>StruXure Outdoor, LLC</t>
  </si>
  <si>
    <t>xga265c</t>
  </si>
  <si>
    <t>224 James - Sun Badger Solar LLC</t>
  </si>
  <si>
    <t>Sun Badger Solar LLC</t>
  </si>
  <si>
    <t>Merritt: 128 Bauer Drive, Oakland</t>
  </si>
  <si>
    <t>Merritt</t>
  </si>
  <si>
    <t>xnj128ba</t>
  </si>
  <si>
    <t>3471 Atlanta Industrial</t>
  </si>
  <si>
    <t>Atlantic Chemical and Equipment Company</t>
  </si>
  <si>
    <t>xga3471a</t>
  </si>
  <si>
    <t>9 S. Forrest Avenue- 911 SE</t>
  </si>
  <si>
    <t>3pa00001</t>
  </si>
  <si>
    <t>4630 FrederickA Suite A ( Tradavo)</t>
  </si>
  <si>
    <t>Tradavo Inc</t>
  </si>
  <si>
    <t>3651 Clearview (TLC Rents, LLC) (copy)</t>
  </si>
  <si>
    <t>TLC Rents</t>
  </si>
  <si>
    <t>xga3651c</t>
  </si>
  <si>
    <t>440 Benigno Blvd - Studio 9Eight, LLC</t>
  </si>
  <si>
    <t>Studio 9Eight</t>
  </si>
  <si>
    <t>xnj440be</t>
  </si>
  <si>
    <t>12150 Shiloh - Tex-Sun Shade Specialties</t>
  </si>
  <si>
    <t>Tex Sun Shade</t>
  </si>
  <si>
    <t>xtx12150</t>
  </si>
  <si>
    <t>Logisteed America</t>
  </si>
  <si>
    <t>231 James - Skala Manufacuring</t>
  </si>
  <si>
    <t>Skala Manufacturing</t>
  </si>
  <si>
    <t>382 Circle Freeway Dr.- Trane</t>
  </si>
  <si>
    <t>Trane U.S. Inc.(DSM)</t>
  </si>
  <si>
    <t>xoh382c</t>
  </si>
  <si>
    <t>2500 W Lake</t>
  </si>
  <si>
    <t>A. Messe &amp; Sons Corp.</t>
  </si>
  <si>
    <t>xil2500w</t>
  </si>
  <si>
    <t>420 S Ware: Suite C (Sigma Marble)</t>
  </si>
  <si>
    <t>Sigma Marble &amp; Granite-Florida, Inc.</t>
  </si>
  <si>
    <t>9100 Pennsauken Highway</t>
  </si>
  <si>
    <t>CS 9100, INC.</t>
  </si>
  <si>
    <t>xnj9100p</t>
  </si>
  <si>
    <t>2066 N Integrity Dr- Benchmark Building Supply</t>
  </si>
  <si>
    <t>Benchmark Building Supply,Inc.</t>
  </si>
  <si>
    <t>59 Chambers Brook Road, NJ - ADT</t>
  </si>
  <si>
    <t>ADT</t>
  </si>
  <si>
    <t>xnj59cha</t>
  </si>
  <si>
    <t>1688 Glen Ellyn Rd - KKSP</t>
  </si>
  <si>
    <t>KKSP</t>
  </si>
  <si>
    <t>xil1688</t>
  </si>
  <si>
    <t>800 Greenleaf - Mid America Safety</t>
  </si>
  <si>
    <t>M2M</t>
  </si>
  <si>
    <t>Mid America Safety</t>
  </si>
  <si>
    <t>8361 Town Center Court - JES Groundworks</t>
  </si>
  <si>
    <t>JES Groundworks</t>
  </si>
  <si>
    <t>3md00003</t>
  </si>
  <si>
    <t>802 Greenleaf - Krishiv Foods</t>
  </si>
  <si>
    <t>Krishiv Foods</t>
  </si>
  <si>
    <t>1585_Roadhaven_atl (Inliner Solutions LLC)</t>
  </si>
  <si>
    <t>Inliner Solutions</t>
  </si>
  <si>
    <t>xga1585r</t>
  </si>
  <si>
    <t>1 Territorial Ct - Turbo Systems</t>
  </si>
  <si>
    <t>Turbo Systems US Inc.</t>
  </si>
  <si>
    <t>xil1terr</t>
  </si>
  <si>
    <t>1080 Entry - Lincare Inc</t>
  </si>
  <si>
    <t>Lincare Inc</t>
  </si>
  <si>
    <t>4728 Goldfield Buildings 1&amp;2 - DFW Movers &amp; Erectors Inc.</t>
  </si>
  <si>
    <t>DFW Movers &amp; Erectors Inc.</t>
  </si>
  <si>
    <t>xtxritti</t>
  </si>
  <si>
    <t>800 Wharton (Formations Studio, renewal)</t>
  </si>
  <si>
    <t>Formations Studio LLC</t>
  </si>
  <si>
    <t>xga800wh</t>
  </si>
  <si>
    <t>Forestwood Farms</t>
  </si>
  <si>
    <t>Forestwood Farms, Inc.</t>
  </si>
  <si>
    <t>xtn225bo</t>
  </si>
  <si>
    <t>4535 McEwen - Consolidated Clothiers</t>
  </si>
  <si>
    <t>Consolidated Clothiers Inc.</t>
  </si>
  <si>
    <t>2900 Jones Mill Road</t>
  </si>
  <si>
    <t>Reliable Restoration</t>
  </si>
  <si>
    <t>xga2900j</t>
  </si>
  <si>
    <t>145 Algonquin Parkway</t>
  </si>
  <si>
    <t>Computechsale</t>
  </si>
  <si>
    <t>xnj145al</t>
  </si>
  <si>
    <t>9330 Ind Trace (Myers Tire Renewal)</t>
  </si>
  <si>
    <t>Myers Tire</t>
  </si>
  <si>
    <t>xga9330</t>
  </si>
  <si>
    <t>4255 Mcever (Trussway, renewal per option)</t>
  </si>
  <si>
    <t>Trussway LTD</t>
  </si>
  <si>
    <t>xgamc255</t>
  </si>
  <si>
    <t>4260 McEver (Trussway, M2M renewal)</t>
  </si>
  <si>
    <t>xgamc260</t>
  </si>
  <si>
    <t>4220 McEver (Trussway, M2M renewal)</t>
  </si>
  <si>
    <t>xgamc220</t>
  </si>
  <si>
    <t>1101 Venture Ct.</t>
  </si>
  <si>
    <t>EGL Motors</t>
  </si>
  <si>
    <t>3tx00011</t>
  </si>
  <si>
    <t>IMCD</t>
  </si>
  <si>
    <t>201 James St</t>
  </si>
  <si>
    <t xml:space="preserve">Frontier Electric Supply </t>
  </si>
  <si>
    <t>14-16 Thomas J Rhodes - Mule Extracts</t>
  </si>
  <si>
    <t>Mule Extracts LLC</t>
  </si>
  <si>
    <t>xnj14th</t>
  </si>
  <si>
    <t>156 Algonquin- Whippany Athletic Club</t>
  </si>
  <si>
    <t>Whippany Athletic Club, LLC</t>
  </si>
  <si>
    <t>xnj156al</t>
  </si>
  <si>
    <t>18 Railroad - Bengal Converting Services</t>
  </si>
  <si>
    <t>Bengal Converting Services</t>
  </si>
  <si>
    <t>xpa18rai</t>
  </si>
  <si>
    <t>1 Pearl Buck Court- NES</t>
  </si>
  <si>
    <t>Penn Detroit Diesel Allison, LLC (NES)</t>
  </si>
  <si>
    <t>9.81</t>
  </si>
  <si>
    <t>K1 Racing- 7970 Central Industrial Blvd</t>
  </si>
  <si>
    <t>Miami</t>
  </si>
  <si>
    <t>K1 Racing</t>
  </si>
  <si>
    <t>3fl00002</t>
  </si>
  <si>
    <t>7055 Central Highway - Building 1- Serious Shops</t>
  </si>
  <si>
    <t>Serious Shops LLC</t>
  </si>
  <si>
    <t>xnjcentr</t>
  </si>
  <si>
    <t>2614 Andjon (Sila-M LLC)</t>
  </si>
  <si>
    <t>Sila-M LLC</t>
  </si>
  <si>
    <t>30 Leslie Court - Gotham FC</t>
  </si>
  <si>
    <t>Gotham FC</t>
  </si>
  <si>
    <t>xnj30les</t>
  </si>
  <si>
    <t>128 Bauer - NuProduct Seasonsing (dba NuSprice)</t>
  </si>
  <si>
    <t>Goldstein &amp; Burton</t>
  </si>
  <si>
    <t>2009 Dorsey (CC Image_Renewal per option)</t>
  </si>
  <si>
    <t>CC Image Group Inc</t>
  </si>
  <si>
    <t>xgadors</t>
  </si>
  <si>
    <t>Redeemed Plastics 225 Bobrick dr</t>
  </si>
  <si>
    <t>Redeemed Plastics</t>
  </si>
  <si>
    <t>Tri-State Tire - 3272 Democrat rd</t>
  </si>
  <si>
    <t>Tri State Tire Wholesale</t>
  </si>
  <si>
    <t>3tn00003</t>
  </si>
  <si>
    <t>125 Algonquin - Combo Cap</t>
  </si>
  <si>
    <t>Combo Cap.</t>
  </si>
  <si>
    <t>xnj125al</t>
  </si>
  <si>
    <t>4290 Delp - Ships-A-Lot</t>
  </si>
  <si>
    <t>Ships-A-Lot</t>
  </si>
  <si>
    <t>125 Algonquin Parkway</t>
  </si>
  <si>
    <t>Krowne Metal Corporate</t>
  </si>
  <si>
    <t>Motion Industries - 3272 Democrat Rd</t>
  </si>
  <si>
    <t>Motion Industries</t>
  </si>
  <si>
    <t>3350 Hamilton (Harwood Pallets, ste 200/300)</t>
  </si>
  <si>
    <t>Harwood Pallets Services LLC</t>
  </si>
  <si>
    <t>xga3350h</t>
  </si>
  <si>
    <t>Caricom Freight Consolidators - 14735 NW 25th Ct</t>
  </si>
  <si>
    <t>BringCom</t>
  </si>
  <si>
    <t>3fl00001</t>
  </si>
  <si>
    <t>Thorpe Products - 3348 Democrat Rd</t>
  </si>
  <si>
    <t>Thorpe Products Company</t>
  </si>
  <si>
    <t>3041 Marwin - AFS Unit A (South Side)</t>
  </si>
  <si>
    <t>AFS World Truck Repair LP</t>
  </si>
  <si>
    <t>xpa3041m</t>
  </si>
  <si>
    <t>Flowers Baking Co. of Batesville, LLC</t>
  </si>
  <si>
    <t xml:space="preserve">4600&amp;4630 Frederick Drive </t>
  </si>
  <si>
    <t>USA Family Moving</t>
  </si>
  <si>
    <t>3276 Democrat rd suite 4-5 - Penske</t>
  </si>
  <si>
    <t>Penske</t>
  </si>
  <si>
    <t>5070 Minola (New Tenant, Ashanti, LCD 8/1)</t>
  </si>
  <si>
    <t>Ashanti Films</t>
  </si>
  <si>
    <t>xga5070</t>
  </si>
  <si>
    <t>770 Arthur - Sigma Global</t>
  </si>
  <si>
    <t>Sigma Global, Inc.</t>
  </si>
  <si>
    <t>Primo Water (Clear Mtn.) - 3338 Democrat Rd., Memphis, TN</t>
  </si>
  <si>
    <t>Clear Mountain Refreshment Services</t>
  </si>
  <si>
    <t>3961 Outland McMillon Logisitics</t>
  </si>
  <si>
    <t>McMillon Logistics</t>
  </si>
  <si>
    <t>xtn3961o</t>
  </si>
  <si>
    <t>4225 Phil Niekro (Victor Manzo_3yr renewal)</t>
  </si>
  <si>
    <t>Victor Manzo</t>
  </si>
  <si>
    <t>370 Gees Mill</t>
  </si>
  <si>
    <t>Eckart, LLC</t>
  </si>
  <si>
    <t>3ga00005</t>
  </si>
  <si>
    <t>10511 King William Drive</t>
  </si>
  <si>
    <t>Stone select LLC</t>
  </si>
  <si>
    <t>4630 Frederick (Ste B, Pulseworks) Renewal</t>
  </si>
  <si>
    <t>Pulseworks LLC</t>
  </si>
  <si>
    <t>8154 Bracken Creek - Dana Safety Supply</t>
  </si>
  <si>
    <t>Dana Safety Supply, Inc.</t>
  </si>
  <si>
    <t>2078 Integrity Dr.- Distribution International</t>
  </si>
  <si>
    <t>Insulation Fabricators</t>
  </si>
  <si>
    <t>4600 Frederick (Ste F, American HVAC)</t>
  </si>
  <si>
    <t>American HVAC Inc</t>
  </si>
  <si>
    <t>10515 King William - AMG Stone Inc</t>
  </si>
  <si>
    <t>AMG Stone Inc.</t>
  </si>
  <si>
    <t>700 High Grove - Fancy Sprinkles</t>
  </si>
  <si>
    <t>Fancy Sprinkles LLC</t>
  </si>
  <si>
    <t>xil700h</t>
  </si>
  <si>
    <t>4225 Phil Niekro (Kaddak_Suites 101/102/103 &amp; 104/105/106)</t>
  </si>
  <si>
    <t>KADDAK, LLC</t>
  </si>
  <si>
    <t>Johnson Windows - 3276 Democrat rd</t>
  </si>
  <si>
    <t>Johnson Window Films</t>
  </si>
  <si>
    <t>780 Arthur Ave - EventLink</t>
  </si>
  <si>
    <t>Event Link</t>
  </si>
  <si>
    <t>Amundsen Commercial Kitchen  - 1121 108th st</t>
  </si>
  <si>
    <t>Amundsen Commercial Kitchens, Inc.</t>
  </si>
  <si>
    <t>xtx1121</t>
  </si>
  <si>
    <t>3001 Irwin Road-Closet Factory</t>
  </si>
  <si>
    <t>Closet Factory</t>
  </si>
  <si>
    <t>xnj3001i</t>
  </si>
  <si>
    <t>3276 Democrat - Habegger Corp</t>
  </si>
  <si>
    <t>Habegger</t>
  </si>
  <si>
    <t>231 James - American Expediting</t>
  </si>
  <si>
    <t>American Expediting Company</t>
  </si>
  <si>
    <t>4507 Mills Place (Investors Academy, Ste I)</t>
  </si>
  <si>
    <t>The Investors Academy Inc</t>
  </si>
  <si>
    <t>17-01 Pollitt Drive - CSM</t>
  </si>
  <si>
    <t>CSM Entertainment</t>
  </si>
  <si>
    <t>Clean Energy - 10519 King William</t>
  </si>
  <si>
    <t>Clean Energy</t>
  </si>
  <si>
    <t>5 Mary Way - Herrs Expansion &amp; Renewal</t>
  </si>
  <si>
    <t>HERR Foods</t>
  </si>
  <si>
    <t>955 Estes - Rademaker USA</t>
  </si>
  <si>
    <t>Rademaker</t>
  </si>
  <si>
    <t>3il00005</t>
  </si>
  <si>
    <t>70 Cathy Lane, NJ - Unit B</t>
  </si>
  <si>
    <t>Dream Maker Events and Decors LLC</t>
  </si>
  <si>
    <t>xnj70cat</t>
  </si>
  <si>
    <t>121 Lombard - ENPRO</t>
  </si>
  <si>
    <t>Enpro, Inc.</t>
  </si>
  <si>
    <t>xil121lo</t>
  </si>
  <si>
    <t>Yzer LLC- 420 S Ware: Suite B</t>
  </si>
  <si>
    <t>Yzer</t>
  </si>
  <si>
    <t>Chase Doors- 10021 Commerce Dr, Cincinnati, OH</t>
  </si>
  <si>
    <t>Chase Industries, Inccons</t>
  </si>
  <si>
    <t>xohcomme</t>
  </si>
  <si>
    <t>2160 Hills (New Lease, Goodman, Eff 5/1/2023)</t>
  </si>
  <si>
    <t>Goodman Decorating</t>
  </si>
  <si>
    <t>3ga00001</t>
  </si>
  <si>
    <t>4-Star Hose &amp; Supply_10704-10 Composite dr</t>
  </si>
  <si>
    <t>Early renewal</t>
  </si>
  <si>
    <t>4-star Hose &amp; Supply inc</t>
  </si>
  <si>
    <t>xtx10704</t>
  </si>
  <si>
    <t>237-239 James - A1 Outlet</t>
  </si>
  <si>
    <t>A-1 Outlet</t>
  </si>
  <si>
    <t>Custom Cable - Rittiman Trade Center Building 3</t>
  </si>
  <si>
    <t>Custom Cable Service, Inc</t>
  </si>
  <si>
    <t>FMS Flooring - 9820 Drysdale</t>
  </si>
  <si>
    <t>Houston</t>
  </si>
  <si>
    <t>FMS Flooring, LLC</t>
  </si>
  <si>
    <t>xtxdrysd</t>
  </si>
  <si>
    <t>BKS_3662_Miller_park_Dl_tx</t>
  </si>
  <si>
    <t>BKS</t>
  </si>
  <si>
    <t>xtx3662m</t>
  </si>
  <si>
    <t>East_Dallas_Dieasel_12150_Shiloh_rd_Dl_tx</t>
  </si>
  <si>
    <t>East Dallas Diesel</t>
  </si>
  <si>
    <t>10755 Sanden Drive</t>
  </si>
  <si>
    <t>Chap In Flowers</t>
  </si>
  <si>
    <t>3tx00014</t>
  </si>
  <si>
    <t>&lt; 20K</t>
  </si>
  <si>
    <t>Apple_Moving_4769_Walzem_SA_tx</t>
  </si>
  <si>
    <t>Apple Moving</t>
  </si>
  <si>
    <t>xtx467wa</t>
  </si>
  <si>
    <t>150-152 Railroad</t>
  </si>
  <si>
    <t>EventLink</t>
  </si>
  <si>
    <t>3il00002</t>
  </si>
  <si>
    <t>10 Twosome Drive - Del- Val Ingredients</t>
  </si>
  <si>
    <t>Del Val Ingredients</t>
  </si>
  <si>
    <t>xnj10tw</t>
  </si>
  <si>
    <t>1100 Howard Street</t>
  </si>
  <si>
    <t>Genband Industries, LLC</t>
  </si>
  <si>
    <t>xil1100h</t>
  </si>
  <si>
    <t>1425 Grandview Avenue, Paulsboro, NJ</t>
  </si>
  <si>
    <t>ABCO</t>
  </si>
  <si>
    <t>30 Leslie - Nephros</t>
  </si>
  <si>
    <t>Nephros</t>
  </si>
  <si>
    <t>Ferguson - 3352 Democrat Rd, Memphis, TN</t>
  </si>
  <si>
    <t>Ferguson Enterprises LLC</t>
  </si>
  <si>
    <t>7120 Ambassador - Suite 7132 (Foreman Turf)</t>
  </si>
  <si>
    <t>Foreman Turf Specialties, Inc.</t>
  </si>
  <si>
    <t>3md00004</t>
  </si>
  <si>
    <t>4450 Commerce (KJ Discount)</t>
  </si>
  <si>
    <t>KJ Discount</t>
  </si>
  <si>
    <t>xga4450c</t>
  </si>
  <si>
    <t>3055 Switzer Ave- KREG</t>
  </si>
  <si>
    <t>KREG</t>
  </si>
  <si>
    <t>xohcolu2</t>
  </si>
  <si>
    <t>19 Industrial_Werner Aero</t>
  </si>
  <si>
    <t>Werner Aero</t>
  </si>
  <si>
    <t>3065 Switzer Ave - Surfaces Construction</t>
  </si>
  <si>
    <t>Surfaces Construction</t>
  </si>
  <si>
    <t>2009 Dorsey (Randall Ventures Bldg G, ste B exp 4/30/22)</t>
  </si>
  <si>
    <t>Randall Ventures LLC</t>
  </si>
  <si>
    <t>1001 Arthur - Tykables</t>
  </si>
  <si>
    <t>Tykables LLC</t>
  </si>
  <si>
    <t>xil1001a</t>
  </si>
  <si>
    <t>Storopack - 4310 Delp St., Memphis, TN</t>
  </si>
  <si>
    <t>Storopack, Inc.</t>
  </si>
  <si>
    <t>4225 Phil Niekro (Xiancong_ste 112)</t>
  </si>
  <si>
    <t>Xiancong Huang</t>
  </si>
  <si>
    <t>2900 Jones Mill Road (Spartan Equity Group)</t>
  </si>
  <si>
    <t>Spartan Equity Group, LLC</t>
  </si>
  <si>
    <t>KPS_N Beach_Dallas_Tx</t>
  </si>
  <si>
    <t>KPS Global, LLC</t>
  </si>
  <si>
    <t>xtx4201n</t>
  </si>
  <si>
    <t>3045 Switzer Ave- Sixth City Distribution</t>
  </si>
  <si>
    <t>Sixth City Distribution</t>
  </si>
  <si>
    <t>7120 Ambassador Road</t>
  </si>
  <si>
    <t>dBat</t>
  </si>
  <si>
    <t>Airtron Heating and Air</t>
  </si>
  <si>
    <t>800 Industrial Park Dr, Atl (MidAtlantic Roofing)</t>
  </si>
  <si>
    <t>Mid Atlantic Roofing Supply Atlanta, LLC</t>
  </si>
  <si>
    <t>xga800in</t>
  </si>
  <si>
    <t>1 Territorial-Vivint Solar</t>
  </si>
  <si>
    <t>Sunrun Inc.</t>
  </si>
  <si>
    <t>77 S Wheeling - Terrazzo &amp; Marble Supply</t>
  </si>
  <si>
    <t>Terrazzo &amp; Marble Supply Company of IL</t>
  </si>
  <si>
    <t>xil77whe</t>
  </si>
  <si>
    <t>464 Northgate - Terrazzo &amp; Marble Supply</t>
  </si>
  <si>
    <t>xil464no</t>
  </si>
  <si>
    <t>1 Territorial Ct - ABB</t>
  </si>
  <si>
    <t>920 NW 159 Drive</t>
  </si>
  <si>
    <t xml:space="preserve">Krispy Kreme </t>
  </si>
  <si>
    <t>Express Flooring - 1121 108th GSW_Dallas</t>
  </si>
  <si>
    <t>Express Flooring</t>
  </si>
  <si>
    <t>145 Bernice - Jade Carpentry</t>
  </si>
  <si>
    <t>Jade Carpentry Contractors, Inc.</t>
  </si>
  <si>
    <t>xil141be</t>
  </si>
  <si>
    <t>7 Mary Way - Global Product Sourcing</t>
  </si>
  <si>
    <t>Global Product Sourcing, LLC</t>
  </si>
  <si>
    <t>17-01 Pollitt Drive</t>
  </si>
  <si>
    <t>Madina Industrial Corp</t>
  </si>
  <si>
    <t>128 Bauer - Black Walnut</t>
  </si>
  <si>
    <t>Black Walnut</t>
  </si>
  <si>
    <t>3001 Irwin Road - Closet Factory</t>
  </si>
  <si>
    <t>6000 Irwin Road-PSE&amp;G</t>
  </si>
  <si>
    <t>PSE&amp;G</t>
  </si>
  <si>
    <t>xnj6000i</t>
  </si>
  <si>
    <t>1253 Glen Avenue</t>
  </si>
  <si>
    <t>React Restoration LLC</t>
  </si>
  <si>
    <t>3nj00004</t>
  </si>
  <si>
    <t>2060-2098 N Integrity Dr</t>
  </si>
  <si>
    <t>Boston Retail Solutions</t>
  </si>
  <si>
    <t>440 Benigno Boulevard</t>
  </si>
  <si>
    <t>Somerset Contractors, LLC</t>
  </si>
  <si>
    <t>3001 Irwin Road- Faropoint Ventures</t>
  </si>
  <si>
    <t>Faropoint</t>
  </si>
  <si>
    <t>Snap Entertainment</t>
  </si>
  <si>
    <t>6704 Curtis - (Unit B) Equipment Share</t>
  </si>
  <si>
    <t>EquipmentShare</t>
  </si>
  <si>
    <t>3md00002</t>
  </si>
  <si>
    <t>3041 Marwin Road</t>
  </si>
  <si>
    <t>Mitchell Industrial Tire Company</t>
  </si>
  <si>
    <t>6.5</t>
  </si>
  <si>
    <t>180 Heartland Blvd - Biochemical Diagnostics</t>
  </si>
  <si>
    <t>Biochemical Diagnostics</t>
  </si>
  <si>
    <t>3ny00001</t>
  </si>
  <si>
    <t>221 Cockeysville Road</t>
  </si>
  <si>
    <t>Lake Partners</t>
  </si>
  <si>
    <t>3md00005</t>
  </si>
  <si>
    <t>Kenco Distributors - 3338 Democrat</t>
  </si>
  <si>
    <t>Kenco Distributors Inc</t>
  </si>
  <si>
    <t>Central National Gottesman Inc - 1601 Valley View</t>
  </si>
  <si>
    <t>Central National Gottersman</t>
  </si>
  <si>
    <t>3tx00006</t>
  </si>
  <si>
    <t>2082 N Integrity Dr.- Department of Administrative Services</t>
  </si>
  <si>
    <t>DAS Computer</t>
  </si>
  <si>
    <t>Sohani Traders - 2610-2616 Adnjon</t>
  </si>
  <si>
    <t>SOHANI TRADERS INC</t>
  </si>
  <si>
    <t>2098 N Integrity Dr.-Department of Job &amp; Family Services</t>
  </si>
  <si>
    <t>Ohio Dept of Jobs and Family Services</t>
  </si>
  <si>
    <t>40 Potash - Cablevision</t>
  </si>
  <si>
    <t>Cablevision of Oakland</t>
  </si>
  <si>
    <t>xnj40pot</t>
  </si>
  <si>
    <t>Skyhouse_10501 king william</t>
  </si>
  <si>
    <t>Ferguson- 420 Ware BLVD Ste A</t>
  </si>
  <si>
    <t>Fergusen</t>
  </si>
  <si>
    <t>All Leases All Funds</t>
  </si>
  <si>
    <t># Deals</t>
  </si>
  <si>
    <t>Average Term</t>
  </si>
  <si>
    <t>Total SF</t>
  </si>
  <si>
    <t>Current PSF</t>
  </si>
  <si>
    <t>Escalations (in %)</t>
  </si>
  <si>
    <t>Escalations BP (in %)</t>
  </si>
  <si>
    <t>CTV (in %)</t>
  </si>
  <si>
    <t>CTV BP (in %)</t>
  </si>
  <si>
    <t>DT (BP)</t>
  </si>
  <si>
    <t>Rent Inc over Prior Leases</t>
  </si>
  <si>
    <t>Rent Increase over BP</t>
  </si>
  <si>
    <t>MR PSF</t>
  </si>
  <si>
    <t>M2M PSF</t>
  </si>
  <si>
    <t>TOTAL LEASING ACTIVITY</t>
  </si>
  <si>
    <t>Size Ranges</t>
  </si>
  <si>
    <t>20-50K</t>
  </si>
  <si>
    <t>50-100K</t>
  </si>
  <si>
    <t>&gt;100K</t>
  </si>
  <si>
    <t>1H2021</t>
  </si>
  <si>
    <t>2H2021</t>
  </si>
  <si>
    <t>1H2022</t>
  </si>
  <si>
    <t>2H2022</t>
  </si>
  <si>
    <t>1H2023</t>
  </si>
  <si>
    <t>2H2023</t>
  </si>
  <si>
    <t>1H2024</t>
  </si>
  <si>
    <t>Rent Increase over Prior Leases</t>
  </si>
  <si>
    <t xml:space="preserve"> </t>
  </si>
  <si>
    <t>Savings</t>
  </si>
  <si>
    <t>BR</t>
  </si>
  <si>
    <t>MOST RECENT QUARTER</t>
  </si>
  <si>
    <t>Leasing Activity Report</t>
  </si>
  <si>
    <t>Executed Date</t>
  </si>
  <si>
    <t>Sign Date</t>
  </si>
  <si>
    <t>Property</t>
  </si>
  <si>
    <t>Property Code</t>
  </si>
  <si>
    <t>Tenant</t>
  </si>
  <si>
    <t>Tenant Code</t>
  </si>
  <si>
    <t>Spaces</t>
  </si>
  <si>
    <t>Area (SF)</t>
  </si>
  <si>
    <t>PropertyArea</t>
  </si>
  <si>
    <t>Deal Type</t>
  </si>
  <si>
    <t>Lease Type</t>
  </si>
  <si>
    <t>Probability</t>
  </si>
  <si>
    <t>Start Date</t>
  </si>
  <si>
    <t>Prior Lease EndDate</t>
  </si>
  <si>
    <t>DT (mos)</t>
  </si>
  <si>
    <t>Prior Ending Rent ($/SF/YR)</t>
  </si>
  <si>
    <t>Market Starting Rent($/SF/YR)</t>
  </si>
  <si>
    <t>Starting Rent ($/SF/YR)</t>
  </si>
  <si>
    <t>Annual Escalation(%)</t>
  </si>
  <si>
    <t>Term (MO)</t>
  </si>
  <si>
    <t>Free Rent (MO)</t>
  </si>
  <si>
    <t>TI($/SF)</t>
  </si>
  <si>
    <t>Total Commission as % of Rent</t>
  </si>
  <si>
    <t>Total Rent($)</t>
  </si>
  <si>
    <t>Free Rent ($)</t>
  </si>
  <si>
    <t>TI($)</t>
  </si>
  <si>
    <t>LLR Commission($)</t>
  </si>
  <si>
    <t>TR Commission($)</t>
  </si>
  <si>
    <t>Total LC</t>
  </si>
  <si>
    <t>Transaction Costs($/SF)</t>
  </si>
  <si>
    <t>Transaction Costs($)</t>
  </si>
  <si>
    <t>Tenant Improvement ($)</t>
  </si>
  <si>
    <t>Vehicle</t>
  </si>
  <si>
    <t>End Date</t>
  </si>
  <si>
    <t>Q2</t>
  </si>
  <si>
    <t>t0000910</t>
  </si>
  <si>
    <t>OPQR</t>
  </si>
  <si>
    <t>Renew</t>
  </si>
  <si>
    <t>Industrial Net</t>
  </si>
  <si>
    <t>100</t>
  </si>
  <si>
    <t>6.95</t>
  </si>
  <si>
    <t>FUND 3 (FRG XI)</t>
  </si>
  <si>
    <t>Northern NJ/New York</t>
  </si>
  <si>
    <t>t0001185</t>
  </si>
  <si>
    <t>01, 03</t>
  </si>
  <si>
    <t>New</t>
  </si>
  <si>
    <t>14.5</t>
  </si>
  <si>
    <t>Month 1-2 at 100%</t>
  </si>
  <si>
    <t>FRG X</t>
  </si>
  <si>
    <t>t0001190</t>
  </si>
  <si>
    <t>150</t>
  </si>
  <si>
    <t>7.25</t>
  </si>
  <si>
    <t>t0001197</t>
  </si>
  <si>
    <t>200</t>
  </si>
  <si>
    <t>9.25</t>
  </si>
  <si>
    <t>Month 1 at 100%</t>
  </si>
  <si>
    <t>t0000793</t>
  </si>
  <si>
    <t>1060</t>
  </si>
  <si>
    <t>Modified Gross</t>
  </si>
  <si>
    <t>9.84</t>
  </si>
  <si>
    <t>Philadelphia</t>
  </si>
  <si>
    <t>t0001219</t>
  </si>
  <si>
    <t>A3</t>
  </si>
  <si>
    <t>Office Gross</t>
  </si>
  <si>
    <t>15</t>
  </si>
  <si>
    <t>t0000573</t>
  </si>
  <si>
    <t>A-1</t>
  </si>
  <si>
    <t>15.75</t>
  </si>
  <si>
    <t>t0001196</t>
  </si>
  <si>
    <t>120</t>
  </si>
  <si>
    <t>10.7</t>
  </si>
  <si>
    <t>Charlotte, NC</t>
  </si>
  <si>
    <t>Q1</t>
  </si>
  <si>
    <t>t0001116</t>
  </si>
  <si>
    <t>13</t>
  </si>
  <si>
    <t>t0000619</t>
  </si>
  <si>
    <t>01</t>
  </si>
  <si>
    <t>19</t>
  </si>
  <si>
    <t>t0001131</t>
  </si>
  <si>
    <t>B</t>
  </si>
  <si>
    <t>100363</t>
  </si>
  <si>
    <t>17.5</t>
  </si>
  <si>
    <t>517,756.16</t>
  </si>
  <si>
    <t>7,938.99</t>
  </si>
  <si>
    <t>0.00</t>
  </si>
  <si>
    <t>25,887.81</t>
  </si>
  <si>
    <t>4.76</t>
  </si>
  <si>
    <t>t0001148</t>
  </si>
  <si>
    <t>G</t>
  </si>
  <si>
    <t>16</t>
  </si>
  <si>
    <t>Month 1-3 at 100%</t>
  </si>
  <si>
    <t>1,893,525.00</t>
  </si>
  <si>
    <t>40,000.00</t>
  </si>
  <si>
    <t>100,000.00</t>
  </si>
  <si>
    <t>142,014.37</t>
  </si>
  <si>
    <t>t0001140</t>
  </si>
  <si>
    <t>3-DEF</t>
  </si>
  <si>
    <t>41500</t>
  </si>
  <si>
    <t>17</t>
  </si>
  <si>
    <t>2,785,562.50</t>
  </si>
  <si>
    <t>29,750.70</t>
  </si>
  <si>
    <t>194,989.38</t>
  </si>
  <si>
    <t>14.05</t>
  </si>
  <si>
    <t>294,989.38</t>
  </si>
  <si>
    <t>t0001178</t>
  </si>
  <si>
    <t>A</t>
  </si>
  <si>
    <t>30523</t>
  </si>
  <si>
    <t>7.15</t>
  </si>
  <si>
    <t>Month 7 at 100%, Month 14 at 100%, Month 22 at 100%</t>
  </si>
  <si>
    <t>1,739,404.03</t>
  </si>
  <si>
    <t>56,034.12</t>
  </si>
  <si>
    <t>45,784.50</t>
  </si>
  <si>
    <t>78,305.74</t>
  </si>
  <si>
    <t>52,610.97</t>
  </si>
  <si>
    <t>5.79</t>
  </si>
  <si>
    <t>176,701.21</t>
  </si>
  <si>
    <t>t0001173</t>
  </si>
  <si>
    <t>02</t>
  </si>
  <si>
    <t>71000</t>
  </si>
  <si>
    <t>15.5</t>
  </si>
  <si>
    <t>4,211,500.00</t>
  </si>
  <si>
    <t>64,585.00</t>
  </si>
  <si>
    <t>218,000.00</t>
  </si>
  <si>
    <t>315,862.50</t>
  </si>
  <si>
    <t>t0001036</t>
  </si>
  <si>
    <t>4525</t>
  </si>
  <si>
    <t>36122</t>
  </si>
  <si>
    <t>10.45</t>
  </si>
  <si>
    <t>1,164,136.84</t>
  </si>
  <si>
    <t>52,386.16</t>
  </si>
  <si>
    <t>2.50</t>
  </si>
  <si>
    <t>t0001187</t>
  </si>
  <si>
    <t>7</t>
  </si>
  <si>
    <t>168000</t>
  </si>
  <si>
    <t>4.07</t>
  </si>
  <si>
    <t>70,630.00</t>
  </si>
  <si>
    <t>t0000661</t>
  </si>
  <si>
    <t>1601-DE</t>
  </si>
  <si>
    <t>57321</t>
  </si>
  <si>
    <t>11</t>
  </si>
  <si>
    <t>309,472.08</t>
  </si>
  <si>
    <t>Baltimore</t>
  </si>
  <si>
    <t>t0001161</t>
  </si>
  <si>
    <t>C</t>
  </si>
  <si>
    <t>32699</t>
  </si>
  <si>
    <t>44,121.00</t>
  </si>
  <si>
    <t>t0001147</t>
  </si>
  <si>
    <t>272221</t>
  </si>
  <si>
    <t>5.25</t>
  </si>
  <si>
    <t>506,203.97</t>
  </si>
  <si>
    <t>20,609.31</t>
  </si>
  <si>
    <t>22,779.18</t>
  </si>
  <si>
    <t>15,186.12</t>
  </si>
  <si>
    <t>t0001154</t>
  </si>
  <si>
    <t>RS</t>
  </si>
  <si>
    <t>81311</t>
  </si>
  <si>
    <t>533,074.11</t>
  </si>
  <si>
    <t>99,210.00</t>
  </si>
  <si>
    <t>31,984.45</t>
  </si>
  <si>
    <t>4600&amp;4630 Frederick Drive</t>
  </si>
  <si>
    <t>t0001177</t>
  </si>
  <si>
    <t>4630-C</t>
  </si>
  <si>
    <t>87532</t>
  </si>
  <si>
    <t>7.95</t>
  </si>
  <si>
    <t>Month 7 at 100%, Month 14 at 100%, Month 20 at 100%</t>
  </si>
  <si>
    <t>323,038.49</t>
  </si>
  <si>
    <t>15,177.43</t>
  </si>
  <si>
    <t>80,000.00</t>
  </si>
  <si>
    <t>17,651.47</t>
  </si>
  <si>
    <t>t0001073</t>
  </si>
  <si>
    <t>3040</t>
  </si>
  <si>
    <t>11518</t>
  </si>
  <si>
    <t>8</t>
  </si>
  <si>
    <t>79,673.36</t>
  </si>
  <si>
    <t>5,893.00</t>
  </si>
  <si>
    <t>4,780.40</t>
  </si>
  <si>
    <t>t0001156</t>
  </si>
  <si>
    <t>05</t>
  </si>
  <si>
    <t>105350</t>
  </si>
  <si>
    <t>851,936.52</t>
  </si>
  <si>
    <t>63,895.24</t>
  </si>
  <si>
    <t>t0001121</t>
  </si>
  <si>
    <t>16.5</t>
  </si>
  <si>
    <t>448,337.50</t>
  </si>
  <si>
    <t>6,875.00</t>
  </si>
  <si>
    <t>25,000.00</t>
  </si>
  <si>
    <t>31,383.63</t>
  </si>
  <si>
    <t>t0000666</t>
  </si>
  <si>
    <t>71510</t>
  </si>
  <si>
    <t>775,893.50</t>
  </si>
  <si>
    <t>28,071.93</t>
  </si>
  <si>
    <t>2900 Jones Mill</t>
  </si>
  <si>
    <t>t0001241</t>
  </si>
  <si>
    <t>58225</t>
  </si>
  <si>
    <t>10.15</t>
  </si>
  <si>
    <t>3,222,299.59</t>
  </si>
  <si>
    <t>Month 1 at 100%, Month 7 at 100%</t>
  </si>
  <si>
    <t>98,499.23</t>
  </si>
  <si>
    <t>112,709.66</t>
  </si>
  <si>
    <t>1.94</t>
  </si>
  <si>
    <t>Leasing Spread</t>
  </si>
  <si>
    <t>1 Yr</t>
  </si>
  <si>
    <t>Q4-2024</t>
  </si>
  <si>
    <t>Portfolio</t>
  </si>
  <si>
    <t>Lease-up</t>
  </si>
  <si>
    <t>Leasing Spread over BP</t>
  </si>
  <si>
    <t>Re-Tenant</t>
  </si>
  <si>
    <t xml:space="preserve">Renewal Rate </t>
  </si>
  <si>
    <t>Fund 2 : Total Deals</t>
  </si>
  <si>
    <t>Fund 2 : Total Deals Signed on Vacant Spaces</t>
  </si>
  <si>
    <t>Fund 2 : Renewals + Expansions</t>
  </si>
  <si>
    <t>Fund 2 : Renewal Rate</t>
  </si>
  <si>
    <t>Fund 3 : Total Deals</t>
  </si>
  <si>
    <t>Fund 3 : Total Deals Signed on Vacant Spaces</t>
  </si>
  <si>
    <t>Fund 3 : Renewals + Expansions</t>
  </si>
  <si>
    <t>Fund 3 : Renewal Rate</t>
  </si>
  <si>
    <t>Portfolio Renewal Rate</t>
  </si>
  <si>
    <t>Renewal Rate : Excludes SLBs</t>
  </si>
  <si>
    <t>Fund 2 : SLBs</t>
  </si>
  <si>
    <t>Fund 2 : Renewals</t>
  </si>
  <si>
    <t>Fund 3 : SLBs</t>
  </si>
  <si>
    <t>Fund 3 : Renewals</t>
  </si>
  <si>
    <t>Portfolio Renewal Rate w/o SLBs</t>
  </si>
  <si>
    <t>Rate</t>
  </si>
  <si>
    <t>Fund 2 BP</t>
  </si>
  <si>
    <t>Fund 3 BP</t>
  </si>
  <si>
    <t>Escalation</t>
  </si>
  <si>
    <t># New Leases</t>
  </si>
  <si>
    <t>New Leases</t>
  </si>
  <si>
    <t>Renewals</t>
  </si>
  <si>
    <t>Spread on New Leases</t>
  </si>
  <si>
    <t>Spread on Renewals</t>
  </si>
  <si>
    <t>FM Rate</t>
  </si>
  <si>
    <t>Signed Rate</t>
  </si>
  <si>
    <t>Q4 22</t>
  </si>
  <si>
    <t>Q1 23</t>
  </si>
  <si>
    <t>Q2 23</t>
  </si>
  <si>
    <t>Q3 23</t>
  </si>
  <si>
    <t>(All)</t>
  </si>
  <si>
    <t>Row Labels</t>
  </si>
  <si>
    <t>Prior Lease PSF Rate.</t>
  </si>
  <si>
    <t>BP PSF Rate.</t>
  </si>
  <si>
    <t>Executed Lease PSF Rate.</t>
  </si>
  <si>
    <t>Escalation %</t>
  </si>
  <si>
    <t>Escalation % (BP)</t>
  </si>
  <si>
    <t>DT Actual</t>
  </si>
  <si>
    <t>Increase % over Prior Rate</t>
  </si>
  <si>
    <t>Increase % over BP</t>
  </si>
  <si>
    <t>PSF excluding spaces that were previously vacant</t>
  </si>
  <si>
    <t>Sum of Total Lease Value</t>
  </si>
  <si>
    <t>Sum of FM Rate PSF</t>
  </si>
  <si>
    <t>Grand Total</t>
  </si>
  <si>
    <t xml:space="preserve">Fund 2 </t>
  </si>
  <si>
    <t>NOTES</t>
  </si>
  <si>
    <t>Q2 2021 : 130 James Aldredge has a rate increase over short term lease with higher rate</t>
  </si>
  <si>
    <t>Q1 2022 : Sigma Global expansion is 17% inc over prior lease</t>
  </si>
  <si>
    <r>
      <t>Cinci</t>
    </r>
    <r>
      <rPr>
        <sz val="12"/>
        <color rgb="FF000000"/>
        <rFont val="Calibri"/>
        <family val="2"/>
      </rPr>
      <t xml:space="preserve"> </t>
    </r>
  </si>
  <si>
    <r>
      <t>Q4 2021 : Rite Rug increase over prior short term gross lease is -21%</t>
    </r>
    <r>
      <rPr>
        <sz val="12"/>
        <color rgb="FF000000"/>
        <rFont val="Calibri"/>
        <family val="2"/>
      </rPr>
      <t xml:space="preserve"> </t>
    </r>
  </si>
  <si>
    <t>PASTE AS VALUES FOR GRAPHS</t>
  </si>
  <si>
    <t>Q 2022 : Switzer Properties CTV is higher due to additional ADA work required</t>
  </si>
  <si>
    <t>Q4 2022 : Acq perspetcive : BP assumed higher range of market rate at $9.25 &amp; $0 TI due to pending lease. AM perspective : decision to lease up based on LMS guidance.</t>
  </si>
  <si>
    <t>Q4 2022 : BKS manufacturing tenant were previously on a sublease. FP renewed with new rate being 3x their previous rate. Their credit score is 6.0</t>
  </si>
  <si>
    <t>Q4 2022 : Apple Moving executed renewal saving brokerage and sprinkler fee of $300K</t>
  </si>
  <si>
    <t>Q4 2021: Custom Cable did not require TI or FR. FP spent $21K only to make the space ready for operation</t>
  </si>
  <si>
    <t>Q1 2022 : FMS Flooring 50K SF space. FP provided $1 TIA and installed LED lighting</t>
  </si>
  <si>
    <t xml:space="preserve">Q3 2022 : Bringcom renewed vs BP UW CTV for a new lease </t>
  </si>
  <si>
    <t>Philly</t>
  </si>
  <si>
    <t>Favorable CTV driven by Bengal Converting renewal, no TI for Mule Extracts, Mary Way expansion, Serious Shops</t>
  </si>
  <si>
    <t>Renewals + Expansions</t>
  </si>
  <si>
    <t>New Leases since Inception</t>
  </si>
  <si>
    <t>Total Lease Value (in M)</t>
  </si>
  <si>
    <t>Sum of SF</t>
  </si>
  <si>
    <t>Sum of FR (Actual)</t>
  </si>
  <si>
    <t>Sum of Spread over FM</t>
  </si>
  <si>
    <t>PASTE AS VALUES BELOW FOR GRAPHS</t>
  </si>
  <si>
    <t>Spread over BP</t>
  </si>
  <si>
    <t>Spread over FM</t>
  </si>
  <si>
    <t>Fund 2 : FM</t>
  </si>
  <si>
    <t>Fund 2 : BP</t>
  </si>
  <si>
    <t>Fund 3 : FM</t>
  </si>
  <si>
    <t>Fund 3 : BP</t>
  </si>
  <si>
    <t>Leasing Spread over Prior Rate</t>
  </si>
  <si>
    <t>All Leases</t>
  </si>
  <si>
    <t>DT BP (mos)</t>
  </si>
  <si>
    <t>DT (mos) Vacancy</t>
  </si>
  <si>
    <t>DT BP (mos) Vacancy</t>
  </si>
  <si>
    <t># Leases</t>
  </si>
  <si>
    <t>(Multiple Items)</t>
  </si>
  <si>
    <t xml:space="preserve">FM PSF Rate. </t>
  </si>
  <si>
    <t>NOI Increase over FM.</t>
  </si>
  <si>
    <t>Show Lease Table by</t>
  </si>
  <si>
    <t>Date Deal Signed</t>
  </si>
  <si>
    <t xml:space="preserve">Filter by </t>
  </si>
  <si>
    <t>Quarter, Fund, Activity Type</t>
  </si>
  <si>
    <t>Lease Term</t>
  </si>
  <si>
    <t>&gt; 12 months</t>
  </si>
  <si>
    <t>Excludes short terms leases (&lt;= 12 mos term) from the WA calc</t>
  </si>
  <si>
    <t>Excludes Capex from Total Costs</t>
  </si>
  <si>
    <t>This metric is Apples - to - apples comparison. Exclude SF that was previously vacant, since rent increase over $0 is NA</t>
  </si>
  <si>
    <t>New Leases and Expansion = New Lease</t>
  </si>
  <si>
    <t>Renewals, Early Renewals, Renewal per Option = Renewal</t>
  </si>
  <si>
    <t xml:space="preserve">TO _ DO </t>
  </si>
  <si>
    <t>1) How to show leasing spreads by Fund and Activity Type combined? Pivot table cannot be used for Rent Increase over Prior Leases</t>
  </si>
  <si>
    <t>a) Add an additional condition and update formula</t>
  </si>
  <si>
    <t xml:space="preserve">b) Add an extra manual column for Current Rate PSF for spaces that were previously vacant and do a calculated field on Pivot Table </t>
  </si>
  <si>
    <t>2) Add WTD AVG DT Calc. Update DT for Renewals</t>
  </si>
  <si>
    <t>3) Renewal Rate Calc?</t>
  </si>
  <si>
    <t>4) Exclude "TRUE" Early Renewals / Analyse Separately. Eg. KPS</t>
  </si>
  <si>
    <t>Sum of RSF for Export</t>
  </si>
  <si>
    <t>DT Variance</t>
  </si>
  <si>
    <t>Rent Inc over Prior Lease</t>
  </si>
  <si>
    <t>New Leases Count</t>
  </si>
  <si>
    <t xml:space="preserve">DT by Fund </t>
  </si>
  <si>
    <t>DT Variance : Fund 2</t>
  </si>
  <si>
    <t>Historical Average</t>
  </si>
  <si>
    <t>DT : Q2 Vacancies</t>
  </si>
  <si>
    <t>Historical DT with Q2 Vacancies</t>
  </si>
  <si>
    <t>Lease Value</t>
  </si>
  <si>
    <t>Executed Deals</t>
  </si>
  <si>
    <t>Proposed Terms</t>
  </si>
  <si>
    <t>RSF for Export</t>
  </si>
  <si>
    <t>Expansion or Remeasured SF</t>
  </si>
  <si>
    <t>Fund 3 : PSF (BP)</t>
  </si>
  <si>
    <t>Fund 2 : PSF (BP)</t>
  </si>
  <si>
    <t>AI PSF - upon leasing</t>
  </si>
  <si>
    <t>AI PSF - at UW</t>
  </si>
  <si>
    <t>AI Leasing Error %</t>
  </si>
  <si>
    <t>AI UW Model Error %</t>
  </si>
  <si>
    <t>Yardi Lease ID</t>
  </si>
  <si>
    <t>Property Closing Date</t>
  </si>
  <si>
    <t>Contract Table</t>
  </si>
  <si>
    <t>2022-07-07</t>
  </si>
  <si>
    <t>clear_mountain_refreshment_services_llc_3338_democrat_rd_mem</t>
  </si>
  <si>
    <t>t0000930</t>
  </si>
  <si>
    <t>2022-07-27</t>
  </si>
  <si>
    <t>DAS_2082_Integrity_Dr_Col</t>
  </si>
  <si>
    <t>t0000934</t>
  </si>
  <si>
    <t>DJFS_2098_Integrity_Dr_Col</t>
  </si>
  <si>
    <t>2022-06-24</t>
  </si>
  <si>
    <t>dream_maker_events_and_decors_llc_70_cathy_lane_phl</t>
  </si>
  <si>
    <t>t0000826</t>
  </si>
  <si>
    <t>2022-05-16</t>
  </si>
  <si>
    <t>California_clean_energy_10501_king_william_tx</t>
  </si>
  <si>
    <t>t0001024</t>
  </si>
  <si>
    <t>2022-02-01</t>
  </si>
  <si>
    <t>SILA-M_LLC_2614_Andjon_tx</t>
  </si>
  <si>
    <t>t0000571</t>
  </si>
  <si>
    <t>2021-09-22</t>
  </si>
  <si>
    <t>xiancong_huang_dba_Shiming_Service_ste_112_4225_phil_niekro_atl</t>
  </si>
  <si>
    <t>t0001020</t>
  </si>
  <si>
    <t>2022-06-15</t>
  </si>
  <si>
    <t>goodman_decorating_2160_hills_ave_atl</t>
  </si>
  <si>
    <t>t0000643</t>
  </si>
  <si>
    <t>2021-12-13</t>
  </si>
  <si>
    <t>the_investors_academy_steI_4507_mills_place_atl</t>
  </si>
  <si>
    <t>t0000882</t>
  </si>
  <si>
    <t>2022-06-21</t>
  </si>
  <si>
    <t>afs_world_truck_repair_LP_3041_B_marwin_road_phl</t>
  </si>
  <si>
    <t>t0000583</t>
  </si>
  <si>
    <t>2021-10-12</t>
  </si>
  <si>
    <t>cc_image_ste_750_2009_dorsey_road_atl</t>
  </si>
  <si>
    <t>7.32, 7.32</t>
  </si>
  <si>
    <t>ACC_ Brakers_10501_King_William_rd_Dallas_tx</t>
  </si>
  <si>
    <t>t0001015</t>
  </si>
  <si>
    <t>Waylanders_ilog_3333_n_canal_jax_fl</t>
  </si>
  <si>
    <t>8.36, 8.36</t>
  </si>
  <si>
    <t>t0001013</t>
  </si>
  <si>
    <t>2022-04-25</t>
  </si>
  <si>
    <t>A1_Outlet_237_James_Chi</t>
  </si>
  <si>
    <t>t0000978</t>
  </si>
  <si>
    <t>2022-11-18</t>
  </si>
  <si>
    <t>Central_National_Gottersman_1601_Valley_View_Lane_Dl_tx</t>
  </si>
  <si>
    <t>t0001012</t>
  </si>
  <si>
    <t>2022-06-14</t>
  </si>
  <si>
    <t>kjs_discount_outlet_llc_4450_commerce_atl</t>
  </si>
  <si>
    <t>t0000992</t>
  </si>
  <si>
    <t>2022-11-09</t>
  </si>
  <si>
    <t>Foremans_7120_Ambassador</t>
  </si>
  <si>
    <t>t0001008</t>
  </si>
  <si>
    <t>2022-06-16</t>
  </si>
  <si>
    <t>v_2900_jones_mill_atl</t>
  </si>
  <si>
    <t>t0001007</t>
  </si>
  <si>
    <t>2021-12-17</t>
  </si>
  <si>
    <t>Gotham FC_30 Leslie</t>
  </si>
  <si>
    <t>Long Island</t>
  </si>
  <si>
    <t>t0000933</t>
  </si>
  <si>
    <t>2022-08-12</t>
  </si>
  <si>
    <t>Biochemical Diagnostics_180 Heartland Blvd</t>
  </si>
  <si>
    <t>t0000929</t>
  </si>
  <si>
    <t>Insulation_Fabricators_2078_Integrity_Dr_Col</t>
  </si>
  <si>
    <t>t0001006</t>
  </si>
  <si>
    <t>2021-07-30</t>
  </si>
  <si>
    <t>Redeemed_Plastics_LLC_225_bobrick_rd_mem</t>
  </si>
  <si>
    <t>t0000864</t>
  </si>
  <si>
    <t>Werner Aero_19 Industrial Ave</t>
  </si>
  <si>
    <t>t0000804</t>
  </si>
  <si>
    <t>Fitzsimmons_Surgical_Supply_1071 Judson_Chi</t>
  </si>
  <si>
    <t>t0000896</t>
  </si>
  <si>
    <t>tri_state_tire_wholesale_3276_democrat_rd_mem</t>
  </si>
  <si>
    <t>t0001003</t>
  </si>
  <si>
    <t>2021-05-12</t>
  </si>
  <si>
    <t>Custom_Piping_9615_Ball_st_San_Antonio</t>
  </si>
  <si>
    <t>t0000569</t>
  </si>
  <si>
    <t>victor_manzo_ste_110/111_4225_phil_niekro_atl</t>
  </si>
  <si>
    <t>t0000614</t>
  </si>
  <si>
    <t>combocap_inc_125_algonquin_nnj</t>
  </si>
  <si>
    <t>t0000999</t>
  </si>
  <si>
    <t>2022-04-01</t>
  </si>
  <si>
    <t>mcmillion_Logistics_3961_outland_rd_mem</t>
  </si>
  <si>
    <t>t0001001</t>
  </si>
  <si>
    <t>2022-08-31</t>
  </si>
  <si>
    <t>Rademaker_955_Estes_Chi</t>
  </si>
  <si>
    <t>t0000994</t>
  </si>
  <si>
    <t>2021-11-02</t>
  </si>
  <si>
    <t>1121_108th_Suite A_Express_Flooring_Dl_tx</t>
  </si>
  <si>
    <t>t0000991</t>
  </si>
  <si>
    <t>Merritt_128_bauer_nnj</t>
  </si>
  <si>
    <t>t0000870</t>
  </si>
  <si>
    <t>kenco_distributors_inc_3338_democrat_rd_mem</t>
  </si>
  <si>
    <t>t0000993</t>
  </si>
  <si>
    <t>Benchmark_Building_Supply_2066_Integrity_Dr_Col</t>
  </si>
  <si>
    <t>t0000486</t>
  </si>
  <si>
    <t>2021-05-25</t>
  </si>
  <si>
    <t>herr_foods_5_mary_way_phl</t>
  </si>
  <si>
    <t>t0000898</t>
  </si>
  <si>
    <t>johnson_window_films_inc_3276_democrat_rd_mem</t>
  </si>
  <si>
    <t>t0001000</t>
  </si>
  <si>
    <t>3662-3670_Miller_park_drive_Dl_tx</t>
  </si>
  <si>
    <t>t0000985</t>
  </si>
  <si>
    <t>2022-09-14</t>
  </si>
  <si>
    <t>jes_groundworks_8361_town_center_bal</t>
  </si>
  <si>
    <t>t0000698</t>
  </si>
  <si>
    <t>taja_new_12150_Shiloh_rd_Dl_tx</t>
  </si>
  <si>
    <t>t0000986</t>
  </si>
  <si>
    <t>2022-08-04</t>
  </si>
  <si>
    <t>Northstar Trading_3380_Grand_Chi</t>
  </si>
  <si>
    <t>t0000982</t>
  </si>
  <si>
    <t>2022-11-15</t>
  </si>
  <si>
    <t>Ultimate_Stone_812_Greenleaf_Chi</t>
  </si>
  <si>
    <t>t0000858</t>
  </si>
  <si>
    <t>2022-07-05</t>
  </si>
  <si>
    <t>sauers_group_1585_roadhaven_atl</t>
  </si>
  <si>
    <t>t0000488</t>
  </si>
  <si>
    <t>pro_skills_5_mary_way_phl</t>
  </si>
  <si>
    <t>t0000961</t>
  </si>
  <si>
    <t>lucky_river_seafood_llc_107_4225_phil_niekro_atl</t>
  </si>
  <si>
    <t>t0000696</t>
  </si>
  <si>
    <t>2021-12-15</t>
  </si>
  <si>
    <t>KPS_global_new_lease_4201_n_beach_st_Dl_tx</t>
  </si>
  <si>
    <t>t0000780</t>
  </si>
  <si>
    <t>2022-02-17</t>
  </si>
  <si>
    <t>Minor_Moving_4679_Walzem_new lease_SA_tx</t>
  </si>
  <si>
    <t>t0000630</t>
  </si>
  <si>
    <t>kyodo_usa_17_pollitt_nnj</t>
  </si>
  <si>
    <t>3nj00005</t>
  </si>
  <si>
    <t>t0001038</t>
  </si>
  <si>
    <t>2022-08-23</t>
  </si>
  <si>
    <t>ABCO_1425_grandview_avenue_phl</t>
  </si>
  <si>
    <t>t0000959</t>
  </si>
  <si>
    <t>2021-05-08</t>
  </si>
  <si>
    <t>faropoint_stevensb1_3001_phl</t>
  </si>
  <si>
    <t>Ferguson</t>
  </si>
  <si>
    <t>t0000744</t>
  </si>
  <si>
    <t>2022-03-10</t>
  </si>
  <si>
    <t>ferguson_420_s_ware_blvd_fl</t>
  </si>
  <si>
    <t>t0000874</t>
  </si>
  <si>
    <t>motion_industries_3272_democrat_rd_mem</t>
  </si>
  <si>
    <t>t0000895</t>
  </si>
  <si>
    <t>thorpe_products_company_3338_democrat_rd_mem</t>
  </si>
  <si>
    <t>t0000508</t>
  </si>
  <si>
    <t>2021-07-13</t>
  </si>
  <si>
    <t>chase_doors_10021_commerce_cin</t>
  </si>
  <si>
    <t>t0000951</t>
  </si>
  <si>
    <t>k1_racing_7970_central_industrial_wpb_fl</t>
  </si>
  <si>
    <t>t0000731</t>
  </si>
  <si>
    <t>2022-02-28</t>
  </si>
  <si>
    <t>Enpro_Incorporated_121_Lombard_Chi</t>
  </si>
  <si>
    <t>t0000950</t>
  </si>
  <si>
    <t>Lincare_1080_Entry_Chi</t>
  </si>
  <si>
    <t>t0000942</t>
  </si>
  <si>
    <t>yzer_420_s_ware_b_fl</t>
  </si>
  <si>
    <t>t0000941</t>
  </si>
  <si>
    <t>2021-12-20</t>
  </si>
  <si>
    <t>mid_atlantic_roofing_supply_atlanta_llc_800_&amp;_850_industrial_park_dr_atl</t>
  </si>
  <si>
    <t>t0000762</t>
  </si>
  <si>
    <t>2022-03-07</t>
  </si>
  <si>
    <t>4-star_10704_composite_new lease_Tx</t>
  </si>
  <si>
    <t>t0000459</t>
  </si>
  <si>
    <t>closet factory_stevensb1_3001_phl</t>
  </si>
  <si>
    <t>t0000782</t>
  </si>
  <si>
    <t>2022-05-06</t>
  </si>
  <si>
    <t>caricom_freight_consolidators_14735_nw_25th_ct_mia_fl</t>
  </si>
  <si>
    <t>7.08, 7.08</t>
  </si>
  <si>
    <t>t0000819</t>
  </si>
  <si>
    <t>Skyhouse_10501_10501_King_William_tx</t>
  </si>
  <si>
    <t>t0000907</t>
  </si>
  <si>
    <t>2022-06-23</t>
  </si>
  <si>
    <t>Sun_Badger_Solar_224_James_Chi</t>
  </si>
  <si>
    <t>t0000931</t>
  </si>
  <si>
    <t>tlc_rents_3651_clearview_place_atl</t>
  </si>
  <si>
    <t>t0000927</t>
  </si>
  <si>
    <t>2021-11-23</t>
  </si>
  <si>
    <t>v_10_Twosome_Dr._Phl</t>
  </si>
  <si>
    <t>t0000850</t>
  </si>
  <si>
    <t>OEM Accessories Inc_19 Industrial Ave</t>
  </si>
  <si>
    <t>t0000889</t>
  </si>
  <si>
    <t>Surface_Construction_Group_3065_Switzer_Ave_Col</t>
  </si>
  <si>
    <t>t0000665</t>
  </si>
  <si>
    <t>2021-12-21</t>
  </si>
  <si>
    <t>Terrazzo_Marble_77_Wheeling_Chi</t>
  </si>
  <si>
    <t>t0000655</t>
  </si>
  <si>
    <t>Terrazzo_Marble_464_Northgate_Chi</t>
  </si>
  <si>
    <t>1 Territorial-Vivint Solar-Sunrun</t>
  </si>
  <si>
    <t>t0000512</t>
  </si>
  <si>
    <t>2021-08-04</t>
  </si>
  <si>
    <t>Vivint_Solar_1_Territorial_Chi</t>
  </si>
  <si>
    <t>t0000797</t>
  </si>
  <si>
    <t>2021-11-04</t>
  </si>
  <si>
    <t>mule_extracts_14-16_tjr_phl</t>
  </si>
  <si>
    <t>t0000702</t>
  </si>
  <si>
    <t>2022-01-14</t>
  </si>
  <si>
    <t>bengal_converting_services_inc_18_railroad_street_phl</t>
  </si>
  <si>
    <t>t0000685</t>
  </si>
  <si>
    <t>2022-01-20</t>
  </si>
  <si>
    <t>pulseworks_B_4630_frederick_dr_atl</t>
  </si>
  <si>
    <t>5.87, 5.87</t>
  </si>
  <si>
    <t>t0000778</t>
  </si>
  <si>
    <t>kaddak_4225_phil_neikro_pkwy_atl</t>
  </si>
  <si>
    <t>t0000624</t>
  </si>
  <si>
    <t>nu_product_seasoning_co_128_bauer_nnj</t>
  </si>
  <si>
    <t>t0000617</t>
  </si>
  <si>
    <t>cablevision_tci_ua_columbia_40_potash_nnj</t>
  </si>
  <si>
    <t>t0000491</t>
  </si>
  <si>
    <t>cryovation_9_mary_way_phl</t>
  </si>
  <si>
    <t>t0000777</t>
  </si>
  <si>
    <t>2021-12-08</t>
  </si>
  <si>
    <t>Fancy_Sprinkles_700_High_Grove_Chi</t>
  </si>
  <si>
    <t>t0000771</t>
  </si>
  <si>
    <t>abc_supply_3_mary_way_phl</t>
  </si>
  <si>
    <t>6.9, 6.9</t>
  </si>
  <si>
    <t>t0000511</t>
  </si>
  <si>
    <t>ABB_Inc_1_Territorial_Chi</t>
  </si>
  <si>
    <t>t0000768</t>
  </si>
  <si>
    <t>2021-10-04</t>
  </si>
  <si>
    <t>struxure_outdoor_265_castleberry_industrial_drive_atl</t>
  </si>
  <si>
    <t>t0000590</t>
  </si>
  <si>
    <t>randall_ventures_llc_ste_710_2009_dorsey_road_atl</t>
  </si>
  <si>
    <t>t0000770</t>
  </si>
  <si>
    <t>2021-07-22</t>
  </si>
  <si>
    <t>serious_shops_7055_central_highway_phl</t>
  </si>
  <si>
    <t>t0000773</t>
  </si>
  <si>
    <t>KREG_3055_Switzer_Ave_Col</t>
  </si>
  <si>
    <t>t0000765</t>
  </si>
  <si>
    <t>sigma_marble_420_s_ware_blvd_c_fl</t>
  </si>
  <si>
    <t>t0000772</t>
  </si>
  <si>
    <t>Sixth_City_3045_Switzer_Ave</t>
  </si>
  <si>
    <t>t0000492</t>
  </si>
  <si>
    <t>philadelphia_hardware_7_mary_way_phl</t>
  </si>
  <si>
    <t>t0000681</t>
  </si>
  <si>
    <t>american_hvac_F_4600_frederick_dr_atl</t>
  </si>
  <si>
    <t>t0000623</t>
  </si>
  <si>
    <t>whippany_athletic_club_llc_156_algonquin_nnj</t>
  </si>
  <si>
    <t>t0000745</t>
  </si>
  <si>
    <t>2021-08-10</t>
  </si>
  <si>
    <t>kirnland_food_distribution_130_james_aldredge_blvd_atl</t>
  </si>
  <si>
    <t>t0000757</t>
  </si>
  <si>
    <t>Amundsen_commercial_Kitchens_1121_108th_st</t>
  </si>
  <si>
    <t>t0000718</t>
  </si>
  <si>
    <t>2021-12-22</t>
  </si>
  <si>
    <t>EventLink_770-780_Arthur_Chi</t>
  </si>
  <si>
    <t>t0000649</t>
  </si>
  <si>
    <t>Sigma_Global_770_Arthur_Chi</t>
  </si>
  <si>
    <t>t0000688</t>
  </si>
  <si>
    <t>2021-04-24</t>
  </si>
  <si>
    <t>Rite_Rug_12080_Mosteller_Rd_Cin</t>
  </si>
  <si>
    <t>t0000710</t>
  </si>
  <si>
    <t>sohani_traders_inc_2610-2616_andjon_tx</t>
  </si>
  <si>
    <t>t0000967</t>
  </si>
  <si>
    <t>2021-04-12</t>
  </si>
  <si>
    <t>darby_dental_4290_delp_st_mem</t>
  </si>
  <si>
    <t>t0000652</t>
  </si>
  <si>
    <t>forrestwood_farms_distribution_225_bobrick_dr_mem</t>
  </si>
  <si>
    <t>t0000612</t>
  </si>
  <si>
    <t>2021-05-11</t>
  </si>
  <si>
    <t>fms_flooring_9820_drysdale_tx</t>
  </si>
  <si>
    <t>t0000606</t>
  </si>
  <si>
    <t>ships_a_lot_4290_Delp_st_mem</t>
  </si>
  <si>
    <t>t0000609</t>
  </si>
  <si>
    <t>2021-07-15</t>
  </si>
  <si>
    <t>custom_cable_services_4728_goldfield_bldg 3_sa</t>
  </si>
  <si>
    <t>t0000543</t>
  </si>
  <si>
    <t>2021-06-23</t>
  </si>
  <si>
    <t>Tradeforce_3113_glenfield ave_dal</t>
  </si>
  <si>
    <t>t0000497</t>
  </si>
  <si>
    <t>gps_7_mary_way_phl</t>
  </si>
  <si>
    <t>t0000475</t>
  </si>
  <si>
    <t>KDM_12080_Mosteller_Rd_cin</t>
  </si>
  <si>
    <t>t0000434</t>
  </si>
  <si>
    <t>Gorilla_Glue_12080_Mosteller_Rd_cin</t>
  </si>
  <si>
    <t>t0000449</t>
  </si>
  <si>
    <t>storopack_4290_delp_mem</t>
  </si>
  <si>
    <t>ferguson_enterprises_llc_3338_democrat_rd_mem</t>
  </si>
  <si>
    <t>t0000788</t>
  </si>
  <si>
    <t>Jade_Carpentry_Contractors_145_Bernice_1117_Entry_Chi</t>
  </si>
  <si>
    <t>t0000679</t>
  </si>
  <si>
    <t>2022-01-25</t>
  </si>
  <si>
    <t>Tykables_1001_Arthur_Chi</t>
  </si>
  <si>
    <t>t0000798</t>
  </si>
  <si>
    <t>American_Expediting_231_James_Chi</t>
  </si>
  <si>
    <t>Triple_Trading_222-224_James_Chi</t>
  </si>
  <si>
    <t># leases within -10 to 10 % error range</t>
  </si>
  <si>
    <t>Prior SF</t>
  </si>
  <si>
    <t>PSF * SF.</t>
  </si>
  <si>
    <t>Prior PSF * SF.</t>
  </si>
  <si>
    <t>PSF BP * SF.</t>
  </si>
  <si>
    <t>% of total SF</t>
  </si>
  <si>
    <t>Property Count</t>
  </si>
  <si>
    <t>Upto 20K</t>
  </si>
  <si>
    <t>80-100K</t>
  </si>
  <si>
    <t>60-80K</t>
  </si>
  <si>
    <t>40-60K</t>
  </si>
  <si>
    <t>20-40K</t>
  </si>
  <si>
    <t>100-200K</t>
  </si>
  <si>
    <t>Weighted Average PSF</t>
  </si>
  <si>
    <t>Weighted Average Previous PSF</t>
  </si>
  <si>
    <t>Weighted Average PSF BP</t>
  </si>
  <si>
    <t>Graph 2</t>
  </si>
  <si>
    <t>NA</t>
  </si>
  <si>
    <t>Tenants in the 100-200K Range -  PSF and PSF BP are in line. Because of the large SF, the weighted average looks similar</t>
  </si>
  <si>
    <t>Cinci</t>
  </si>
  <si>
    <t>Gorilla Glue</t>
  </si>
  <si>
    <t>111,087 SF</t>
  </si>
  <si>
    <t>Rite Rug</t>
  </si>
  <si>
    <t>114,027 SF</t>
  </si>
  <si>
    <t>Tradeforce</t>
  </si>
  <si>
    <t>115,200 SF</t>
  </si>
  <si>
    <t xml:space="preserve">Construction Projects Analysis </t>
  </si>
  <si>
    <t>*excluding rejected, hold and deferred</t>
  </si>
  <si>
    <t>UPDATED</t>
  </si>
  <si>
    <t>5.9.2022</t>
  </si>
  <si>
    <t xml:space="preserve">Fund X </t>
  </si>
  <si>
    <t>**excluding TI and TIA</t>
  </si>
  <si>
    <t>BY</t>
  </si>
  <si>
    <t>Dvir</t>
  </si>
  <si>
    <t>Projects Quantity</t>
  </si>
  <si>
    <t xml:space="preserve">               </t>
  </si>
  <si>
    <t>Total $ Value</t>
  </si>
  <si>
    <t>$ Value Per Year</t>
  </si>
  <si>
    <t>TOTAL</t>
  </si>
  <si>
    <t>Florida</t>
  </si>
  <si>
    <t>Ohio</t>
  </si>
  <si>
    <t>NJ</t>
  </si>
  <si>
    <t>PA</t>
  </si>
  <si>
    <t>Texas</t>
  </si>
  <si>
    <t>TOTAL PER YEAR</t>
  </si>
  <si>
    <t>Quantity of Projects by Value</t>
  </si>
  <si>
    <t>up to $50K</t>
  </si>
  <si>
    <t>$50K - $200K</t>
  </si>
  <si>
    <t>$200K - $1M</t>
  </si>
  <si>
    <t>Over $1M</t>
  </si>
  <si>
    <t>Quantity of Projects Per Market Per Year</t>
  </si>
  <si>
    <t xml:space="preserve">* TI info will ve added </t>
  </si>
  <si>
    <t>Property Name</t>
  </si>
  <si>
    <t>Description</t>
  </si>
  <si>
    <t>Priority</t>
  </si>
  <si>
    <t>Job Type</t>
  </si>
  <si>
    <t>FCM</t>
  </si>
  <si>
    <t>Narrative</t>
  </si>
  <si>
    <t>2022</t>
  </si>
  <si>
    <t>2023</t>
  </si>
  <si>
    <t>2024</t>
  </si>
  <si>
    <t>2025</t>
  </si>
  <si>
    <t>2026</t>
  </si>
  <si>
    <t>2027</t>
  </si>
  <si>
    <t>2028</t>
  </si>
  <si>
    <t xml:space="preserve">xga1157 </t>
  </si>
  <si>
    <t>1157 Battlecreek Road</t>
  </si>
  <si>
    <t>Roof</t>
  </si>
  <si>
    <t>No</t>
  </si>
  <si>
    <t>Roof maintenance
12/27 - Deferred/hold &amp; removed from FCM</t>
  </si>
  <si>
    <t>Yes</t>
  </si>
  <si>
    <t>Roof replacements - sections K,M,N,X,ZA,ZD (89,871 SF total)</t>
  </si>
  <si>
    <t>xga2100b</t>
  </si>
  <si>
    <t>2100 Boggs Road</t>
  </si>
  <si>
    <t xml:space="preserve">HVAC </t>
  </si>
  <si>
    <t>HVAC</t>
  </si>
  <si>
    <t xml:space="preserve">Replacement allowances </t>
  </si>
  <si>
    <t>Roof replacement</t>
  </si>
  <si>
    <t xml:space="preserve">xga265c </t>
  </si>
  <si>
    <t>265 Castleberry Industrial Drive</t>
  </si>
  <si>
    <t>HVAC units replacement allowance
12-27 Updated via Josh from EOQ review.</t>
  </si>
  <si>
    <t>3350 Hamilton Boulevard</t>
  </si>
  <si>
    <t>allowance for HVAC and heaters</t>
  </si>
  <si>
    <t xml:space="preserve">Asphalt </t>
  </si>
  <si>
    <t>Parking Lot Patch</t>
  </si>
  <si>
    <t>asphalt repairs of SW truck court and additional paving to wider truck court</t>
  </si>
  <si>
    <t xml:space="preserve"> 2023: re-cover of BUR roof sections re-cover BUR sections (54,166 SF @ $6/SF)</t>
  </si>
  <si>
    <t xml:space="preserve">xga4225 </t>
  </si>
  <si>
    <t>4225 Phil Niekro Parkway</t>
  </si>
  <si>
    <t>BI</t>
  </si>
  <si>
    <t>2/1/2022 - Suite 108-109 (church) - rebekah projecting 23,150 ($5/SF)</t>
  </si>
  <si>
    <t>HVAC unit replacement allowance</t>
  </si>
  <si>
    <t>Exterior</t>
  </si>
  <si>
    <t>MISC</t>
  </si>
  <si>
    <t>Allowance to investigate and repair soffit leaks and water damage</t>
  </si>
  <si>
    <t xml:space="preserve">Asphalt/Concrete </t>
  </si>
  <si>
    <t>Asphalt and concrete repairs ($2500 - repair storm inlet, $25,000 - concrete paving repairs, $20,000 - asphalt patching)</t>
  </si>
  <si>
    <t>Other</t>
  </si>
  <si>
    <t>Restore gas service to all suites</t>
  </si>
  <si>
    <t>Building Improvements</t>
  </si>
  <si>
    <t>Demo and re-demise walls to combine into fewer suites. Exterior repairs and cleanup</t>
  </si>
  <si>
    <t>4507 Mills Place</t>
  </si>
  <si>
    <t>Asphalt</t>
  </si>
  <si>
    <t>aspahlt patching</t>
  </si>
  <si>
    <t>Roof maintenance</t>
  </si>
  <si>
    <t>2022: $5,000 - new split system unit for office in suite 4600-F, $7,000 - new unit heaters for warehouse, gas currently off - Suite 4600-F, $7,500 - new split system unit for office in suite 4630-B, $10,500 - new unit heaters for warehouse of 4630-B. 2023: unit heaters 4630-A. 2026: replace HVAC in unit 4630-D</t>
  </si>
  <si>
    <t>2022: misc brick repairs and exterior sealing. 2025: dock door replacements in suite 4600-F</t>
  </si>
  <si>
    <t>Fire Sprinkler</t>
  </si>
  <si>
    <t>allowance for install of fire sprinkler system in 4630 building</t>
  </si>
  <si>
    <t>Asphalt &amp; Concrete</t>
  </si>
  <si>
    <t>asphalt patching allowance</t>
  </si>
  <si>
    <t>Electrical</t>
  </si>
  <si>
    <t>2022: $12,500 - LED lights in suite 4600-F, $15,625 - LED lights in suite 4630-B. 2023: LED lights for suite 4630-A. 2025: LED lights for suite 4600-A. 2026: LED lights for 4630-D</t>
  </si>
  <si>
    <t>$2,500 - toilet backups in suite 4630-C, $20,000 - allowance to turn gas back on to all suites</t>
  </si>
  <si>
    <t xml:space="preserve">xga4601 </t>
  </si>
  <si>
    <t>4601 Welcome All Road</t>
  </si>
  <si>
    <t>concree and asphalt paving repairs</t>
  </si>
  <si>
    <t>Roof maintenance
12-27 Updated via Josh from EOQ review.</t>
  </si>
  <si>
    <t>Roof replacement - shingle roof at office building</t>
  </si>
  <si>
    <t>replace skylights and major roof maintenance</t>
  </si>
  <si>
    <t>Allowance for structural column issues ($15,000 - engineering, $45,000 - repair columns, $84,000 -   replace damaged columns)</t>
  </si>
  <si>
    <t>Install unit heaters in warehouse</t>
  </si>
  <si>
    <t>xga4680n</t>
  </si>
  <si>
    <t>4680 North Royal Atlanta Drive</t>
  </si>
  <si>
    <t xml:space="preserve">xga5070 </t>
  </si>
  <si>
    <t>5070 Minola Drive</t>
  </si>
  <si>
    <t>BI, TI, &amp; Asphalt</t>
  </si>
  <si>
    <t>Roll up of multiple capital planning items.
TI - $48,276
BI - $68,000
Asphalt - $11,000</t>
  </si>
  <si>
    <t xml:space="preserve">LED lights in warehouse and office </t>
  </si>
  <si>
    <t>HVAC unit replacement</t>
  </si>
  <si>
    <t>Dock equipment replacement</t>
  </si>
  <si>
    <t>xga5121b</t>
  </si>
  <si>
    <t>5121 Buford Highway</t>
  </si>
  <si>
    <t xml:space="preserve">Other </t>
  </si>
  <si>
    <t>repair brick retaining wall</t>
  </si>
  <si>
    <t>800-850 Industrial Park Drive</t>
  </si>
  <si>
    <t>Per DD conclusion 
1/13/2022 - Revised due to issues with import file</t>
  </si>
  <si>
    <t xml:space="preserve">Roof </t>
  </si>
  <si>
    <t>Per DD conclusion 
1/13/2022 - Revised due to import file</t>
  </si>
  <si>
    <t>800 Wharton Drive</t>
  </si>
  <si>
    <t>Allowance for office HVAC replacement, updates from 2018 quote</t>
  </si>
  <si>
    <t>Asphalt and concrete</t>
  </si>
  <si>
    <t>Asphalt patching allowance</t>
  </si>
  <si>
    <t xml:space="preserve">xga9330 </t>
  </si>
  <si>
    <t>9330 Industrial Trace</t>
  </si>
  <si>
    <t xml:space="preserve">Per DD Conclusion File </t>
  </si>
  <si>
    <t xml:space="preserve">xgadors </t>
  </si>
  <si>
    <t>2009 Dorsey Road</t>
  </si>
  <si>
    <t>HVAC unit replacement allowance.
12-27 Updated via Josh from EOQ review.</t>
  </si>
  <si>
    <t>Sprinkler</t>
  </si>
  <si>
    <t>Fire sprinkler install allowance for building F (North Metro Truck)</t>
  </si>
  <si>
    <t>asphalt and concrete repairs</t>
  </si>
  <si>
    <t>replace skylights (all blds)</t>
  </si>
  <si>
    <t>xgahire1</t>
  </si>
  <si>
    <t>196 Rio Circle</t>
  </si>
  <si>
    <t>Roof replacement
12/7/21: Moving to 2022 per actual timing of replacement</t>
  </si>
  <si>
    <t>xgamc200</t>
  </si>
  <si>
    <t>4200 McEver Drive</t>
  </si>
  <si>
    <t>Replace HVAC package units (RTU)</t>
  </si>
  <si>
    <t>4220 McEver Drive</t>
  </si>
  <si>
    <t>Repair overhead doors</t>
  </si>
  <si>
    <t>Asphalt Repairs</t>
  </si>
  <si>
    <t>Per DD Conclusion File.
12-27 Updated via Josh from EOQ review.</t>
  </si>
  <si>
    <t>4255 McEver Drive</t>
  </si>
  <si>
    <t>Per DD conclusions</t>
  </si>
  <si>
    <t>Per DD conclusions.
12-27 Updated via Josh from EOQ review.</t>
  </si>
  <si>
    <t>Exterior pointing and sealing.
12-27 Updated via Josh from EOQ review. Reduced from 25k to 10k due to repairs being made in 2021.</t>
  </si>
  <si>
    <t>4260 McEver Drive</t>
  </si>
  <si>
    <t>xgashaw1</t>
  </si>
  <si>
    <t>986 Rosedale Dr</t>
  </si>
  <si>
    <t>xgashaw2</t>
  </si>
  <si>
    <t>922 Mountain Ind Dr</t>
  </si>
  <si>
    <t>Asphalt stabilization with subgrade stabilization</t>
  </si>
  <si>
    <t>xgashaw4</t>
  </si>
  <si>
    <t>3275 Florence Rd, Bldg 300</t>
  </si>
  <si>
    <t>Retaining wall repair</t>
  </si>
  <si>
    <t>xgashaw5</t>
  </si>
  <si>
    <t>3275 Florence Rd, Bldg 200</t>
  </si>
  <si>
    <t>xgashaw6</t>
  </si>
  <si>
    <t>3275 Florence Rd, Bldg 100</t>
  </si>
  <si>
    <t>HVAC allowance</t>
  </si>
  <si>
    <t>Install proper Fire Alarms.
12-27 Updated via Josh from EOQ review.</t>
  </si>
  <si>
    <t>Structural Repairs*</t>
  </si>
  <si>
    <t>*Potential allocation for structural repairs across the portfolio, total of $100k for hire portfolio.
12-27 Updated via Josh from EOQ review.</t>
  </si>
  <si>
    <t>xgahire2</t>
  </si>
  <si>
    <t>201 Laredo Drive</t>
  </si>
  <si>
    <t>$5k for Sprinklers, 12.5k for Painting.
12-27 Updated via Josh from EOQ review.</t>
  </si>
  <si>
    <t>xgahire3</t>
  </si>
  <si>
    <t>210 Rio Circle</t>
  </si>
  <si>
    <t>Roof replacement
3/16/2022 - moved due to condition</t>
  </si>
  <si>
    <t>xgahire7</t>
  </si>
  <si>
    <t>2980 Pine Street</t>
  </si>
  <si>
    <t>Asphalt patching.
12-27 Updated via Josh from EOQ review.</t>
  </si>
  <si>
    <t>$5k Sprinklers, $12.5k Painting - 1/31/2022 rejected due to R&amp;M non recoverable expenses</t>
  </si>
  <si>
    <t>xgahire8</t>
  </si>
  <si>
    <t>3000 Pine Street</t>
  </si>
  <si>
    <t>$5k for Sprinklers, 12.5k for Painting</t>
  </si>
  <si>
    <t>1001 Arthur Avenue</t>
  </si>
  <si>
    <t xml:space="preserve">HVAC per DD conclusion </t>
  </si>
  <si>
    <t xml:space="preserve">Per DD conclusion </t>
  </si>
  <si>
    <t>121 South Lombard Road</t>
  </si>
  <si>
    <t xml:space="preserve">xil1600 </t>
  </si>
  <si>
    <t>1600 Hunter Rd</t>
  </si>
  <si>
    <t>Per DD Conclusion File 
12-15 updated to hold. Underwritten due to age of units from an overall standpoint</t>
  </si>
  <si>
    <t>Per DD Conclusion File 
12-15 Made repairs in 2021 of roughly $5k. Can push out to later years if necessary. Looking to start in the spring.</t>
  </si>
  <si>
    <t>1 Territorial Court</t>
  </si>
  <si>
    <t xml:space="preserve">xil2101 </t>
  </si>
  <si>
    <t>roof</t>
  </si>
  <si>
    <t xml:space="preserve">xil250n </t>
  </si>
  <si>
    <t>250 North Washtenaw Avenue</t>
  </si>
  <si>
    <t xml:space="preserve">xil305e </t>
  </si>
  <si>
    <t>305 E North Ave</t>
  </si>
  <si>
    <t xml:space="preserve">xil700h </t>
  </si>
  <si>
    <t>700 High Grove Boulevard</t>
  </si>
  <si>
    <t xml:space="preserve">xil747  </t>
  </si>
  <si>
    <t>747-777 Chase Ave</t>
  </si>
  <si>
    <t>Per DD conclusion - Removed 40k from 2023. Work completed in 2022.</t>
  </si>
  <si>
    <t>77 Wheeling Road</t>
  </si>
  <si>
    <t>Per DD Conclusion - 1/27/2022 Moved to 2022 from 2023 due to renewal conversations.</t>
  </si>
  <si>
    <t>xilmitch</t>
  </si>
  <si>
    <t>561 Mitchell Ave</t>
  </si>
  <si>
    <t xml:space="preserve">xoh382c </t>
  </si>
  <si>
    <t>382 Circle Freeway Drive</t>
  </si>
  <si>
    <t>Sprinkler system Upgrade</t>
  </si>
  <si>
    <t>Per DD conclusions. 
1/12/2022 Moved to line up with the Renewal per Jordan. Will remove if the tenant renews.</t>
  </si>
  <si>
    <t xml:space="preserve">Roof replacement </t>
  </si>
  <si>
    <t>Roof replacment Per DD conclusion</t>
  </si>
  <si>
    <t xml:space="preserve">xohmost </t>
  </si>
  <si>
    <t>HVAC for RTU units past useful life</t>
  </si>
  <si>
    <t>xfl3900w</t>
  </si>
  <si>
    <t>3900 West Coachman Avenue</t>
  </si>
  <si>
    <t>Parking Lot Replacement</t>
  </si>
  <si>
    <t>Mill and overlay</t>
  </si>
  <si>
    <t xml:space="preserve">Roof Replacement </t>
  </si>
  <si>
    <t xml:space="preserve">Misc Funds for use </t>
  </si>
  <si>
    <t>420 S. Ware Boulevard</t>
  </si>
  <si>
    <t xml:space="preserve">Decommissioning equipment </t>
  </si>
  <si>
    <t>Roof Replacement</t>
  </si>
  <si>
    <t>Roof replacement per DD conclusion</t>
  </si>
  <si>
    <t>xfl7720p</t>
  </si>
  <si>
    <t>7720 Philips Highway</t>
  </si>
  <si>
    <t xml:space="preserve">Asphatl Patching </t>
  </si>
  <si>
    <t xml:space="preserve">Overlay Parking lot - Gabe DD conclusion </t>
  </si>
  <si>
    <t xml:space="preserve">Electrical </t>
  </si>
  <si>
    <t>Fire Pump &amp; associated pump controller. Inspection/replacement of corroded switches &amp; sectional replacement of the corroded fire riser piping</t>
  </si>
  <si>
    <t>CMU cracking, septic tank assessment, ada spaces. Exterior painting, cleaning, sealing, masonry pointing</t>
  </si>
  <si>
    <t xml:space="preserve">xnj1010 </t>
  </si>
  <si>
    <t>1010 Old Egg Harbor</t>
  </si>
  <si>
    <t>Water Infiltration</t>
  </si>
  <si>
    <t>Water intrusion
4/19/2022 - submitted for approval per Cory and Andrews FRG X excel updates</t>
  </si>
  <si>
    <t>Asphalt Patch/Repair
1/13/2022 - Need to address but deferring for now
2/3/2022 - Updated per Andrew</t>
  </si>
  <si>
    <t xml:space="preserve">xnj108n </t>
  </si>
  <si>
    <t>108 North Gold Drive</t>
  </si>
  <si>
    <t xml:space="preserve">Replace </t>
  </si>
  <si>
    <t xml:space="preserve">xnj10tw </t>
  </si>
  <si>
    <t>10 Twosome Drive</t>
  </si>
  <si>
    <t>HVAC Replacement
4/21/2022 - rejected due to billing through Opex.</t>
  </si>
  <si>
    <t>Asphalt overlay</t>
  </si>
  <si>
    <t>xnj121mo</t>
  </si>
  <si>
    <t>121 Moonachie Ave</t>
  </si>
  <si>
    <t>Can possibly pull out. No differnece in lease rates and can bill some back to the tenant due to lease.</t>
  </si>
  <si>
    <t>Replacement
4/18/2022 - Will bid through roof management program for replacement</t>
  </si>
  <si>
    <t>Spec Work</t>
  </si>
  <si>
    <t>128 Bauer Drive</t>
  </si>
  <si>
    <t>Tear off and recover</t>
  </si>
  <si>
    <t>Per DD conclusion-
3/22/2022 - Potential for capital to be pushed out due to tenants leasing as is per Tina</t>
  </si>
  <si>
    <t>Repairs and a full tear off
3/22/2022 - Submitted as approved. Need to see how we handle from accounting perspective.</t>
  </si>
  <si>
    <t xml:space="preserve">xnj14th </t>
  </si>
  <si>
    <t>14-16 Thomas J Rhodes</t>
  </si>
  <si>
    <t>Asphalt Patch/Repair
1/13/22 - Deferred
2/3/2022 - Updated per Andrew
4/21/2022 - Updated per corys file</t>
  </si>
  <si>
    <t>156 Algonquin Parkway</t>
  </si>
  <si>
    <t>Per DD conclusion 
3/21/2022 - Budgeted into property budgets as R&amp;M per Tina. Will reject from Capital planning.</t>
  </si>
  <si>
    <t>Per DD conclusion 
3/21/2022 - Moving to 2023 to line up with Whippany athletic club expiration.</t>
  </si>
  <si>
    <t>Combining the space
3/21/2022 - Moved to 2024 due to one of the tenants renewing as is. Originally this capital was planned to combine the spaces. Per Tina</t>
  </si>
  <si>
    <t>Patching
4/21/2022 - Submitted per Cory's file</t>
  </si>
  <si>
    <t>Per DD conclusion 
2/3/2022 - Updated from Call with Orry and issues there</t>
  </si>
  <si>
    <t>Roof Recover set up</t>
  </si>
  <si>
    <t>Per DD conclusion 
3/22/2022 - Leaving as planning. Will look at as we go due to lease negotiations.</t>
  </si>
  <si>
    <t xml:space="preserve">Restructuing the space </t>
  </si>
  <si>
    <t>Window Leak Issue
3/21/2022 - Budgeted into property budgets to fix the widow issues per Tina. Submitted for approval.</t>
  </si>
  <si>
    <t>xnj200ri</t>
  </si>
  <si>
    <t>200 Rike Drive</t>
  </si>
  <si>
    <t xml:space="preserve">xnj220r </t>
  </si>
  <si>
    <t>220 Route 70</t>
  </si>
  <si>
    <t>HVAC Replacement
2/3/2022 - Updated per Andrew</t>
  </si>
  <si>
    <t>Asphalt Patch/Repair
2/3/2022 - Updated per Andrew</t>
  </si>
  <si>
    <t>Roof replacement
3/14/2022 - Bids came back at 250K</t>
  </si>
  <si>
    <t>30 Leslie Court</t>
  </si>
  <si>
    <t xml:space="preserve">xnj313c </t>
  </si>
  <si>
    <t>313 Church Street</t>
  </si>
  <si>
    <t>Structural</t>
  </si>
  <si>
    <t>Per DD Conclusion File 
4/21/2022 - Submitted and approved per Cory's file</t>
  </si>
  <si>
    <t>Per DD Conclusion File 
2/3/2022 - Updated per Andrew
4/21/2022 - Submitted and approved per Cory's file</t>
  </si>
  <si>
    <t>Per DD Conclusion File - exterior metal panels
2/3/2022 - Updated per Andrew</t>
  </si>
  <si>
    <t xml:space="preserve">xnj390n </t>
  </si>
  <si>
    <t>390 New Albany Road</t>
  </si>
  <si>
    <t>Replace HVAC RTU's</t>
  </si>
  <si>
    <t>Roof repair and maintenance 
1/13/2022 rejected due to solar
2/3/2022 - Updated per Andrew
3/16/2022 - Added roof costs that were originally budgeted for solar</t>
  </si>
  <si>
    <t>Allocating initial dollars for LL exposure over T major repair cap_x000D_
Future LLW to condition warehouse space with new T</t>
  </si>
  <si>
    <t>Roof recovery and replacement, _x000D_
revising OSHA ladder pricing from $7,000 to $5,000</t>
  </si>
  <si>
    <t>40 Potash Road</t>
  </si>
  <si>
    <t>Exterior Paint
3/22/2022 - Pushed out due to tenant renewing option</t>
  </si>
  <si>
    <t>Per DD conclusions
4/21/2022 - rejected per Cory's file</t>
  </si>
  <si>
    <t xml:space="preserve">Structural </t>
  </si>
  <si>
    <t>Per DD conclusions
2/3/2022 - Updated per Andrew
4/21/2022 - Submitted and approved per Cory's file</t>
  </si>
  <si>
    <t>Asphalt overlay
2/3/2022 - Updated per Andrew</t>
  </si>
  <si>
    <t>Repair cracks in rear CMU walls
2/3/2022 - Updated per Andrew
4/21/2022 - Submitted and approved per Cory's file</t>
  </si>
  <si>
    <t>Per DD conclusions
4/21/2022 -  Updates per Cory's file</t>
  </si>
  <si>
    <t>Per DD conclusions
2/3/2022 - Updated per Andrew</t>
  </si>
  <si>
    <t>xnj52col</t>
  </si>
  <si>
    <t>52 Coles Road</t>
  </si>
  <si>
    <t>Per DD Conclusion File 
2/3/2022 - Updated per Andrew</t>
  </si>
  <si>
    <t>Per DD Conclusion File 
3/14/2022 - pricing came back lower at 85k</t>
  </si>
  <si>
    <t>Fire Alarm Panel/life safety deficiencies</t>
  </si>
  <si>
    <t>xnj5thor</t>
  </si>
  <si>
    <t>5 Thornton Road</t>
  </si>
  <si>
    <t>Partial Tear off 
3/22/2022 - Will submit for approval. Need to verify what we will end up wanting to do.</t>
  </si>
  <si>
    <t xml:space="preserve">Foundation </t>
  </si>
  <si>
    <t>Interior Slab Repair</t>
  </si>
  <si>
    <t>Slab repair for Garden State Lumber (TT)- LL's responsibility, non recovrable (Tina)
Contractor cost $12,960 + 5% Dev fee = $13,608 total budget</t>
  </si>
  <si>
    <t xml:space="preserve">xnj6965 </t>
  </si>
  <si>
    <t>6965 Airport Highway Lane</t>
  </si>
  <si>
    <t>Concrete</t>
  </si>
  <si>
    <t>Asphalt Repairs - GM</t>
  </si>
  <si>
    <t>Roof Maintenance</t>
  </si>
  <si>
    <t>General Repairs
2/3/2022 - Updated per Andrew</t>
  </si>
  <si>
    <t>General PM
2/3/2022 - Updated per Andrew</t>
  </si>
  <si>
    <t>xnj740co</t>
  </si>
  <si>
    <t>740 Coopertown Road</t>
  </si>
  <si>
    <t>Trench Drain</t>
  </si>
  <si>
    <t>Add exterior trench drain
4/21/2022 - Submitted and approved per Cory's file</t>
  </si>
  <si>
    <t>Repair step crack above main exhaust</t>
  </si>
  <si>
    <t xml:space="preserve">xnj7550 </t>
  </si>
  <si>
    <t>7550 North Crescent Boulevard</t>
  </si>
  <si>
    <t xml:space="preserve">Replacement </t>
  </si>
  <si>
    <t xml:space="preserve">xnj845l </t>
  </si>
  <si>
    <t>845 Lancer Drive</t>
  </si>
  <si>
    <t>Roof maintenance
2/3/2022 - Updated per Andrew</t>
  </si>
  <si>
    <t xml:space="preserve">xnj900k </t>
  </si>
  <si>
    <t>900 Kennedy Boulevard</t>
  </si>
  <si>
    <t>Replace one HVAC RTU
2/3/2022 - Updated per Andrew</t>
  </si>
  <si>
    <t>Units are older R22 style and currently  funcitoning but have exceeded their useful life. Will need to be replaced as problems arise.</t>
  </si>
  <si>
    <t>General Asphalt R &amp; M per PCA.</t>
  </si>
  <si>
    <t>Replacement. ISO overlay on Metal roof. Could look at an additional coating appliaction</t>
  </si>
  <si>
    <t>7055 Central Highway</t>
  </si>
  <si>
    <t>HVAC Replacement
4/21/2022 - Submitted and approved per Cory's file</t>
  </si>
  <si>
    <t>Asphalt Patch/Repair
4/21/2022 - Submitted and approved per Cory's file</t>
  </si>
  <si>
    <t>Sprinkler upgrades
4/21/2022 - Submitted and approved per Cory's file</t>
  </si>
  <si>
    <t>Fire Alarm</t>
  </si>
  <si>
    <t>Replace Fire Alarm panels
4/21/2022 - Submitted and approved per Cory's file</t>
  </si>
  <si>
    <t>xnjmorri</t>
  </si>
  <si>
    <t>14 Morris</t>
  </si>
  <si>
    <t>Per DD Conclusion 
From Partners PCA report
3/14/2022 - Current pricing come back much higher. New budget is around 165K</t>
  </si>
  <si>
    <t>Per DD conclusion</t>
  </si>
  <si>
    <t>Misc Exterior</t>
  </si>
  <si>
    <t>Exterior tuck pointing and sealing in 2022 and Exterior Painting and sealing in 2026
4/21/2022 - Submitted and approved per Cory's file</t>
  </si>
  <si>
    <t>3 Mary Way</t>
  </si>
  <si>
    <t xml:space="preserve">Resurface around the building </t>
  </si>
  <si>
    <t>Paint</t>
  </si>
  <si>
    <t xml:space="preserve">Paint exterior of building </t>
  </si>
  <si>
    <t>5 Mary Way</t>
  </si>
  <si>
    <t>7 Mary Way</t>
  </si>
  <si>
    <t>9 Mary Way</t>
  </si>
  <si>
    <t>18 Railroad Street</t>
  </si>
  <si>
    <t>5 Units totaling 19 Tons. Negotiating Lease.  Will revisit Q1 after we close.</t>
  </si>
  <si>
    <t>Metal panels</t>
  </si>
  <si>
    <t>Per DD conclusion 
4/22/2022 - Moved to 2023 and will re assess per Cory's file</t>
  </si>
  <si>
    <t>Replacement 
3/14/2022 - we could potentially move this out to later years. Need to look into it since there is potential to bump
4/20/2022 - Moved to 2023 and will re assess per Cory's file</t>
  </si>
  <si>
    <t>Repair retaining wall</t>
  </si>
  <si>
    <t xml:space="preserve">Sprinkler </t>
  </si>
  <si>
    <t>Numerous deficiencies</t>
  </si>
  <si>
    <t>xpa1peae</t>
  </si>
  <si>
    <t>1 Pearl Buck Court</t>
  </si>
  <si>
    <t>Per DD Conclusion File 
2/3/2022 - Updated per Andrew
4/20/2022 - Updated per Cory's file.</t>
  </si>
  <si>
    <t>separately meter the building</t>
  </si>
  <si>
    <t xml:space="preserve">xpa327c </t>
  </si>
  <si>
    <t>327 East Chew Avenue</t>
  </si>
  <si>
    <t>Roof Replacement/Maintenance</t>
  </si>
  <si>
    <t>4200 Macalester Street</t>
  </si>
  <si>
    <t>$492,130 roof tear off, down to deck and replacement 49,213 SF @  $10 PSF</t>
  </si>
  <si>
    <t>Façade</t>
  </si>
  <si>
    <t>Repaint south elevation facade</t>
  </si>
  <si>
    <t>Structural Repairs</t>
  </si>
  <si>
    <t>Seller credit requested in amount of $114,500 for structural issues, add $5,500 contingency. $32,000 North wall roof joist to CMU anchor_x000D_
$15,000 North wall tuck pointing_x000D_
$3,500 North wall ramp repairs_x000D_
$5,000 South, West, East Wall invasive probes_x000D_
$2,500 South, West, East Wall tuck pointing_x000D_
$10,000 South West, East Ashlar stone pointing_x000D_
$13,000 South, West, East joist CMU wall anchorage_x000D_
$30,000 South, West, East steel shell angle replacement, new windows_x000D_
$3,5000 crawlspace cut out support_x000D_
$5,500 Contingency</t>
  </si>
  <si>
    <t>xpa500ma</t>
  </si>
  <si>
    <t>500 Maryland Avenue</t>
  </si>
  <si>
    <t>General R &amp; M per PCA</t>
  </si>
  <si>
    <t>Roof replacement
$1,000,000 was in the DD conclusion. Underwriting from Cory is $692,133.</t>
  </si>
  <si>
    <t>Control Joints</t>
  </si>
  <si>
    <t>Re-caulking per PCA guidelines</t>
  </si>
  <si>
    <t>xtn187bo</t>
  </si>
  <si>
    <t>187 Bobrick Drive</t>
  </si>
  <si>
    <t>225 Bobrick Drive</t>
  </si>
  <si>
    <t>4290 Delp Street</t>
  </si>
  <si>
    <t>Jimmy Beard: "May be able to be pushed"
2/1/2022 - Moved due to condition</t>
  </si>
  <si>
    <t xml:space="preserve">xtx1121 </t>
  </si>
  <si>
    <t>1121 108th Street</t>
  </si>
  <si>
    <t>Spec Project</t>
  </si>
  <si>
    <t>1/14/2022 - Updated with new figures based on pricing from GC</t>
  </si>
  <si>
    <t>xtx2125v</t>
  </si>
  <si>
    <t>2125 Vanco Drive</t>
  </si>
  <si>
    <t>Per DD conclusion. Will look to defer since it may not be needed right now</t>
  </si>
  <si>
    <t>LED</t>
  </si>
  <si>
    <t xml:space="preserve">HVAC Replacments </t>
  </si>
  <si>
    <t>3662-3670 Miller Park Drive</t>
  </si>
  <si>
    <t xml:space="preserve">Ashalt </t>
  </si>
  <si>
    <t>4201 N Beach Street</t>
  </si>
  <si>
    <t>9820 Drysdale Lane</t>
  </si>
  <si>
    <t>Per DD Conclusion File 
1/14/2022 Updated due to in ability to complete - Might pull it from the project</t>
  </si>
  <si>
    <t xml:space="preserve">xtxglen </t>
  </si>
  <si>
    <t>3113 Glenfield Avenue</t>
  </si>
  <si>
    <t>Roof replacement - BUR
1/14/2022 - Moved due to better info about the asset.</t>
  </si>
  <si>
    <t>xtxmorto</t>
  </si>
  <si>
    <t>4000 Dan Morton Dr</t>
  </si>
  <si>
    <t>Sealant of tilt-up joints</t>
  </si>
  <si>
    <t>xtxwebbl</t>
  </si>
  <si>
    <t>7903 Webbles Dr</t>
  </si>
  <si>
    <t>Replace sealant at joints</t>
  </si>
  <si>
    <t>12150 Shiloh Road</t>
  </si>
  <si>
    <t>Per DD Conclusion.</t>
  </si>
  <si>
    <t>OVERALL TOTAL</t>
  </si>
  <si>
    <t>Summary:</t>
  </si>
  <si>
    <t>Mainly roofs and then parking lots and HVACs</t>
  </si>
  <si>
    <t>5.12.22</t>
  </si>
  <si>
    <t>** excluding all items below $10,000</t>
  </si>
  <si>
    <t>North NJ and PA</t>
  </si>
  <si>
    <t>CM in market</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</si>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</sst>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yyyy\-mm\-dd"/>
    <numFmt numFmtId="165" formatCode="_(* #,##0_);_(* \(#,##0\);_(* &quot;-&quot;??_);_(@_)"/>
    <numFmt numFmtId="166" formatCode="0.0"/>
    <numFmt numFmtId="167" formatCode="_(&quot;$&quot;* #,##0_);_(&quot;$&quot;* \(#,##0\);_(&quot;$&quot;* &quot;-&quot;??_);_(@_)"/>
    <numFmt numFmtId="168" formatCode="_(* #,##0.0_);_(* \(#,##0.0\);_(* &quot;-&quot;??_);_(@_)"/>
    <numFmt numFmtId="169" formatCode="0.0%"/>
    <numFmt numFmtId="170" formatCode="&quot;$&quot;#,##0"/>
    <numFmt numFmtId="171" formatCode="&quot;$&quot;#,##0.00"/>
    <numFmt numFmtId="172" formatCode="0.000"/>
    <numFmt numFmtId="173" formatCode="_(&quot;$&quot;* #,##0.0_);_(&quot;$&quot;* \(#,##0.0\);_(&quot;$&quot;* &quot;-&quot;??_);_(@_)"/>
    <numFmt numFmtId="174" formatCode="_(#,##0_);_(\(#,##0\);_(&quot;-&quot;??_);_(@_)"/>
  </numFmts>
  <fonts count="66">
    <font>
      <sz val="11"/>
      <name val="Arial"/>
      <family val="1"/>
    </font>
    <font>
      <b/>
      <sz val="11"/>
      <color rgb="FF000000"/>
      <name val="Arial"/>
      <family val="1"/>
    </font>
    <font>
      <sz val="11"/>
      <name val="Arial"/>
      <family val="1"/>
    </font>
    <font>
      <sz val="11"/>
      <color rgb="FFFF0000"/>
      <name val="Arial"/>
      <family val="1"/>
    </font>
    <font>
      <b/>
      <sz val="11"/>
      <name val="Arial"/>
      <family val="2"/>
    </font>
    <font>
      <sz val="12"/>
      <name val="Calibri"/>
      <family val="2"/>
    </font>
    <font>
      <b/>
      <sz val="12"/>
      <name val="Calibri"/>
      <family val="2"/>
    </font>
    <font>
      <u/>
      <sz val="12"/>
      <color rgb="FFFFFFFF"/>
      <name val="Calibri"/>
      <family val="2"/>
    </font>
    <font>
      <sz val="12"/>
      <color theme="1"/>
      <name val="Calibri"/>
      <family val="2"/>
    </font>
    <font>
      <sz val="12"/>
      <color rgb="FFFF0000"/>
      <name val="Calibri"/>
      <family val="2"/>
    </font>
    <font>
      <sz val="12"/>
      <name val="Calibri"/>
      <family val="2"/>
    </font>
    <font>
      <sz val="10"/>
      <name val="Calibri"/>
      <family val="2"/>
    </font>
    <font>
      <b/>
      <sz val="10"/>
      <name val="Calibri"/>
      <family val="2"/>
    </font>
    <font>
      <b/>
      <u/>
      <sz val="12"/>
      <name val="Calibri"/>
      <family val="2"/>
    </font>
    <font>
      <b/>
      <sz val="12"/>
      <color rgb="FFFF0000"/>
      <name val="Calibri"/>
      <family val="2"/>
    </font>
    <font>
      <b/>
      <sz val="15"/>
      <name val="Arial"/>
      <family val="1"/>
    </font>
    <font>
      <b/>
      <sz val="14"/>
      <color rgb="FF037F4C"/>
      <name val="Arial"/>
      <family val="1"/>
    </font>
    <font>
      <sz val="10"/>
      <name val="Arial"/>
      <family val="2"/>
    </font>
    <font>
      <sz val="11"/>
      <color indexed="8"/>
      <name val="Calibri"/>
      <family val="2"/>
      <scheme val="minor"/>
    </font>
    <font>
      <sz val="12"/>
      <color rgb="FF000000"/>
      <name val="Calibri"/>
      <family val="2"/>
    </font>
    <font>
      <sz val="11"/>
      <color rgb="FF0066FF"/>
      <name val="Arial"/>
      <family val="1"/>
    </font>
    <font>
      <sz val="11"/>
      <name val="Calibri Light"/>
      <family val="2"/>
      <scheme val="major"/>
    </font>
    <font>
      <b/>
      <sz val="11"/>
      <color theme="1"/>
      <name val="Arial"/>
      <family val="1"/>
    </font>
    <font>
      <sz val="11"/>
      <color rgb="FFFF0000"/>
      <name val="Arial"/>
      <family val="2"/>
    </font>
    <font>
      <sz val="11"/>
      <color rgb="FFFFFFFF"/>
      <name val="Arial"/>
      <family val="1"/>
    </font>
    <font>
      <b/>
      <sz val="9"/>
      <color rgb="FFFFFFFF"/>
      <name val="Calibri Light"/>
      <family val="2"/>
    </font>
    <font>
      <sz val="9"/>
      <color rgb="FFFFFFFF"/>
      <name val="Calibri Light"/>
      <family val="2"/>
    </font>
    <font>
      <b/>
      <sz val="9"/>
      <color theme="5"/>
      <name val="Calibri Light"/>
      <family val="2"/>
    </font>
    <font>
      <sz val="9"/>
      <name val="Calibri Light"/>
      <family val="2"/>
    </font>
    <font>
      <b/>
      <sz val="9"/>
      <name val="Calibri Light"/>
      <family val="2"/>
    </font>
    <font>
      <i/>
      <sz val="6"/>
      <color rgb="FF000000"/>
      <name val="Calibri Light"/>
      <family val="2"/>
    </font>
    <font>
      <sz val="10"/>
      <color rgb="FFFFFFFF"/>
      <name val="Calibri Light"/>
      <family val="2"/>
    </font>
    <font>
      <sz val="10"/>
      <color rgb="FF000000"/>
      <name val="Calibri Light"/>
      <family val="2"/>
    </font>
    <font>
      <b/>
      <sz val="10"/>
      <color rgb="FF000000"/>
      <name val="Calibri Light"/>
      <family val="2"/>
    </font>
    <font>
      <sz val="8"/>
      <name val="Arial"/>
      <family val="1"/>
    </font>
    <font>
      <b/>
      <sz val="15"/>
      <name val="Calibri"/>
      <family val="2"/>
    </font>
    <font>
      <sz val="10"/>
      <name val="Aptos"/>
      <family val="2"/>
    </font>
    <font>
      <sz val="10"/>
      <color theme="0"/>
      <name val="Aptos"/>
      <family val="2"/>
    </font>
    <font>
      <b/>
      <sz val="10"/>
      <name val="Aptos"/>
      <family val="2"/>
    </font>
    <font>
      <b/>
      <sz val="10"/>
      <color rgb="FF037F4C"/>
      <name val="Aptos"/>
      <family val="2"/>
    </font>
    <font>
      <sz val="10"/>
      <color rgb="FF0066FF"/>
      <name val="Aptos"/>
      <family val="2"/>
    </font>
    <font>
      <b/>
      <sz val="10"/>
      <color rgb="FF000000"/>
      <name val="Aptos"/>
      <family val="2"/>
    </font>
    <font>
      <b/>
      <sz val="10"/>
      <color rgb="FF0000FF"/>
      <name val="Aptos"/>
      <family val="2"/>
    </font>
    <font>
      <b/>
      <sz val="10"/>
      <color theme="0"/>
      <name val="Aptos"/>
      <family val="2"/>
    </font>
    <font>
      <b/>
      <sz val="10"/>
      <color theme="0" tint="-0.34998626667073579"/>
      <name val="Aptos"/>
      <family val="2"/>
    </font>
    <font>
      <sz val="10"/>
      <color theme="0" tint="-0.249977111117893"/>
      <name val="Aptos"/>
      <family val="2"/>
    </font>
    <font>
      <b/>
      <sz val="10"/>
      <color theme="0" tint="-0.249977111117893"/>
      <name val="Aptos"/>
      <family val="2"/>
    </font>
    <font>
      <sz val="10"/>
      <color theme="0" tint="-0.34998626667073579"/>
      <name val="Aptos"/>
      <family val="2"/>
    </font>
    <font>
      <sz val="10"/>
      <color rgb="FF0000FF"/>
      <name val="Aptos"/>
      <family val="2"/>
    </font>
    <font>
      <sz val="10"/>
      <color rgb="FF000000"/>
      <name val="Calibri"/>
      <family val="2"/>
    </font>
    <font>
      <b/>
      <sz val="10"/>
      <color rgb="FF000000"/>
      <name val="Calibri"/>
      <family val="2"/>
    </font>
    <font>
      <b/>
      <sz val="11"/>
      <name val="Aptos"/>
      <family val="2"/>
    </font>
    <font>
      <sz val="11"/>
      <name val="Aptos"/>
      <family val="2"/>
    </font>
    <font>
      <sz val="11"/>
      <color rgb="FF0000FF"/>
      <name val="Aptos"/>
      <family val="2"/>
    </font>
    <font>
      <sz val="11"/>
      <color theme="1"/>
      <name val="Aptos"/>
      <family val="2"/>
    </font>
    <font>
      <sz val="12"/>
      <color theme="1"/>
      <name val="Calibri"/>
      <family val="2"/>
      <scheme val="minor"/>
    </font>
    <font>
      <sz val="12"/>
      <color theme="1"/>
      <name val="Aptos"/>
      <family val="2"/>
    </font>
    <font>
      <b/>
      <sz val="12"/>
      <color theme="0"/>
      <name val="Aptos"/>
      <family val="2"/>
    </font>
    <font>
      <sz val="12"/>
      <color theme="0"/>
      <name val="Aptos"/>
      <family val="2"/>
    </font>
    <font>
      <sz val="12"/>
      <name val="Aptos"/>
      <family val="2"/>
    </font>
    <font>
      <b/>
      <sz val="12"/>
      <color rgb="FF000000"/>
      <name val="Aptos"/>
      <family val="2"/>
    </font>
    <font>
      <sz val="12"/>
      <color rgb="FF000000"/>
      <name val="Aptos"/>
      <family val="2"/>
    </font>
    <font>
      <b/>
      <sz val="12"/>
      <color theme="1"/>
      <name val="Aptos"/>
      <family val="2"/>
    </font>
    <font>
      <sz val="10"/>
      <color rgb="FF3C4043"/>
      <name val="Arial"/>
      <family val="2"/>
    </font>
    <font>
      <b/>
      <sz val="10"/>
      <color rgb="FFFF0000"/>
      <name val="Aptos"/>
      <family val="2"/>
    </font>
    <font>
      <i/>
      <sz val="10"/>
      <name val="Aptos"/>
      <family val="2"/>
    </font>
  </fonts>
  <fills count="32">
    <fill>
      <patternFill patternType="none"/>
    </fill>
    <fill>
      <patternFill patternType="gray125"/>
    </fill>
    <fill>
      <patternFill patternType="solid">
        <fgColor rgb="FFD6D6D6"/>
      </patternFill>
    </fill>
    <fill>
      <patternFill patternType="solid">
        <fgColor rgb="FF92D05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44546A"/>
        <bgColor rgb="FF000000"/>
      </patternFill>
    </fill>
    <fill>
      <patternFill patternType="solid">
        <fgColor rgb="FFD0CECE"/>
        <bgColor rgb="FF000000"/>
      </patternFill>
    </fill>
    <fill>
      <patternFill patternType="solid">
        <fgColor rgb="FFC0C0C0"/>
      </patternFill>
    </fill>
    <fill>
      <patternFill patternType="solid">
        <fgColor theme="3" tint="0.39997558519241921"/>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DAB3D"/>
      </patternFill>
    </fill>
    <fill>
      <patternFill patternType="solid">
        <fgColor rgb="FF00C875"/>
      </patternFill>
    </fill>
    <fill>
      <patternFill patternType="solid">
        <fgColor rgb="FF5559DF"/>
      </patternFill>
    </fill>
    <fill>
      <patternFill patternType="solid">
        <fgColor rgb="FF0086C0"/>
      </patternFill>
    </fill>
    <fill>
      <patternFill patternType="solid">
        <fgColor rgb="FF784BD1"/>
      </patternFill>
    </fill>
    <fill>
      <patternFill patternType="solid">
        <fgColor theme="4" tint="0.39997558519241921"/>
        <bgColor indexed="64"/>
      </patternFill>
    </fill>
    <fill>
      <patternFill patternType="solid">
        <fgColor rgb="FF33404F"/>
        <bgColor indexed="64"/>
      </patternFill>
    </fill>
    <fill>
      <patternFill patternType="solid">
        <fgColor rgb="FF0000FF"/>
        <bgColor indexed="64"/>
      </patternFill>
    </fill>
    <fill>
      <patternFill patternType="solid">
        <fgColor rgb="FFFFFFFF"/>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9"/>
        <bgColor indexed="64"/>
      </patternFill>
    </fill>
  </fills>
  <borders count="45">
    <border>
      <left/>
      <right/>
      <top/>
      <bottom/>
      <diagonal/>
    </border>
    <border>
      <left/>
      <right/>
      <top/>
      <bottom style="double">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ck">
        <color rgb="FFE99729"/>
      </left>
      <right style="thick">
        <color rgb="FFE99729"/>
      </right>
      <top style="thick">
        <color rgb="FFE99729"/>
      </top>
      <bottom style="thick">
        <color rgb="FFE99729"/>
      </bottom>
      <diagonal/>
    </border>
    <border>
      <left style="thick">
        <color rgb="FF00B461"/>
      </left>
      <right style="thick">
        <color rgb="FF00B461"/>
      </right>
      <top style="thick">
        <color rgb="FF00B461"/>
      </top>
      <bottom style="thick">
        <color rgb="FF00B461"/>
      </bottom>
      <diagonal/>
    </border>
    <border>
      <left style="thick">
        <color rgb="FF5559DF"/>
      </left>
      <right style="thick">
        <color rgb="FF5559DF"/>
      </right>
      <top style="thick">
        <color rgb="FF5559DF"/>
      </top>
      <bottom style="thick">
        <color rgb="FF5559DF"/>
      </bottom>
      <diagonal/>
    </border>
    <border>
      <left style="thick">
        <color rgb="FF3DB0DF"/>
      </left>
      <right style="thick">
        <color rgb="FF3DB0DF"/>
      </right>
      <top style="thick">
        <color rgb="FF3DB0DF"/>
      </top>
      <bottom style="thick">
        <color rgb="FF3DB0DF"/>
      </bottom>
      <diagonal/>
    </border>
    <border>
      <left style="thick">
        <color rgb="FF8F4DC4"/>
      </left>
      <right style="thick">
        <color rgb="FF8F4DC4"/>
      </right>
      <top style="thick">
        <color rgb="FF8F4DC4"/>
      </top>
      <bottom style="thick">
        <color rgb="FF8F4DC4"/>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FFFFFF"/>
      </left>
      <right style="medium">
        <color rgb="FFFFFFFF"/>
      </right>
      <top style="medium">
        <color rgb="FFFFFFFF"/>
      </top>
      <bottom style="medium">
        <color rgb="FFFFFFFF"/>
      </bottom>
      <diagonal/>
    </border>
    <border>
      <left style="medium">
        <color indexed="64"/>
      </left>
      <right/>
      <top style="medium">
        <color indexed="64"/>
      </top>
      <bottom style="thin">
        <color theme="4" tint="0.39997558519241921"/>
      </bottom>
      <diagonal/>
    </border>
    <border>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medium">
        <color rgb="FFFFFFFF"/>
      </left>
      <right style="medium">
        <color rgb="FFFFFFFF"/>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3">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10" fillId="0" borderId="0"/>
    <xf numFmtId="44" fontId="10" fillId="0" borderId="0" applyFont="0" applyFill="0" applyBorder="0" applyAlignment="0" applyProtection="0"/>
    <xf numFmtId="9" fontId="5" fillId="0" borderId="0" applyFont="0" applyFill="0" applyBorder="0" applyAlignment="0" applyProtection="0"/>
    <xf numFmtId="0" fontId="17" fillId="0" borderId="0"/>
    <xf numFmtId="9" fontId="17" fillId="0" borderId="0" applyFont="0" applyFill="0" applyBorder="0" applyAlignment="0" applyProtection="0"/>
    <xf numFmtId="44" fontId="17" fillId="0" borderId="0" applyFont="0" applyFill="0" applyBorder="0" applyAlignment="0" applyProtection="0"/>
    <xf numFmtId="42" fontId="17" fillId="0" borderId="0" applyFont="0" applyFill="0" applyBorder="0" applyAlignment="0" applyProtection="0"/>
    <xf numFmtId="43" fontId="17" fillId="0" borderId="0" applyFont="0" applyFill="0" applyBorder="0" applyAlignment="0" applyProtection="0"/>
    <xf numFmtId="41" fontId="17" fillId="0" borderId="0" applyFont="0" applyFill="0" applyBorder="0" applyAlignment="0" applyProtection="0"/>
    <xf numFmtId="0" fontId="18"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2" fillId="0" borderId="0" applyFont="0" applyFill="0" applyBorder="0" applyAlignment="0" applyProtection="0"/>
    <xf numFmtId="0" fontId="55" fillId="0" borderId="0"/>
  </cellStyleXfs>
  <cellXfs count="471">
    <xf numFmtId="0" fontId="0" fillId="0" borderId="0" xfId="0"/>
    <xf numFmtId="0" fontId="0" fillId="0" borderId="0" xfId="0" pivotButton="1"/>
    <xf numFmtId="0" fontId="0" fillId="0" borderId="0" xfId="0" applyAlignment="1">
      <alignment horizontal="left"/>
    </xf>
    <xf numFmtId="0" fontId="0" fillId="0" borderId="0" xfId="0" applyAlignment="1">
      <alignment horizontal="right"/>
    </xf>
    <xf numFmtId="165" fontId="0" fillId="0" borderId="0" xfId="0" applyNumberFormat="1" applyAlignment="1">
      <alignment horizontal="right"/>
    </xf>
    <xf numFmtId="165" fontId="0" fillId="0" borderId="0" xfId="1" applyNumberFormat="1" applyFont="1"/>
    <xf numFmtId="0" fontId="4" fillId="0" borderId="0" xfId="0" applyFont="1"/>
    <xf numFmtId="43" fontId="4" fillId="4" borderId="0" xfId="1" applyFont="1" applyFill="1"/>
    <xf numFmtId="43" fontId="4" fillId="4" borderId="0" xfId="0" applyNumberFormat="1" applyFont="1" applyFill="1"/>
    <xf numFmtId="0" fontId="0" fillId="3" borderId="0" xfId="0" applyFill="1" applyAlignment="1">
      <alignment wrapText="1"/>
    </xf>
    <xf numFmtId="10" fontId="0" fillId="0" borderId="0" xfId="0" applyNumberFormat="1" applyAlignment="1">
      <alignment horizontal="right"/>
    </xf>
    <xf numFmtId="165" fontId="4" fillId="0" borderId="0" xfId="1" applyNumberFormat="1" applyFont="1"/>
    <xf numFmtId="9" fontId="0" fillId="0" borderId="0" xfId="0" applyNumberFormat="1"/>
    <xf numFmtId="0" fontId="0" fillId="6" borderId="0" xfId="0" applyFill="1"/>
    <xf numFmtId="43" fontId="0" fillId="6" borderId="0" xfId="1" applyFont="1" applyFill="1"/>
    <xf numFmtId="43" fontId="0" fillId="6" borderId="0" xfId="0" applyNumberFormat="1" applyFill="1"/>
    <xf numFmtId="0" fontId="5" fillId="0" borderId="0" xfId="3"/>
    <xf numFmtId="0" fontId="6" fillId="0" borderId="0" xfId="3" applyFont="1"/>
    <xf numFmtId="0" fontId="5" fillId="0" borderId="1" xfId="3" applyBorder="1"/>
    <xf numFmtId="0" fontId="7" fillId="7" borderId="0" xfId="3" applyFont="1" applyFill="1" applyAlignment="1">
      <alignment horizontal="left"/>
    </xf>
    <xf numFmtId="0" fontId="8" fillId="8" borderId="2" xfId="3" applyFont="1" applyFill="1" applyBorder="1" applyAlignment="1">
      <alignment horizontal="center"/>
    </xf>
    <xf numFmtId="44" fontId="5" fillId="0" borderId="0" xfId="3" applyNumberFormat="1"/>
    <xf numFmtId="0" fontId="7" fillId="0" borderId="0" xfId="3" applyFont="1" applyAlignment="1">
      <alignment horizontal="left"/>
    </xf>
    <xf numFmtId="167" fontId="6" fillId="0" borderId="0" xfId="4" applyNumberFormat="1" applyFont="1"/>
    <xf numFmtId="167" fontId="0" fillId="0" borderId="0" xfId="4" applyNumberFormat="1" applyFont="1"/>
    <xf numFmtId="167" fontId="0" fillId="0" borderId="1" xfId="4" applyNumberFormat="1" applyFont="1" applyBorder="1"/>
    <xf numFmtId="165" fontId="6" fillId="0" borderId="0" xfId="3" applyNumberFormat="1" applyFont="1"/>
    <xf numFmtId="165" fontId="6" fillId="0" borderId="0" xfId="5" applyNumberFormat="1" applyFont="1"/>
    <xf numFmtId="0" fontId="9" fillId="0" borderId="0" xfId="3" applyFont="1"/>
    <xf numFmtId="0" fontId="6" fillId="5" borderId="0" xfId="3" applyFont="1" applyFill="1" applyAlignment="1">
      <alignment horizontal="center"/>
    </xf>
    <xf numFmtId="0" fontId="10" fillId="0" borderId="0" xfId="6"/>
    <xf numFmtId="167" fontId="5" fillId="0" borderId="0" xfId="7" applyNumberFormat="1" applyFont="1"/>
    <xf numFmtId="0" fontId="5" fillId="0" borderId="0" xfId="6" applyFont="1"/>
    <xf numFmtId="167" fontId="6" fillId="5" borderId="0" xfId="7" applyNumberFormat="1" applyFont="1" applyFill="1"/>
    <xf numFmtId="0" fontId="6" fillId="5" borderId="0" xfId="6" applyFont="1" applyFill="1"/>
    <xf numFmtId="167" fontId="0" fillId="0" borderId="0" xfId="7" applyNumberFormat="1" applyFont="1"/>
    <xf numFmtId="167" fontId="5" fillId="5" borderId="0" xfId="7" applyNumberFormat="1" applyFont="1" applyFill="1"/>
    <xf numFmtId="0" fontId="11" fillId="5" borderId="0" xfId="6" applyFont="1" applyFill="1" applyAlignment="1">
      <alignment wrapText="1"/>
    </xf>
    <xf numFmtId="167" fontId="11" fillId="0" borderId="0" xfId="7" applyNumberFormat="1" applyFont="1" applyFill="1" applyAlignment="1">
      <alignment wrapText="1"/>
    </xf>
    <xf numFmtId="0" fontId="11" fillId="0" borderId="0" xfId="6" applyFont="1" applyAlignment="1">
      <alignment wrapText="1"/>
    </xf>
    <xf numFmtId="9" fontId="11" fillId="0" borderId="0" xfId="6" applyNumberFormat="1" applyFont="1" applyAlignment="1">
      <alignment wrapText="1"/>
    </xf>
    <xf numFmtId="3" fontId="11" fillId="0" borderId="0" xfId="6" applyNumberFormat="1" applyFont="1" applyAlignment="1">
      <alignment wrapText="1"/>
    </xf>
    <xf numFmtId="0" fontId="10" fillId="5" borderId="0" xfId="6" applyFill="1"/>
    <xf numFmtId="167" fontId="11" fillId="5" borderId="0" xfId="7" applyNumberFormat="1" applyFont="1" applyFill="1" applyAlignment="1">
      <alignment wrapText="1"/>
    </xf>
    <xf numFmtId="9" fontId="11" fillId="5" borderId="0" xfId="6" applyNumberFormat="1" applyFont="1" applyFill="1" applyAlignment="1">
      <alignment wrapText="1"/>
    </xf>
    <xf numFmtId="3" fontId="11" fillId="5" borderId="0" xfId="6" applyNumberFormat="1" applyFont="1" applyFill="1" applyAlignment="1">
      <alignment wrapText="1"/>
    </xf>
    <xf numFmtId="0" fontId="5" fillId="5" borderId="0" xfId="6" applyFont="1" applyFill="1"/>
    <xf numFmtId="167" fontId="12" fillId="9" borderId="0" xfId="7" applyNumberFormat="1" applyFont="1" applyFill="1" applyAlignment="1">
      <alignment horizontal="center" wrapText="1"/>
    </xf>
    <xf numFmtId="0" fontId="12" fillId="9" borderId="0" xfId="6" applyFont="1" applyFill="1" applyAlignment="1">
      <alignment horizontal="center" wrapText="1"/>
    </xf>
    <xf numFmtId="0" fontId="0" fillId="0" borderId="0" xfId="0" pivotButton="1" applyAlignment="1">
      <alignment wrapText="1"/>
    </xf>
    <xf numFmtId="0" fontId="0" fillId="0" borderId="0" xfId="0" applyAlignment="1">
      <alignment wrapText="1"/>
    </xf>
    <xf numFmtId="0" fontId="0" fillId="0" borderId="0" xfId="0" applyAlignment="1">
      <alignment horizontal="right" wrapText="1"/>
    </xf>
    <xf numFmtId="43" fontId="0" fillId="6" borderId="0" xfId="1" applyFont="1" applyFill="1" applyAlignment="1">
      <alignment horizontal="right"/>
    </xf>
    <xf numFmtId="0" fontId="5" fillId="5" borderId="0" xfId="3" applyFill="1"/>
    <xf numFmtId="0" fontId="13" fillId="10" borderId="0" xfId="3" applyFont="1" applyFill="1" applyAlignment="1">
      <alignment horizontal="center"/>
    </xf>
    <xf numFmtId="0" fontId="14" fillId="0" borderId="0" xfId="3" applyFont="1"/>
    <xf numFmtId="0" fontId="5" fillId="0" borderId="0" xfId="3" applyAlignment="1">
      <alignment wrapText="1"/>
    </xf>
    <xf numFmtId="167" fontId="5" fillId="0" borderId="0" xfId="3" applyNumberFormat="1"/>
    <xf numFmtId="0" fontId="5" fillId="0" borderId="0" xfId="3" applyAlignment="1">
      <alignment horizontal="center"/>
    </xf>
    <xf numFmtId="0" fontId="12" fillId="9" borderId="0" xfId="3" applyFont="1" applyFill="1" applyAlignment="1">
      <alignment horizontal="center" wrapText="1"/>
    </xf>
    <xf numFmtId="167" fontId="12" fillId="9" borderId="0" xfId="4" applyNumberFormat="1" applyFont="1" applyFill="1" applyAlignment="1">
      <alignment horizontal="center" wrapText="1"/>
    </xf>
    <xf numFmtId="0" fontId="11" fillId="0" borderId="0" xfId="3" applyFont="1" applyAlignment="1">
      <alignment wrapText="1"/>
    </xf>
    <xf numFmtId="3" fontId="11" fillId="0" borderId="0" xfId="3" applyNumberFormat="1" applyFont="1" applyAlignment="1">
      <alignment wrapText="1"/>
    </xf>
    <xf numFmtId="9" fontId="11" fillId="0" borderId="0" xfId="3" applyNumberFormat="1" applyFont="1" applyAlignment="1">
      <alignment wrapText="1"/>
    </xf>
    <xf numFmtId="167" fontId="11" fillId="0" borderId="0" xfId="4" applyNumberFormat="1" applyFont="1" applyFill="1" applyAlignment="1">
      <alignment wrapText="1"/>
    </xf>
    <xf numFmtId="0" fontId="11" fillId="5" borderId="0" xfId="3" applyFont="1" applyFill="1" applyAlignment="1">
      <alignment wrapText="1"/>
    </xf>
    <xf numFmtId="3" fontId="11" fillId="5" borderId="0" xfId="3" applyNumberFormat="1" applyFont="1" applyFill="1" applyAlignment="1">
      <alignment wrapText="1"/>
    </xf>
    <xf numFmtId="9" fontId="11" fillId="5" borderId="0" xfId="3" applyNumberFormat="1" applyFont="1" applyFill="1" applyAlignment="1">
      <alignment wrapText="1"/>
    </xf>
    <xf numFmtId="167" fontId="11" fillId="5" borderId="0" xfId="4" applyNumberFormat="1" applyFont="1" applyFill="1" applyAlignment="1">
      <alignment wrapText="1"/>
    </xf>
    <xf numFmtId="167" fontId="5" fillId="5" borderId="0" xfId="4" applyNumberFormat="1" applyFont="1" applyFill="1"/>
    <xf numFmtId="0" fontId="6" fillId="5" borderId="0" xfId="3" applyFont="1" applyFill="1"/>
    <xf numFmtId="167" fontId="6" fillId="5" borderId="0" xfId="4" applyNumberFormat="1" applyFont="1" applyFill="1"/>
    <xf numFmtId="167" fontId="5" fillId="0" borderId="0" xfId="4" applyNumberFormat="1" applyFont="1"/>
    <xf numFmtId="0" fontId="0" fillId="11" borderId="0" xfId="0" applyFill="1"/>
    <xf numFmtId="0" fontId="3" fillId="0" borderId="0" xfId="0" applyFont="1"/>
    <xf numFmtId="0" fontId="0" fillId="0" borderId="0" xfId="0" applyAlignment="1">
      <alignment horizontal="center"/>
    </xf>
    <xf numFmtId="2" fontId="0" fillId="0" borderId="0" xfId="0" applyNumberFormat="1" applyAlignment="1">
      <alignment horizontal="right"/>
    </xf>
    <xf numFmtId="9" fontId="0" fillId="0" borderId="0" xfId="2" applyFont="1"/>
    <xf numFmtId="10" fontId="0" fillId="0" borderId="0" xfId="0" applyNumberFormat="1"/>
    <xf numFmtId="0" fontId="21" fillId="0" borderId="0" xfId="0" applyFont="1"/>
    <xf numFmtId="9" fontId="21" fillId="0" borderId="0" xfId="2" applyFont="1"/>
    <xf numFmtId="14" fontId="21" fillId="0" borderId="0" xfId="0" applyNumberFormat="1" applyFont="1"/>
    <xf numFmtId="9" fontId="0" fillId="0" borderId="0" xfId="0" applyNumberFormat="1" applyAlignment="1">
      <alignment horizontal="right"/>
    </xf>
    <xf numFmtId="1" fontId="0" fillId="0" borderId="0" xfId="0" applyNumberFormat="1" applyAlignment="1">
      <alignment horizontal="right"/>
    </xf>
    <xf numFmtId="0" fontId="3" fillId="0" borderId="0" xfId="0" applyFont="1" applyAlignment="1">
      <alignment horizontal="right"/>
    </xf>
    <xf numFmtId="0" fontId="22" fillId="16" borderId="20" xfId="0" applyFont="1" applyFill="1" applyBorder="1"/>
    <xf numFmtId="0" fontId="22" fillId="16" borderId="20" xfId="0" applyFont="1" applyFill="1" applyBorder="1" applyAlignment="1">
      <alignment horizontal="right"/>
    </xf>
    <xf numFmtId="0" fontId="22" fillId="16" borderId="21" xfId="0" applyFont="1" applyFill="1" applyBorder="1" applyAlignment="1">
      <alignment horizontal="left"/>
    </xf>
    <xf numFmtId="1" fontId="22" fillId="16" borderId="21" xfId="0" applyNumberFormat="1" applyFont="1" applyFill="1" applyBorder="1" applyAlignment="1">
      <alignment horizontal="right"/>
    </xf>
    <xf numFmtId="165" fontId="22" fillId="16" borderId="21" xfId="0" applyNumberFormat="1" applyFont="1" applyFill="1" applyBorder="1" applyAlignment="1">
      <alignment horizontal="right"/>
    </xf>
    <xf numFmtId="2" fontId="22" fillId="16" borderId="21" xfId="0" applyNumberFormat="1" applyFont="1" applyFill="1" applyBorder="1" applyAlignment="1">
      <alignment horizontal="right"/>
    </xf>
    <xf numFmtId="9" fontId="22" fillId="16" borderId="21" xfId="0" applyNumberFormat="1" applyFont="1" applyFill="1" applyBorder="1" applyAlignment="1">
      <alignment horizontal="right"/>
    </xf>
    <xf numFmtId="0" fontId="3" fillId="0" borderId="0" xfId="0" applyFont="1" applyAlignment="1">
      <alignment horizontal="left"/>
    </xf>
    <xf numFmtId="9" fontId="0" fillId="0" borderId="0" xfId="2" applyFont="1" applyAlignment="1">
      <alignment horizontal="right"/>
    </xf>
    <xf numFmtId="0" fontId="23" fillId="0" borderId="0" xfId="0" applyFont="1"/>
    <xf numFmtId="170" fontId="0" fillId="0" borderId="0" xfId="0" applyNumberFormat="1" applyAlignment="1">
      <alignment horizontal="right"/>
    </xf>
    <xf numFmtId="170" fontId="22" fillId="16" borderId="21" xfId="0" applyNumberFormat="1" applyFont="1" applyFill="1" applyBorder="1" applyAlignment="1">
      <alignment horizontal="right"/>
    </xf>
    <xf numFmtId="0" fontId="22" fillId="16" borderId="0" xfId="0" applyFont="1" applyFill="1" applyAlignment="1">
      <alignment horizontal="right"/>
    </xf>
    <xf numFmtId="0" fontId="20" fillId="0" borderId="0" xfId="0" applyFont="1"/>
    <xf numFmtId="0" fontId="22" fillId="0" borderId="0" xfId="0" applyFont="1" applyAlignment="1">
      <alignment horizontal="left"/>
    </xf>
    <xf numFmtId="2" fontId="22" fillId="0" borderId="0" xfId="0" applyNumberFormat="1" applyFont="1" applyAlignment="1">
      <alignment horizontal="right"/>
    </xf>
    <xf numFmtId="0" fontId="15" fillId="0" borderId="0" xfId="0" applyFont="1" applyAlignment="1">
      <alignment vertical="center"/>
    </xf>
    <xf numFmtId="0" fontId="16" fillId="0" borderId="0" xfId="0" applyFont="1" applyAlignment="1">
      <alignment vertical="center"/>
    </xf>
    <xf numFmtId="0" fontId="1" fillId="2" borderId="0" xfId="0" applyFont="1" applyFill="1" applyAlignment="1">
      <alignment horizontal="left" vertical="center"/>
    </xf>
    <xf numFmtId="0" fontId="1" fillId="2" borderId="0" xfId="0" applyFont="1" applyFill="1" applyAlignment="1">
      <alignment horizontal="center" vertical="center"/>
    </xf>
    <xf numFmtId="0" fontId="0" fillId="0" borderId="0" xfId="0" applyAlignment="1">
      <alignment horizontal="left" vertical="center"/>
    </xf>
    <xf numFmtId="0" fontId="24" fillId="17" borderId="25" xfId="0" applyFont="1" applyFill="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24" fillId="18" borderId="26" xfId="0" applyFont="1" applyFill="1" applyBorder="1" applyAlignment="1">
      <alignment horizontal="center" vertical="center"/>
    </xf>
    <xf numFmtId="0" fontId="24" fillId="19" borderId="27" xfId="0" applyFont="1" applyFill="1" applyBorder="1" applyAlignment="1">
      <alignment horizontal="center" vertical="center"/>
    </xf>
    <xf numFmtId="0" fontId="24" fillId="20" borderId="28" xfId="0" applyFont="1" applyFill="1" applyBorder="1" applyAlignment="1">
      <alignment horizontal="center" vertical="center"/>
    </xf>
    <xf numFmtId="0" fontId="0" fillId="5" borderId="0" xfId="0" applyFill="1" applyAlignment="1">
      <alignment horizontal="center" vertical="center"/>
    </xf>
    <xf numFmtId="0" fontId="24" fillId="21" borderId="29" xfId="0" applyFont="1" applyFill="1" applyBorder="1" applyAlignment="1">
      <alignment horizontal="center" vertical="center"/>
    </xf>
    <xf numFmtId="171" fontId="4" fillId="0" borderId="0" xfId="21" applyNumberFormat="1" applyFont="1" applyAlignment="1">
      <alignment horizontal="center"/>
    </xf>
    <xf numFmtId="2" fontId="0" fillId="0" borderId="0" xfId="0" applyNumberFormat="1"/>
    <xf numFmtId="0" fontId="0" fillId="0" borderId="0" xfId="0" applyAlignment="1">
      <alignment horizontal="left" indent="1"/>
    </xf>
    <xf numFmtId="0" fontId="22" fillId="16" borderId="21" xfId="0" applyFont="1" applyFill="1" applyBorder="1" applyAlignment="1">
      <alignment horizontal="center"/>
    </xf>
    <xf numFmtId="1" fontId="22" fillId="16" borderId="21" xfId="0" applyNumberFormat="1" applyFont="1" applyFill="1" applyBorder="1" applyAlignment="1">
      <alignment horizontal="center"/>
    </xf>
    <xf numFmtId="2" fontId="0" fillId="0" borderId="0" xfId="0" applyNumberFormat="1" applyAlignment="1">
      <alignment horizontal="center" vertical="center"/>
    </xf>
    <xf numFmtId="2" fontId="4" fillId="0" borderId="0" xfId="0" applyNumberFormat="1" applyFont="1" applyAlignment="1">
      <alignment horizontal="center"/>
    </xf>
    <xf numFmtId="168" fontId="0" fillId="0" borderId="0" xfId="0" applyNumberFormat="1" applyAlignment="1">
      <alignment horizontal="right"/>
    </xf>
    <xf numFmtId="168" fontId="20" fillId="0" borderId="0" xfId="0" applyNumberFormat="1" applyFont="1" applyAlignment="1">
      <alignment horizontal="right"/>
    </xf>
    <xf numFmtId="165" fontId="20" fillId="0" borderId="0" xfId="0" applyNumberFormat="1" applyFont="1" applyAlignment="1">
      <alignment horizontal="right"/>
    </xf>
    <xf numFmtId="1" fontId="0" fillId="0" borderId="0" xfId="0" applyNumberFormat="1" applyAlignment="1">
      <alignment horizontal="center"/>
    </xf>
    <xf numFmtId="0" fontId="25" fillId="23" borderId="31" xfId="0" applyFont="1" applyFill="1" applyBorder="1" applyAlignment="1">
      <alignment horizontal="left" vertical="center" wrapText="1"/>
    </xf>
    <xf numFmtId="0" fontId="25" fillId="23" borderId="32" xfId="0" applyFont="1" applyFill="1" applyBorder="1" applyAlignment="1">
      <alignment horizontal="center" vertical="center" wrapText="1"/>
    </xf>
    <xf numFmtId="0" fontId="27" fillId="0" borderId="0" xfId="0" applyFont="1"/>
    <xf numFmtId="0" fontId="28" fillId="0" borderId="0" xfId="0" applyFont="1"/>
    <xf numFmtId="0" fontId="28" fillId="0" borderId="0" xfId="0" applyFont="1" applyAlignment="1">
      <alignment horizontal="center"/>
    </xf>
    <xf numFmtId="2" fontId="28" fillId="0" borderId="0" xfId="0" applyNumberFormat="1" applyFont="1" applyAlignment="1">
      <alignment horizontal="center"/>
    </xf>
    <xf numFmtId="165" fontId="28" fillId="0" borderId="0" xfId="1" applyNumberFormat="1" applyFont="1" applyAlignment="1">
      <alignment horizontal="center"/>
    </xf>
    <xf numFmtId="9" fontId="28" fillId="0" borderId="0" xfId="0" applyNumberFormat="1" applyFont="1" applyAlignment="1">
      <alignment horizontal="center"/>
    </xf>
    <xf numFmtId="0" fontId="29" fillId="0" borderId="0" xfId="0" applyFont="1"/>
    <xf numFmtId="0" fontId="29" fillId="0" borderId="0" xfId="0" applyFont="1" applyAlignment="1">
      <alignment horizontal="center"/>
    </xf>
    <xf numFmtId="2" fontId="29" fillId="0" borderId="0" xfId="0" applyNumberFormat="1" applyFont="1" applyAlignment="1">
      <alignment horizontal="center"/>
    </xf>
    <xf numFmtId="165" fontId="29" fillId="0" borderId="0" xfId="1" applyNumberFormat="1" applyFont="1" applyAlignment="1">
      <alignment horizontal="center"/>
    </xf>
    <xf numFmtId="9" fontId="29" fillId="0" borderId="0" xfId="0" applyNumberFormat="1" applyFont="1" applyAlignment="1">
      <alignment horizontal="center"/>
    </xf>
    <xf numFmtId="0" fontId="30" fillId="0" borderId="0" xfId="0" applyFont="1" applyAlignment="1">
      <alignment horizontal="left" vertical="center"/>
    </xf>
    <xf numFmtId="170" fontId="0" fillId="0" borderId="0" xfId="0" applyNumberFormat="1"/>
    <xf numFmtId="9" fontId="0" fillId="0" borderId="0" xfId="2" applyFont="1" applyBorder="1"/>
    <xf numFmtId="0" fontId="22" fillId="16" borderId="39" xfId="0" applyFont="1" applyFill="1" applyBorder="1"/>
    <xf numFmtId="0" fontId="22" fillId="16" borderId="40" xfId="0" applyFont="1" applyFill="1" applyBorder="1" applyAlignment="1">
      <alignment horizontal="right"/>
    </xf>
    <xf numFmtId="0" fontId="22" fillId="16" borderId="40" xfId="0" applyFont="1" applyFill="1" applyBorder="1"/>
    <xf numFmtId="0" fontId="22" fillId="16" borderId="41" xfId="0" applyFont="1" applyFill="1" applyBorder="1"/>
    <xf numFmtId="0" fontId="31" fillId="23" borderId="38" xfId="0" applyFont="1" applyFill="1" applyBorder="1" applyAlignment="1">
      <alignment horizontal="left" wrapText="1"/>
    </xf>
    <xf numFmtId="0" fontId="31" fillId="23" borderId="38" xfId="0" applyFont="1" applyFill="1" applyBorder="1" applyAlignment="1">
      <alignment horizontal="center" wrapText="1"/>
    </xf>
    <xf numFmtId="0" fontId="32" fillId="13" borderId="38" xfId="0" applyFont="1" applyFill="1" applyBorder="1" applyAlignment="1">
      <alignment horizontal="left" wrapText="1"/>
    </xf>
    <xf numFmtId="2" fontId="32" fillId="13" borderId="38" xfId="0" applyNumberFormat="1" applyFont="1" applyFill="1" applyBorder="1" applyAlignment="1">
      <alignment horizontal="center" wrapText="1"/>
    </xf>
    <xf numFmtId="0" fontId="33" fillId="13" borderId="38" xfId="0" applyFont="1" applyFill="1" applyBorder="1" applyAlignment="1">
      <alignment horizontal="left" wrapText="1"/>
    </xf>
    <xf numFmtId="0" fontId="33" fillId="13" borderId="38" xfId="0" applyFont="1" applyFill="1" applyBorder="1" applyAlignment="1">
      <alignment horizontal="center" wrapText="1"/>
    </xf>
    <xf numFmtId="2" fontId="33" fillId="13" borderId="38" xfId="0" applyNumberFormat="1" applyFont="1" applyFill="1" applyBorder="1" applyAlignment="1">
      <alignment horizontal="center" wrapText="1"/>
    </xf>
    <xf numFmtId="1" fontId="32" fillId="13" borderId="38" xfId="0" applyNumberFormat="1" applyFont="1" applyFill="1" applyBorder="1" applyAlignment="1">
      <alignment horizontal="center" wrapText="1"/>
    </xf>
    <xf numFmtId="1" fontId="33" fillId="13" borderId="38" xfId="0" applyNumberFormat="1" applyFont="1" applyFill="1" applyBorder="1" applyAlignment="1">
      <alignment horizontal="center" wrapText="1"/>
    </xf>
    <xf numFmtId="0" fontId="33" fillId="13" borderId="42" xfId="0" applyFont="1" applyFill="1" applyBorder="1" applyAlignment="1">
      <alignment horizontal="left" wrapText="1"/>
    </xf>
    <xf numFmtId="171" fontId="33" fillId="13" borderId="38" xfId="0" applyNumberFormat="1" applyFont="1" applyFill="1" applyBorder="1" applyAlignment="1">
      <alignment horizontal="center" wrapText="1"/>
    </xf>
    <xf numFmtId="1" fontId="32" fillId="13" borderId="38" xfId="0" applyNumberFormat="1" applyFont="1" applyFill="1" applyBorder="1" applyAlignment="1">
      <alignment horizontal="left" wrapText="1"/>
    </xf>
    <xf numFmtId="2" fontId="28" fillId="0" borderId="0" xfId="0" applyNumberFormat="1" applyFont="1"/>
    <xf numFmtId="9" fontId="28" fillId="0" borderId="0" xfId="0" applyNumberFormat="1" applyFont="1"/>
    <xf numFmtId="0" fontId="25" fillId="0" borderId="0" xfId="0" applyFont="1" applyAlignment="1">
      <alignment horizontal="center" vertical="center" wrapText="1"/>
    </xf>
    <xf numFmtId="165" fontId="0" fillId="0" borderId="0" xfId="1" applyNumberFormat="1" applyFont="1" applyAlignment="1">
      <alignment horizontal="right"/>
    </xf>
    <xf numFmtId="9" fontId="0" fillId="0" borderId="0" xfId="2" applyFont="1" applyBorder="1" applyAlignment="1">
      <alignment horizontal="right"/>
    </xf>
    <xf numFmtId="9" fontId="28" fillId="0" borderId="0" xfId="2" applyFont="1"/>
    <xf numFmtId="9" fontId="29" fillId="0" borderId="0" xfId="2" applyFont="1"/>
    <xf numFmtId="0" fontId="12" fillId="9" borderId="0" xfId="0" applyFont="1" applyFill="1"/>
    <xf numFmtId="0" fontId="11" fillId="0" borderId="0" xfId="0" applyFont="1"/>
    <xf numFmtId="14" fontId="11" fillId="0" borderId="0" xfId="0" applyNumberFormat="1" applyFont="1"/>
    <xf numFmtId="1" fontId="11" fillId="0" borderId="0" xfId="0" applyNumberFormat="1" applyFont="1"/>
    <xf numFmtId="2" fontId="11" fillId="0" borderId="0" xfId="0" applyNumberFormat="1" applyFont="1"/>
    <xf numFmtId="0" fontId="11" fillId="12" borderId="0" xfId="0" applyFont="1" applyFill="1"/>
    <xf numFmtId="14" fontId="11" fillId="12" borderId="0" xfId="0" applyNumberFormat="1" applyFont="1" applyFill="1"/>
    <xf numFmtId="1" fontId="11" fillId="12" borderId="0" xfId="0" applyNumberFormat="1" applyFont="1" applyFill="1"/>
    <xf numFmtId="2" fontId="11" fillId="12" borderId="0" xfId="0" applyNumberFormat="1" applyFont="1" applyFill="1"/>
    <xf numFmtId="4" fontId="11" fillId="12" borderId="0" xfId="0" applyNumberFormat="1" applyFont="1" applyFill="1"/>
    <xf numFmtId="4" fontId="11" fillId="0" borderId="0" xfId="0" applyNumberFormat="1" applyFont="1"/>
    <xf numFmtId="0" fontId="0" fillId="12" borderId="0" xfId="0" applyFill="1"/>
    <xf numFmtId="0" fontId="36" fillId="0" borderId="0" xfId="0" applyFont="1" applyAlignment="1" applyProtection="1">
      <alignment horizontal="left" vertical="center"/>
      <protection locked="0"/>
    </xf>
    <xf numFmtId="0" fontId="36" fillId="0" borderId="0" xfId="0" applyFont="1" applyAlignment="1" applyProtection="1">
      <alignment horizontal="center" vertical="center"/>
      <protection locked="0"/>
    </xf>
    <xf numFmtId="165" fontId="36" fillId="0" borderId="0" xfId="1" applyNumberFormat="1" applyFont="1" applyFill="1" applyAlignment="1" applyProtection="1">
      <alignment horizontal="center" vertical="center"/>
      <protection locked="0"/>
    </xf>
    <xf numFmtId="2" fontId="36" fillId="0" borderId="0" xfId="0" applyNumberFormat="1" applyFont="1" applyAlignment="1" applyProtection="1">
      <alignment horizontal="center" vertical="center"/>
      <protection locked="0"/>
    </xf>
    <xf numFmtId="41" fontId="36" fillId="0" borderId="0" xfId="21" applyNumberFormat="1" applyFont="1" applyAlignment="1" applyProtection="1">
      <alignment vertical="center"/>
      <protection locked="0"/>
    </xf>
    <xf numFmtId="37" fontId="36" fillId="0" borderId="0" xfId="21" applyNumberFormat="1" applyFont="1" applyFill="1" applyAlignment="1" applyProtection="1">
      <alignment horizontal="right" vertical="center"/>
      <protection locked="0"/>
    </xf>
    <xf numFmtId="164" fontId="36" fillId="0" borderId="0" xfId="0" applyNumberFormat="1" applyFont="1" applyAlignment="1" applyProtection="1">
      <alignment horizontal="center" vertical="center"/>
      <protection locked="0"/>
    </xf>
    <xf numFmtId="9" fontId="36" fillId="0" borderId="0" xfId="2" applyFont="1" applyFill="1" applyAlignment="1" applyProtection="1">
      <alignment horizontal="center" vertical="center"/>
      <protection locked="0"/>
    </xf>
    <xf numFmtId="0" fontId="36" fillId="0" borderId="0" xfId="0" applyFont="1" applyAlignment="1">
      <alignment horizontal="left"/>
    </xf>
    <xf numFmtId="0" fontId="36" fillId="5" borderId="0" xfId="0" applyFont="1" applyFill="1" applyAlignment="1" applyProtection="1">
      <alignment horizontal="center" vertical="center"/>
      <protection locked="0"/>
    </xf>
    <xf numFmtId="0" fontId="36" fillId="0" borderId="0" xfId="0" applyFont="1"/>
    <xf numFmtId="4" fontId="36" fillId="0" borderId="0" xfId="0" applyNumberFormat="1" applyFont="1"/>
    <xf numFmtId="41" fontId="36" fillId="0" borderId="0" xfId="21" applyNumberFormat="1" applyFont="1" applyFill="1" applyAlignment="1" applyProtection="1">
      <alignment vertical="center"/>
      <protection locked="0"/>
    </xf>
    <xf numFmtId="3" fontId="36" fillId="0" borderId="0" xfId="21" applyNumberFormat="1" applyFont="1" applyFill="1" applyAlignment="1" applyProtection="1">
      <alignment horizontal="right" vertical="center"/>
      <protection locked="0"/>
    </xf>
    <xf numFmtId="169" fontId="36" fillId="0" borderId="0" xfId="2" applyNumberFormat="1" applyFont="1" applyFill="1" applyAlignment="1" applyProtection="1">
      <alignment horizontal="center" vertical="center"/>
      <protection locked="0"/>
    </xf>
    <xf numFmtId="37" fontId="36" fillId="5" borderId="0" xfId="21" applyNumberFormat="1" applyFont="1" applyFill="1" applyAlignment="1" applyProtection="1">
      <alignment horizontal="right" vertical="center"/>
      <protection locked="0"/>
    </xf>
    <xf numFmtId="9" fontId="36" fillId="0" borderId="0" xfId="2" applyFont="1" applyAlignment="1" applyProtection="1">
      <alignment horizontal="left" vertical="center"/>
      <protection locked="0"/>
    </xf>
    <xf numFmtId="0" fontId="37" fillId="24" borderId="0" xfId="0" applyFont="1" applyFill="1" applyAlignment="1" applyProtection="1">
      <alignment horizontal="center" vertical="center"/>
      <protection locked="0"/>
    </xf>
    <xf numFmtId="165" fontId="36" fillId="0" borderId="0" xfId="1" applyNumberFormat="1" applyFont="1" applyAlignment="1" applyProtection="1">
      <alignment horizontal="center" vertical="center"/>
      <protection locked="0"/>
    </xf>
    <xf numFmtId="37" fontId="36" fillId="0" borderId="0" xfId="21" applyNumberFormat="1" applyFont="1" applyAlignment="1" applyProtection="1">
      <alignment horizontal="right" vertical="center"/>
      <protection locked="0"/>
    </xf>
    <xf numFmtId="9" fontId="36" fillId="0" borderId="0" xfId="2" applyFont="1" applyAlignment="1" applyProtection="1">
      <alignment horizontal="center" vertical="center"/>
      <protection locked="0"/>
    </xf>
    <xf numFmtId="166" fontId="36" fillId="0" borderId="0" xfId="0" applyNumberFormat="1" applyFont="1" applyAlignment="1" applyProtection="1">
      <alignment horizontal="center" vertical="center"/>
      <protection locked="0"/>
    </xf>
    <xf numFmtId="0" fontId="36" fillId="0" borderId="0" xfId="0" applyFont="1" applyProtection="1">
      <protection locked="0"/>
    </xf>
    <xf numFmtId="0" fontId="36" fillId="0" borderId="0" xfId="0" applyFont="1" applyAlignment="1">
      <alignment horizontal="left" vertical="center"/>
    </xf>
    <xf numFmtId="0" fontId="36" fillId="0" borderId="0" xfId="0" applyFont="1" applyAlignment="1">
      <alignment horizontal="center" vertical="center"/>
    </xf>
    <xf numFmtId="164" fontId="36" fillId="0" borderId="0" xfId="0" applyNumberFormat="1" applyFont="1" applyAlignment="1">
      <alignment horizontal="center" vertical="center"/>
    </xf>
    <xf numFmtId="0" fontId="38" fillId="0" borderId="0" xfId="0" applyFont="1" applyAlignment="1">
      <alignment horizontal="left" vertical="center"/>
    </xf>
    <xf numFmtId="44" fontId="36" fillId="0" borderId="0" xfId="21" applyFont="1" applyAlignment="1">
      <alignment horizontal="left"/>
    </xf>
    <xf numFmtId="43" fontId="36" fillId="0" borderId="0" xfId="0" applyNumberFormat="1" applyFont="1"/>
    <xf numFmtId="165" fontId="36" fillId="0" borderId="0" xfId="2" applyNumberFormat="1" applyFont="1"/>
    <xf numFmtId="9" fontId="36" fillId="0" borderId="0" xfId="2" applyFont="1"/>
    <xf numFmtId="2" fontId="36" fillId="0" borderId="0" xfId="2" applyNumberFormat="1" applyFont="1"/>
    <xf numFmtId="172" fontId="36" fillId="0" borderId="0" xfId="0" applyNumberFormat="1" applyFont="1"/>
    <xf numFmtId="165" fontId="36" fillId="0" borderId="0" xfId="0" applyNumberFormat="1" applyFont="1"/>
    <xf numFmtId="0" fontId="36" fillId="12" borderId="22" xfId="0" applyFont="1" applyFill="1" applyBorder="1"/>
    <xf numFmtId="9" fontId="36" fillId="12" borderId="11" xfId="0" applyNumberFormat="1" applyFont="1" applyFill="1" applyBorder="1"/>
    <xf numFmtId="167" fontId="36" fillId="12" borderId="12" xfId="21" applyNumberFormat="1" applyFont="1" applyFill="1" applyBorder="1"/>
    <xf numFmtId="0" fontId="39" fillId="0" borderId="0" xfId="0" applyFont="1" applyAlignment="1">
      <alignment horizontal="left" vertical="center"/>
    </xf>
    <xf numFmtId="165" fontId="36" fillId="0" borderId="0" xfId="0" applyNumberFormat="1" applyFont="1" applyAlignment="1">
      <alignment horizontal="right"/>
    </xf>
    <xf numFmtId="43" fontId="36" fillId="0" borderId="0" xfId="0" applyNumberFormat="1" applyFont="1" applyAlignment="1">
      <alignment horizontal="right"/>
    </xf>
    <xf numFmtId="169" fontId="36" fillId="0" borderId="0" xfId="2" applyNumberFormat="1" applyFont="1"/>
    <xf numFmtId="0" fontId="36" fillId="12" borderId="23" xfId="0" applyFont="1" applyFill="1" applyBorder="1"/>
    <xf numFmtId="9" fontId="36" fillId="12" borderId="0" xfId="0" applyNumberFormat="1" applyFont="1" applyFill="1"/>
    <xf numFmtId="167" fontId="36" fillId="12" borderId="13" xfId="21" applyNumberFormat="1" applyFont="1" applyFill="1" applyBorder="1"/>
    <xf numFmtId="9" fontId="36" fillId="0" borderId="0" xfId="2" applyFont="1" applyFill="1" applyAlignment="1">
      <alignment horizontal="center"/>
    </xf>
    <xf numFmtId="9" fontId="36" fillId="0" borderId="0" xfId="2" applyFont="1" applyFill="1"/>
    <xf numFmtId="0" fontId="36" fillId="0" borderId="0" xfId="0" applyFont="1" applyAlignment="1">
      <alignment horizontal="right"/>
    </xf>
    <xf numFmtId="0" fontId="40" fillId="0" borderId="0" xfId="0" applyFont="1"/>
    <xf numFmtId="0" fontId="36" fillId="12" borderId="24" xfId="0" applyFont="1" applyFill="1" applyBorder="1"/>
    <xf numFmtId="9" fontId="36" fillId="12" borderId="14" xfId="0" applyNumberFormat="1" applyFont="1" applyFill="1" applyBorder="1"/>
    <xf numFmtId="9" fontId="36" fillId="12" borderId="15" xfId="2" applyFont="1" applyFill="1" applyBorder="1"/>
    <xf numFmtId="0" fontId="38" fillId="15" borderId="0" xfId="0" applyFont="1" applyFill="1"/>
    <xf numFmtId="0" fontId="41" fillId="2" borderId="0" xfId="0" applyFont="1" applyFill="1" applyAlignment="1" applyProtection="1">
      <alignment horizontal="left" vertical="center"/>
      <protection locked="0"/>
    </xf>
    <xf numFmtId="0" fontId="41" fillId="2" borderId="0" xfId="0" applyFont="1" applyFill="1" applyAlignment="1" applyProtection="1">
      <alignment horizontal="center" vertical="center"/>
      <protection locked="0"/>
    </xf>
    <xf numFmtId="0" fontId="41" fillId="2" borderId="0" xfId="0" applyFont="1" applyFill="1" applyAlignment="1" applyProtection="1">
      <alignment horizontal="right" vertical="center"/>
      <protection locked="0"/>
    </xf>
    <xf numFmtId="0" fontId="41" fillId="0" borderId="0" xfId="0" applyFont="1" applyAlignment="1" applyProtection="1">
      <alignment horizontal="center" vertical="center"/>
      <protection locked="0"/>
    </xf>
    <xf numFmtId="0" fontId="41" fillId="12" borderId="0" xfId="0" applyFont="1" applyFill="1" applyAlignment="1" applyProtection="1">
      <alignment horizontal="center" vertical="center"/>
      <protection locked="0"/>
    </xf>
    <xf numFmtId="2" fontId="36" fillId="0" borderId="0" xfId="0" applyNumberFormat="1" applyFont="1" applyProtection="1">
      <protection locked="0"/>
    </xf>
    <xf numFmtId="43" fontId="36" fillId="0" borderId="0" xfId="1" applyFont="1" applyAlignment="1">
      <alignment horizontal="center" vertical="center"/>
    </xf>
    <xf numFmtId="9" fontId="36" fillId="0" borderId="0" xfId="2" applyFont="1" applyAlignment="1">
      <alignment horizontal="center" vertical="center"/>
    </xf>
    <xf numFmtId="41" fontId="36" fillId="0" borderId="0" xfId="0" applyNumberFormat="1" applyFont="1"/>
    <xf numFmtId="44" fontId="36" fillId="0" borderId="0" xfId="21" applyFont="1" applyAlignment="1">
      <alignment horizontal="center"/>
    </xf>
    <xf numFmtId="167" fontId="36" fillId="0" borderId="0" xfId="21" applyNumberFormat="1" applyFont="1"/>
    <xf numFmtId="0" fontId="42" fillId="0" borderId="0" xfId="0" applyFont="1" applyAlignment="1">
      <alignment horizontal="left"/>
    </xf>
    <xf numFmtId="0" fontId="43" fillId="14" borderId="3" xfId="0" applyFont="1" applyFill="1" applyBorder="1" applyAlignment="1">
      <alignment horizontal="left"/>
    </xf>
    <xf numFmtId="0" fontId="43" fillId="14" borderId="4" xfId="0" applyFont="1" applyFill="1" applyBorder="1" applyAlignment="1">
      <alignment horizontal="left" vertical="center"/>
    </xf>
    <xf numFmtId="0" fontId="43" fillId="14" borderId="4" xfId="0" applyFont="1" applyFill="1" applyBorder="1" applyAlignment="1">
      <alignment horizontal="right"/>
    </xf>
    <xf numFmtId="0" fontId="43" fillId="14" borderId="4" xfId="0" applyFont="1" applyFill="1" applyBorder="1" applyAlignment="1">
      <alignment horizontal="right" vertical="center"/>
    </xf>
    <xf numFmtId="0" fontId="44" fillId="14" borderId="4" xfId="0" applyFont="1" applyFill="1" applyBorder="1" applyAlignment="1">
      <alignment horizontal="right" vertical="center"/>
    </xf>
    <xf numFmtId="0" fontId="43" fillId="14" borderId="5" xfId="0" applyFont="1" applyFill="1" applyBorder="1" applyAlignment="1">
      <alignment horizontal="right" vertical="center"/>
    </xf>
    <xf numFmtId="0" fontId="38" fillId="0" borderId="0" xfId="0" applyFont="1"/>
    <xf numFmtId="167" fontId="43" fillId="14" borderId="0" xfId="21" applyNumberFormat="1" applyFont="1" applyFill="1" applyAlignment="1">
      <alignment horizontal="right" vertical="center"/>
    </xf>
    <xf numFmtId="0" fontId="43" fillId="14" borderId="0" xfId="0" applyFont="1" applyFill="1" applyAlignment="1">
      <alignment horizontal="right" vertical="center"/>
    </xf>
    <xf numFmtId="0" fontId="36" fillId="0" borderId="0" xfId="0" applyFont="1" applyAlignment="1">
      <alignment horizontal="center"/>
    </xf>
    <xf numFmtId="0" fontId="38" fillId="0" borderId="0" xfId="0" applyFont="1" applyAlignment="1">
      <alignment horizontal="left"/>
    </xf>
    <xf numFmtId="0" fontId="36" fillId="0" borderId="6" xfId="0" applyFont="1" applyBorder="1" applyAlignment="1">
      <alignment horizontal="left"/>
    </xf>
    <xf numFmtId="2" fontId="36" fillId="0" borderId="0" xfId="0" applyNumberFormat="1" applyFont="1"/>
    <xf numFmtId="165" fontId="36" fillId="0" borderId="0" xfId="1" applyNumberFormat="1" applyFont="1" applyBorder="1" applyAlignment="1">
      <alignment horizontal="center"/>
    </xf>
    <xf numFmtId="2" fontId="36" fillId="0" borderId="0" xfId="0" applyNumberFormat="1" applyFont="1" applyAlignment="1">
      <alignment horizontal="right"/>
    </xf>
    <xf numFmtId="2" fontId="45" fillId="0" borderId="0" xfId="0" applyNumberFormat="1" applyFont="1" applyAlignment="1">
      <alignment horizontal="right"/>
    </xf>
    <xf numFmtId="9" fontId="36" fillId="0" borderId="0" xfId="2" applyFont="1" applyBorder="1" applyAlignment="1">
      <alignment horizontal="right"/>
    </xf>
    <xf numFmtId="9" fontId="36" fillId="0" borderId="7" xfId="2" applyFont="1" applyBorder="1" applyAlignment="1">
      <alignment horizontal="center"/>
    </xf>
    <xf numFmtId="167" fontId="36" fillId="0" borderId="0" xfId="21" applyNumberFormat="1" applyFont="1" applyAlignment="1">
      <alignment horizontal="center"/>
    </xf>
    <xf numFmtId="165" fontId="36" fillId="0" borderId="0" xfId="0" applyNumberFormat="1" applyFont="1" applyAlignment="1">
      <alignment horizontal="left"/>
    </xf>
    <xf numFmtId="0" fontId="36" fillId="13" borderId="8" xfId="0" applyFont="1" applyFill="1" applyBorder="1" applyAlignment="1">
      <alignment horizontal="left"/>
    </xf>
    <xf numFmtId="0" fontId="38" fillId="13" borderId="8" xfId="0" applyFont="1" applyFill="1" applyBorder="1" applyAlignment="1">
      <alignment horizontal="left"/>
    </xf>
    <xf numFmtId="0" fontId="38" fillId="13" borderId="9" xfId="0" applyFont="1" applyFill="1" applyBorder="1" applyAlignment="1">
      <alignment horizontal="left"/>
    </xf>
    <xf numFmtId="2" fontId="38" fillId="13" borderId="9" xfId="0" applyNumberFormat="1" applyFont="1" applyFill="1" applyBorder="1" applyAlignment="1">
      <alignment horizontal="right"/>
    </xf>
    <xf numFmtId="165" fontId="38" fillId="13" borderId="9" xfId="1" applyNumberFormat="1" applyFont="1" applyFill="1" applyBorder="1" applyAlignment="1">
      <alignment horizontal="center"/>
    </xf>
    <xf numFmtId="2" fontId="46" fillId="13" borderId="9" xfId="0" applyNumberFormat="1" applyFont="1" applyFill="1" applyBorder="1" applyAlignment="1">
      <alignment horizontal="right"/>
    </xf>
    <xf numFmtId="9" fontId="38" fillId="13" borderId="9" xfId="2" applyFont="1" applyFill="1" applyBorder="1" applyAlignment="1">
      <alignment horizontal="right"/>
    </xf>
    <xf numFmtId="9" fontId="38" fillId="13" borderId="10" xfId="2" applyFont="1" applyFill="1" applyBorder="1" applyAlignment="1">
      <alignment horizontal="center"/>
    </xf>
    <xf numFmtId="167" fontId="38" fillId="13" borderId="0" xfId="21" applyNumberFormat="1" applyFont="1" applyFill="1" applyAlignment="1">
      <alignment horizontal="center"/>
    </xf>
    <xf numFmtId="2" fontId="38" fillId="13" borderId="0" xfId="0" applyNumberFormat="1" applyFont="1" applyFill="1" applyAlignment="1">
      <alignment horizontal="right"/>
    </xf>
    <xf numFmtId="0" fontId="36" fillId="13" borderId="0" xfId="0" applyFont="1" applyFill="1" applyAlignment="1">
      <alignment horizontal="left"/>
    </xf>
    <xf numFmtId="0" fontId="38" fillId="13" borderId="0" xfId="0" applyFont="1" applyFill="1" applyAlignment="1">
      <alignment horizontal="left"/>
    </xf>
    <xf numFmtId="165" fontId="38" fillId="13" borderId="0" xfId="1" applyNumberFormat="1" applyFont="1" applyFill="1" applyBorder="1" applyAlignment="1">
      <alignment horizontal="center"/>
    </xf>
    <xf numFmtId="2" fontId="46" fillId="13" borderId="0" xfId="0" applyNumberFormat="1" applyFont="1" applyFill="1" applyAlignment="1">
      <alignment horizontal="right"/>
    </xf>
    <xf numFmtId="9" fontId="38" fillId="13" borderId="0" xfId="2" applyFont="1" applyFill="1" applyBorder="1" applyAlignment="1">
      <alignment horizontal="right"/>
    </xf>
    <xf numFmtId="9" fontId="38" fillId="13" borderId="0" xfId="2" applyFont="1" applyFill="1" applyBorder="1" applyAlignment="1">
      <alignment horizontal="center"/>
    </xf>
    <xf numFmtId="166" fontId="36" fillId="0" borderId="0" xfId="0" applyNumberFormat="1" applyFont="1"/>
    <xf numFmtId="166" fontId="38" fillId="13" borderId="9" xfId="0" applyNumberFormat="1" applyFont="1" applyFill="1" applyBorder="1" applyAlignment="1">
      <alignment horizontal="right"/>
    </xf>
    <xf numFmtId="9" fontId="36" fillId="0" borderId="0" xfId="2" applyFont="1" applyAlignment="1">
      <alignment horizontal="left"/>
    </xf>
    <xf numFmtId="9" fontId="38" fillId="0" borderId="0" xfId="2" applyFont="1" applyAlignment="1">
      <alignment horizontal="left"/>
    </xf>
    <xf numFmtId="0" fontId="38" fillId="0" borderId="17" xfId="0" applyFont="1" applyBorder="1" applyAlignment="1">
      <alignment horizontal="left" vertical="center"/>
    </xf>
    <xf numFmtId="0" fontId="38" fillId="0" borderId="11" xfId="0" applyFont="1" applyBorder="1" applyAlignment="1">
      <alignment horizontal="left" vertical="center"/>
    </xf>
    <xf numFmtId="0" fontId="38" fillId="0" borderId="11" xfId="0" applyFont="1" applyBorder="1" applyAlignment="1">
      <alignment horizontal="left"/>
    </xf>
    <xf numFmtId="0" fontId="38" fillId="0" borderId="11" xfId="0" applyFont="1" applyBorder="1" applyAlignment="1">
      <alignment horizontal="right"/>
    </xf>
    <xf numFmtId="0" fontId="41" fillId="0" borderId="11" xfId="0" applyFont="1" applyBorder="1" applyAlignment="1">
      <alignment horizontal="right" vertical="center"/>
    </xf>
    <xf numFmtId="0" fontId="46" fillId="0" borderId="11" xfId="0" applyFont="1" applyBorder="1" applyAlignment="1">
      <alignment horizontal="right" vertical="center"/>
    </xf>
    <xf numFmtId="0" fontId="38" fillId="0" borderId="12" xfId="0" applyFont="1" applyBorder="1"/>
    <xf numFmtId="167" fontId="38" fillId="0" borderId="0" xfId="21" applyNumberFormat="1" applyFont="1"/>
    <xf numFmtId="0" fontId="38" fillId="0" borderId="0" xfId="0" applyFont="1" applyAlignment="1">
      <alignment horizontal="right"/>
    </xf>
    <xf numFmtId="9" fontId="36" fillId="0" borderId="13" xfId="2" applyFont="1" applyBorder="1" applyAlignment="1">
      <alignment horizontal="center"/>
    </xf>
    <xf numFmtId="0" fontId="36" fillId="13" borderId="0" xfId="0" applyFont="1" applyFill="1"/>
    <xf numFmtId="0" fontId="36" fillId="0" borderId="18" xfId="0" applyFont="1" applyBorder="1" applyAlignment="1">
      <alignment horizontal="left"/>
    </xf>
    <xf numFmtId="0" fontId="36" fillId="0" borderId="19" xfId="0" applyFont="1" applyBorder="1" applyAlignment="1">
      <alignment horizontal="left"/>
    </xf>
    <xf numFmtId="0" fontId="36" fillId="0" borderId="14" xfId="0" applyFont="1" applyBorder="1" applyAlignment="1">
      <alignment horizontal="left"/>
    </xf>
    <xf numFmtId="0" fontId="38" fillId="0" borderId="14" xfId="0" applyFont="1" applyBorder="1" applyAlignment="1">
      <alignment horizontal="left"/>
    </xf>
    <xf numFmtId="2" fontId="38" fillId="0" borderId="14" xfId="0" applyNumberFormat="1" applyFont="1" applyBorder="1" applyAlignment="1">
      <alignment horizontal="right"/>
    </xf>
    <xf numFmtId="165" fontId="38" fillId="0" borderId="14" xfId="1" applyNumberFormat="1" applyFont="1" applyFill="1" applyBorder="1" applyAlignment="1">
      <alignment horizontal="center"/>
    </xf>
    <xf numFmtId="2" fontId="46" fillId="0" borderId="14" xfId="0" applyNumberFormat="1" applyFont="1" applyBorder="1" applyAlignment="1">
      <alignment horizontal="right"/>
    </xf>
    <xf numFmtId="9" fontId="38" fillId="0" borderId="14" xfId="2" applyFont="1" applyBorder="1" applyAlignment="1">
      <alignment horizontal="right"/>
    </xf>
    <xf numFmtId="9" fontId="38" fillId="0" borderId="15" xfId="2" applyFont="1" applyBorder="1" applyAlignment="1">
      <alignment horizontal="center"/>
    </xf>
    <xf numFmtId="43" fontId="36" fillId="0" borderId="0" xfId="1" applyFont="1" applyBorder="1" applyAlignment="1">
      <alignment horizontal="center"/>
    </xf>
    <xf numFmtId="168" fontId="36" fillId="0" borderId="0" xfId="1" applyNumberFormat="1" applyFont="1"/>
    <xf numFmtId="43" fontId="38" fillId="0" borderId="14" xfId="1" applyFont="1" applyBorder="1" applyAlignment="1">
      <alignment horizontal="center"/>
    </xf>
    <xf numFmtId="165" fontId="38" fillId="0" borderId="14" xfId="1" applyNumberFormat="1" applyFont="1" applyBorder="1" applyAlignment="1">
      <alignment horizontal="center"/>
    </xf>
    <xf numFmtId="169" fontId="36" fillId="0" borderId="0" xfId="2" applyNumberFormat="1" applyFont="1" applyAlignment="1">
      <alignment horizontal="right"/>
    </xf>
    <xf numFmtId="0" fontId="38" fillId="0" borderId="0" xfId="0" applyFont="1" applyAlignment="1">
      <alignment horizontal="center"/>
    </xf>
    <xf numFmtId="0" fontId="47" fillId="0" borderId="0" xfId="0" applyFont="1" applyAlignment="1">
      <alignment horizontal="left"/>
    </xf>
    <xf numFmtId="0" fontId="38" fillId="15" borderId="16" xfId="0" applyFont="1" applyFill="1" applyBorder="1" applyAlignment="1">
      <alignment horizontal="left"/>
    </xf>
    <xf numFmtId="0" fontId="38" fillId="15" borderId="3" xfId="0" applyFont="1" applyFill="1" applyBorder="1" applyAlignment="1">
      <alignment horizontal="left"/>
    </xf>
    <xf numFmtId="43" fontId="38" fillId="13" borderId="9" xfId="1" applyFont="1" applyFill="1" applyBorder="1" applyAlignment="1">
      <alignment horizontal="center"/>
    </xf>
    <xf numFmtId="0" fontId="44" fillId="0" borderId="17" xfId="0" applyFont="1" applyBorder="1" applyAlignment="1">
      <alignment horizontal="left"/>
    </xf>
    <xf numFmtId="0" fontId="44" fillId="0" borderId="11" xfId="0" applyFont="1" applyBorder="1" applyAlignment="1">
      <alignment horizontal="left"/>
    </xf>
    <xf numFmtId="0" fontId="38" fillId="0" borderId="18" xfId="0" applyFont="1" applyBorder="1" applyAlignment="1">
      <alignment horizontal="left"/>
    </xf>
    <xf numFmtId="165" fontId="36" fillId="0" borderId="0" xfId="1" applyNumberFormat="1" applyFont="1"/>
    <xf numFmtId="0" fontId="38" fillId="0" borderId="18" xfId="0" applyFont="1" applyBorder="1" applyAlignment="1">
      <alignment horizontal="left" vertical="center"/>
    </xf>
    <xf numFmtId="10" fontId="36" fillId="0" borderId="0" xfId="0" applyNumberFormat="1" applyFont="1"/>
    <xf numFmtId="9" fontId="36" fillId="0" borderId="0" xfId="0" applyNumberFormat="1" applyFont="1"/>
    <xf numFmtId="44" fontId="36" fillId="0" borderId="0" xfId="21" applyFont="1"/>
    <xf numFmtId="0" fontId="48" fillId="0" borderId="0" xfId="0" applyFont="1" applyAlignment="1" applyProtection="1">
      <alignment horizontal="center" vertical="center"/>
      <protection locked="0"/>
    </xf>
    <xf numFmtId="169" fontId="28" fillId="0" borderId="0" xfId="0" applyNumberFormat="1" applyFont="1" applyAlignment="1">
      <alignment horizontal="center"/>
    </xf>
    <xf numFmtId="168" fontId="36" fillId="0" borderId="0" xfId="2" applyNumberFormat="1" applyFont="1"/>
    <xf numFmtId="170" fontId="36" fillId="0" borderId="0" xfId="0" applyNumberFormat="1" applyFont="1"/>
    <xf numFmtId="3" fontId="49" fillId="0" borderId="0" xfId="0" applyNumberFormat="1" applyFont="1" applyAlignment="1">
      <alignment horizontal="center" wrapText="1"/>
    </xf>
    <xf numFmtId="0" fontId="49" fillId="0" borderId="0" xfId="0" applyFont="1" applyAlignment="1">
      <alignment horizontal="center" wrapText="1"/>
    </xf>
    <xf numFmtId="3" fontId="50" fillId="0" borderId="0" xfId="0" applyNumberFormat="1" applyFont="1" applyAlignment="1">
      <alignment horizontal="center" wrapText="1"/>
    </xf>
    <xf numFmtId="0" fontId="50" fillId="0" borderId="0" xfId="0" applyFont="1" applyAlignment="1">
      <alignment horizontal="center" wrapText="1"/>
    </xf>
    <xf numFmtId="9" fontId="38" fillId="0" borderId="14" xfId="2" applyFont="1" applyFill="1" applyBorder="1" applyAlignment="1">
      <alignment horizontal="right"/>
    </xf>
    <xf numFmtId="9" fontId="38" fillId="0" borderId="15" xfId="2" applyFont="1" applyFill="1" applyBorder="1" applyAlignment="1">
      <alignment horizontal="center"/>
    </xf>
    <xf numFmtId="9" fontId="0" fillId="0" borderId="0" xfId="2" applyFont="1" applyFill="1" applyBorder="1"/>
    <xf numFmtId="9" fontId="0" fillId="0" borderId="0" xfId="2" applyFont="1" applyFill="1" applyBorder="1" applyAlignment="1">
      <alignment horizontal="right"/>
    </xf>
    <xf numFmtId="9" fontId="22" fillId="0" borderId="0" xfId="2" applyFont="1" applyFill="1" applyBorder="1" applyAlignment="1">
      <alignment horizontal="right"/>
    </xf>
    <xf numFmtId="9" fontId="22" fillId="0" borderId="0" xfId="0" applyNumberFormat="1" applyFont="1" applyAlignment="1">
      <alignment horizontal="right"/>
    </xf>
    <xf numFmtId="3" fontId="36" fillId="0" borderId="0" xfId="21" applyNumberFormat="1" applyFont="1" applyAlignment="1" applyProtection="1">
      <alignment vertical="center"/>
      <protection locked="0"/>
    </xf>
    <xf numFmtId="0" fontId="51" fillId="0" borderId="0" xfId="0" applyFont="1"/>
    <xf numFmtId="0" fontId="52" fillId="0" borderId="0" xfId="0" applyFont="1"/>
    <xf numFmtId="0" fontId="52" fillId="27" borderId="0" xfId="0" applyFont="1" applyFill="1"/>
    <xf numFmtId="9" fontId="52" fillId="0" borderId="0" xfId="0" applyNumberFormat="1" applyFont="1"/>
    <xf numFmtId="9" fontId="53" fillId="0" borderId="0" xfId="0" applyNumberFormat="1" applyFont="1"/>
    <xf numFmtId="0" fontId="51" fillId="0" borderId="3" xfId="0" applyFont="1" applyBorder="1"/>
    <xf numFmtId="0" fontId="52" fillId="0" borderId="4" xfId="0" applyFont="1" applyBorder="1"/>
    <xf numFmtId="0" fontId="52" fillId="0" borderId="5" xfId="0" applyFont="1" applyBorder="1"/>
    <xf numFmtId="0" fontId="52" fillId="0" borderId="6" xfId="0" applyFont="1" applyBorder="1"/>
    <xf numFmtId="0" fontId="53" fillId="27" borderId="0" xfId="0" applyFont="1" applyFill="1"/>
    <xf numFmtId="0" fontId="52" fillId="0" borderId="7" xfId="0" applyFont="1" applyBorder="1"/>
    <xf numFmtId="0" fontId="53" fillId="0" borderId="0" xfId="0" applyFont="1"/>
    <xf numFmtId="0" fontId="53" fillId="27" borderId="7" xfId="0" applyFont="1" applyFill="1" applyBorder="1"/>
    <xf numFmtId="0" fontId="52" fillId="12" borderId="33" xfId="0" applyFont="1" applyFill="1" applyBorder="1"/>
    <xf numFmtId="9" fontId="52" fillId="12" borderId="30" xfId="2" applyFont="1" applyFill="1" applyBorder="1"/>
    <xf numFmtId="9" fontId="52" fillId="12" borderId="34" xfId="2" applyFont="1" applyFill="1" applyBorder="1"/>
    <xf numFmtId="0" fontId="52" fillId="22" borderId="33" xfId="0" applyFont="1" applyFill="1" applyBorder="1"/>
    <xf numFmtId="9" fontId="52" fillId="22" borderId="30" xfId="2" applyFont="1" applyFill="1" applyBorder="1"/>
    <xf numFmtId="9" fontId="52" fillId="22" borderId="34" xfId="2" applyFont="1" applyFill="1" applyBorder="1"/>
    <xf numFmtId="0" fontId="51" fillId="0" borderId="6" xfId="0" applyFont="1" applyBorder="1"/>
    <xf numFmtId="0" fontId="53" fillId="0" borderId="7" xfId="0" applyFont="1" applyBorder="1"/>
    <xf numFmtId="0" fontId="54" fillId="0" borderId="0" xfId="0" applyFont="1"/>
    <xf numFmtId="0" fontId="54" fillId="0" borderId="7" xfId="0" applyFont="1" applyBorder="1"/>
    <xf numFmtId="0" fontId="52" fillId="22" borderId="35" xfId="0" applyFont="1" applyFill="1" applyBorder="1"/>
    <xf numFmtId="9" fontId="52" fillId="22" borderId="36" xfId="2" applyFont="1" applyFill="1" applyBorder="1"/>
    <xf numFmtId="9" fontId="52" fillId="22" borderId="37" xfId="2" applyFont="1" applyFill="1" applyBorder="1"/>
    <xf numFmtId="2" fontId="52" fillId="0" borderId="0" xfId="0" applyNumberFormat="1" applyFont="1"/>
    <xf numFmtId="9" fontId="52" fillId="0" borderId="0" xfId="2" applyFont="1"/>
    <xf numFmtId="0" fontId="52" fillId="0" borderId="0" xfId="0" applyFont="1" applyAlignment="1">
      <alignment horizontal="center"/>
    </xf>
    <xf numFmtId="0" fontId="4" fillId="0" borderId="0" xfId="0" applyFont="1" applyAlignment="1">
      <alignment horizontal="left"/>
    </xf>
    <xf numFmtId="9" fontId="0" fillId="0" borderId="0" xfId="2" applyFont="1" applyFill="1"/>
    <xf numFmtId="0" fontId="43" fillId="14" borderId="4" xfId="0" applyFont="1" applyFill="1" applyBorder="1" applyAlignment="1">
      <alignment horizontal="left"/>
    </xf>
    <xf numFmtId="0" fontId="56" fillId="0" borderId="0" xfId="22" applyFont="1"/>
    <xf numFmtId="0" fontId="56" fillId="0" borderId="0" xfId="22" applyFont="1" applyAlignment="1">
      <alignment horizontal="center"/>
    </xf>
    <xf numFmtId="9" fontId="56" fillId="0" borderId="0" xfId="22" applyNumberFormat="1" applyFont="1" applyAlignment="1">
      <alignment horizontal="center"/>
    </xf>
    <xf numFmtId="10" fontId="59" fillId="0" borderId="0" xfId="2" applyNumberFormat="1" applyFont="1" applyAlignment="1">
      <alignment horizontal="center"/>
    </xf>
    <xf numFmtId="0" fontId="60" fillId="0" borderId="22" xfId="22" applyFont="1" applyBorder="1" applyAlignment="1">
      <alignment horizontal="left" vertical="center" wrapText="1" readingOrder="1"/>
    </xf>
    <xf numFmtId="0" fontId="61" fillId="0" borderId="23" xfId="22" applyFont="1" applyBorder="1" applyAlignment="1">
      <alignment horizontal="left" vertical="center" wrapText="1" readingOrder="1"/>
    </xf>
    <xf numFmtId="165" fontId="61" fillId="0" borderId="0" xfId="1" applyNumberFormat="1" applyFont="1" applyBorder="1" applyAlignment="1">
      <alignment horizontal="center" vertical="center" wrapText="1" readingOrder="1"/>
    </xf>
    <xf numFmtId="10" fontId="61" fillId="0" borderId="13" xfId="2" applyNumberFormat="1" applyFont="1" applyBorder="1" applyAlignment="1">
      <alignment horizontal="left" vertical="center" wrapText="1" readingOrder="1"/>
    </xf>
    <xf numFmtId="9" fontId="61" fillId="0" borderId="0" xfId="22" applyNumberFormat="1" applyFont="1" applyAlignment="1">
      <alignment horizontal="left" vertical="center" wrapText="1" readingOrder="1"/>
    </xf>
    <xf numFmtId="2" fontId="61" fillId="0" borderId="0" xfId="22" applyNumberFormat="1" applyFont="1" applyAlignment="1">
      <alignment horizontal="left" vertical="center" wrapText="1" readingOrder="1"/>
    </xf>
    <xf numFmtId="0" fontId="60" fillId="0" borderId="24" xfId="22" applyFont="1" applyBorder="1" applyAlignment="1">
      <alignment horizontal="left" vertical="center" wrapText="1" readingOrder="1"/>
    </xf>
    <xf numFmtId="9" fontId="60" fillId="0" borderId="14" xfId="22" applyNumberFormat="1" applyFont="1" applyBorder="1" applyAlignment="1">
      <alignment horizontal="left" vertical="center" wrapText="1" readingOrder="1"/>
    </xf>
    <xf numFmtId="2" fontId="60" fillId="0" borderId="14" xfId="22" applyNumberFormat="1" applyFont="1" applyBorder="1" applyAlignment="1">
      <alignment horizontal="left" vertical="center" wrapText="1" readingOrder="1"/>
    </xf>
    <xf numFmtId="10" fontId="60" fillId="0" borderId="15" xfId="2" applyNumberFormat="1" applyFont="1" applyBorder="1" applyAlignment="1">
      <alignment horizontal="left" vertical="center" wrapText="1" readingOrder="1"/>
    </xf>
    <xf numFmtId="165" fontId="61" fillId="0" borderId="0" xfId="1" applyNumberFormat="1" applyFont="1" applyAlignment="1">
      <alignment horizontal="center" vertical="center" wrapText="1" readingOrder="1"/>
    </xf>
    <xf numFmtId="165" fontId="60" fillId="0" borderId="14" xfId="1" applyNumberFormat="1" applyFont="1" applyBorder="1" applyAlignment="1">
      <alignment horizontal="center" vertical="center" wrapText="1" readingOrder="1"/>
    </xf>
    <xf numFmtId="9" fontId="61" fillId="0" borderId="0" xfId="22" applyNumberFormat="1" applyFont="1" applyAlignment="1">
      <alignment horizontal="right" wrapText="1" readingOrder="1"/>
    </xf>
    <xf numFmtId="0" fontId="61" fillId="0" borderId="0" xfId="22" applyFont="1" applyAlignment="1">
      <alignment horizontal="right" wrapText="1" readingOrder="1"/>
    </xf>
    <xf numFmtId="10" fontId="61" fillId="0" borderId="0" xfId="22" applyNumberFormat="1" applyFont="1" applyAlignment="1">
      <alignment horizontal="right" wrapText="1" readingOrder="1"/>
    </xf>
    <xf numFmtId="0" fontId="59" fillId="0" borderId="23" xfId="22" applyFont="1" applyBorder="1" applyAlignment="1">
      <alignment horizontal="left" vertical="center" wrapText="1" readingOrder="1"/>
    </xf>
    <xf numFmtId="0" fontId="56" fillId="0" borderId="22" xfId="22" applyFont="1" applyBorder="1"/>
    <xf numFmtId="0" fontId="57" fillId="28" borderId="11" xfId="22" applyFont="1" applyFill="1" applyBorder="1" applyAlignment="1">
      <alignment horizontal="center"/>
    </xf>
    <xf numFmtId="0" fontId="58" fillId="28" borderId="11" xfId="22" applyFont="1" applyFill="1" applyBorder="1" applyAlignment="1">
      <alignment horizontal="center"/>
    </xf>
    <xf numFmtId="0" fontId="58" fillId="28" borderId="11" xfId="22" applyFont="1" applyFill="1" applyBorder="1"/>
    <xf numFmtId="0" fontId="57" fillId="29" borderId="11" xfId="22" applyFont="1" applyFill="1" applyBorder="1" applyAlignment="1">
      <alignment horizontal="center"/>
    </xf>
    <xf numFmtId="0" fontId="58" fillId="29" borderId="11" xfId="22" applyFont="1" applyFill="1" applyBorder="1" applyAlignment="1">
      <alignment horizontal="center"/>
    </xf>
    <xf numFmtId="0" fontId="58" fillId="29" borderId="11" xfId="22" applyFont="1" applyFill="1" applyBorder="1"/>
    <xf numFmtId="0" fontId="58" fillId="29" borderId="12" xfId="22" applyFont="1" applyFill="1" applyBorder="1"/>
    <xf numFmtId="0" fontId="56" fillId="0" borderId="23" xfId="22" applyFont="1" applyBorder="1"/>
    <xf numFmtId="0" fontId="56" fillId="0" borderId="13" xfId="22" applyFont="1" applyBorder="1" applyAlignment="1">
      <alignment horizontal="center"/>
    </xf>
    <xf numFmtId="165" fontId="56" fillId="0" borderId="0" xfId="1" applyNumberFormat="1" applyFont="1" applyFill="1" applyBorder="1" applyAlignment="1">
      <alignment horizontal="center"/>
    </xf>
    <xf numFmtId="2" fontId="56" fillId="0" borderId="0" xfId="22" applyNumberFormat="1" applyFont="1" applyAlignment="1">
      <alignment horizontal="center"/>
    </xf>
    <xf numFmtId="0" fontId="56" fillId="0" borderId="24" xfId="22" applyFont="1" applyBorder="1"/>
    <xf numFmtId="0" fontId="56" fillId="0" borderId="14" xfId="22" applyFont="1" applyBorder="1" applyAlignment="1">
      <alignment horizontal="center"/>
    </xf>
    <xf numFmtId="165" fontId="56" fillId="0" borderId="14" xfId="1" applyNumberFormat="1" applyFont="1" applyFill="1" applyBorder="1" applyAlignment="1">
      <alignment horizontal="center"/>
    </xf>
    <xf numFmtId="2" fontId="56" fillId="0" borderId="14" xfId="22" applyNumberFormat="1" applyFont="1" applyBorder="1" applyAlignment="1">
      <alignment horizontal="center"/>
    </xf>
    <xf numFmtId="0" fontId="56" fillId="0" borderId="15" xfId="22" applyFont="1" applyBorder="1" applyAlignment="1">
      <alignment horizontal="center"/>
    </xf>
    <xf numFmtId="10" fontId="59" fillId="0" borderId="0" xfId="2" applyNumberFormat="1" applyFont="1" applyBorder="1" applyAlignment="1">
      <alignment horizontal="center"/>
    </xf>
    <xf numFmtId="10" fontId="59" fillId="0" borderId="13" xfId="2" applyNumberFormat="1" applyFont="1" applyBorder="1" applyAlignment="1">
      <alignment horizontal="center"/>
    </xf>
    <xf numFmtId="9" fontId="56" fillId="0" borderId="14" xfId="22" applyNumberFormat="1" applyFont="1" applyBorder="1" applyAlignment="1">
      <alignment horizontal="center"/>
    </xf>
    <xf numFmtId="10" fontId="59" fillId="0" borderId="14" xfId="2" applyNumberFormat="1" applyFont="1" applyBorder="1" applyAlignment="1">
      <alignment horizontal="center"/>
    </xf>
    <xf numFmtId="10" fontId="59" fillId="0" borderId="15" xfId="2" applyNumberFormat="1" applyFont="1" applyBorder="1" applyAlignment="1">
      <alignment horizontal="center"/>
    </xf>
    <xf numFmtId="165" fontId="56" fillId="0" borderId="0" xfId="1" applyNumberFormat="1" applyFont="1" applyAlignment="1">
      <alignment horizontal="center"/>
    </xf>
    <xf numFmtId="0" fontId="62" fillId="0" borderId="0" xfId="22" applyFont="1"/>
    <xf numFmtId="0" fontId="62" fillId="6" borderId="0" xfId="22" applyFont="1" applyFill="1"/>
    <xf numFmtId="10" fontId="56" fillId="0" borderId="13" xfId="2" applyNumberFormat="1" applyFont="1" applyFill="1" applyBorder="1" applyAlignment="1">
      <alignment horizontal="center"/>
    </xf>
    <xf numFmtId="0" fontId="62" fillId="0" borderId="23" xfId="22" applyFont="1" applyBorder="1"/>
    <xf numFmtId="0" fontId="62" fillId="0" borderId="0" xfId="22" applyFont="1" applyAlignment="1">
      <alignment horizontal="center"/>
    </xf>
    <xf numFmtId="165" fontId="62" fillId="0" borderId="0" xfId="1" applyNumberFormat="1" applyFont="1" applyFill="1" applyBorder="1" applyAlignment="1">
      <alignment horizontal="center"/>
    </xf>
    <xf numFmtId="9" fontId="62" fillId="0" borderId="0" xfId="22" applyNumberFormat="1" applyFont="1" applyAlignment="1">
      <alignment horizontal="center"/>
    </xf>
    <xf numFmtId="2" fontId="62" fillId="0" borderId="0" xfId="22" applyNumberFormat="1" applyFont="1" applyAlignment="1">
      <alignment horizontal="center"/>
    </xf>
    <xf numFmtId="10" fontId="62" fillId="0" borderId="13" xfId="2" applyNumberFormat="1" applyFont="1" applyFill="1" applyBorder="1" applyAlignment="1">
      <alignment horizontal="center"/>
    </xf>
    <xf numFmtId="0" fontId="62" fillId="0" borderId="43" xfId="22" applyFont="1" applyBorder="1"/>
    <xf numFmtId="0" fontId="62" fillId="0" borderId="30" xfId="22" applyFont="1" applyBorder="1" applyAlignment="1">
      <alignment horizontal="center"/>
    </xf>
    <xf numFmtId="165" fontId="62" fillId="0" borderId="30" xfId="1" applyNumberFormat="1" applyFont="1" applyBorder="1" applyAlignment="1">
      <alignment horizontal="center"/>
    </xf>
    <xf numFmtId="9" fontId="62" fillId="0" borderId="30" xfId="22" applyNumberFormat="1" applyFont="1" applyBorder="1" applyAlignment="1">
      <alignment horizontal="center"/>
    </xf>
    <xf numFmtId="2" fontId="62" fillId="0" borderId="30" xfId="22" applyNumberFormat="1" applyFont="1" applyBorder="1" applyAlignment="1">
      <alignment horizontal="center"/>
    </xf>
    <xf numFmtId="10" fontId="62" fillId="0" borderId="44" xfId="2" applyNumberFormat="1" applyFont="1" applyBorder="1" applyAlignment="1">
      <alignment horizontal="center"/>
    </xf>
    <xf numFmtId="0" fontId="60" fillId="0" borderId="11" xfId="22" applyFont="1" applyBorder="1" applyAlignment="1">
      <alignment horizontal="center" vertical="center" wrapText="1" readingOrder="1"/>
    </xf>
    <xf numFmtId="0" fontId="60" fillId="0" borderId="11" xfId="22" applyFont="1" applyBorder="1" applyAlignment="1">
      <alignment horizontal="left" vertical="center" wrapText="1" readingOrder="1"/>
    </xf>
    <xf numFmtId="0" fontId="60" fillId="0" borderId="12" xfId="22" applyFont="1" applyBorder="1" applyAlignment="1">
      <alignment horizontal="left" vertical="center" wrapText="1" readingOrder="1"/>
    </xf>
    <xf numFmtId="9" fontId="61" fillId="0" borderId="0" xfId="22" applyNumberFormat="1" applyFont="1" applyAlignment="1">
      <alignment horizontal="center" vertical="center" wrapText="1" readingOrder="1"/>
    </xf>
    <xf numFmtId="9" fontId="60" fillId="0" borderId="14" xfId="22" applyNumberFormat="1" applyFont="1" applyBorder="1" applyAlignment="1">
      <alignment horizontal="center" vertical="center" wrapText="1" readingOrder="1"/>
    </xf>
    <xf numFmtId="2" fontId="61" fillId="0" borderId="0" xfId="22" applyNumberFormat="1" applyFont="1" applyAlignment="1">
      <alignment horizontal="center" vertical="center" wrapText="1" readingOrder="1"/>
    </xf>
    <xf numFmtId="10" fontId="61" fillId="0" borderId="13" xfId="2" applyNumberFormat="1" applyFont="1" applyBorder="1" applyAlignment="1">
      <alignment horizontal="center" vertical="center" wrapText="1" readingOrder="1"/>
    </xf>
    <xf numFmtId="2" fontId="60" fillId="0" borderId="14" xfId="22" applyNumberFormat="1" applyFont="1" applyBorder="1" applyAlignment="1">
      <alignment horizontal="center" vertical="center" wrapText="1" readingOrder="1"/>
    </xf>
    <xf numFmtId="10" fontId="60" fillId="0" borderId="15" xfId="2" applyNumberFormat="1" applyFont="1" applyBorder="1" applyAlignment="1">
      <alignment horizontal="center" vertical="center" wrapText="1" readingOrder="1"/>
    </xf>
    <xf numFmtId="10" fontId="56" fillId="0" borderId="13" xfId="2" applyNumberFormat="1" applyFont="1" applyBorder="1" applyAlignment="1">
      <alignment horizontal="center"/>
    </xf>
    <xf numFmtId="0" fontId="56" fillId="30" borderId="0" xfId="22" applyFont="1" applyFill="1"/>
    <xf numFmtId="9" fontId="56" fillId="30" borderId="0" xfId="2" applyFont="1" applyFill="1"/>
    <xf numFmtId="2" fontId="56" fillId="30" borderId="0" xfId="22" applyNumberFormat="1" applyFont="1" applyFill="1"/>
    <xf numFmtId="169" fontId="56" fillId="30" borderId="0" xfId="2" applyNumberFormat="1" applyFont="1" applyFill="1"/>
    <xf numFmtId="165" fontId="36" fillId="0" borderId="0" xfId="1" applyNumberFormat="1" applyFont="1" applyProtection="1">
      <protection locked="0"/>
    </xf>
    <xf numFmtId="0" fontId="36" fillId="0" borderId="0" xfId="0" applyFont="1" applyAlignment="1" applyProtection="1">
      <alignment horizontal="left"/>
      <protection locked="0"/>
    </xf>
    <xf numFmtId="4" fontId="63" fillId="0" borderId="0" xfId="0" applyNumberFormat="1" applyFont="1"/>
    <xf numFmtId="165" fontId="36" fillId="0" borderId="0" xfId="1" applyNumberFormat="1" applyFont="1" applyFill="1" applyProtection="1">
      <protection locked="0"/>
    </xf>
    <xf numFmtId="4" fontId="36" fillId="0" borderId="0" xfId="21" applyNumberFormat="1" applyFont="1" applyAlignment="1" applyProtection="1">
      <alignment vertical="center"/>
      <protection locked="0"/>
    </xf>
    <xf numFmtId="171" fontId="36" fillId="0" borderId="0" xfId="0" applyNumberFormat="1" applyFont="1" applyAlignment="1" applyProtection="1">
      <alignment horizontal="center" vertical="center"/>
      <protection locked="0"/>
    </xf>
    <xf numFmtId="170" fontId="36" fillId="0" borderId="0" xfId="21" applyNumberFormat="1" applyFont="1" applyFill="1" applyAlignment="1" applyProtection="1">
      <alignment horizontal="right" vertical="center"/>
      <protection locked="0"/>
    </xf>
    <xf numFmtId="171" fontId="36" fillId="0" borderId="0" xfId="0" applyNumberFormat="1" applyFont="1" applyAlignment="1">
      <alignment horizontal="center"/>
    </xf>
    <xf numFmtId="0" fontId="60" fillId="31" borderId="22" xfId="22" applyFont="1" applyFill="1" applyBorder="1" applyAlignment="1">
      <alignment horizontal="left" vertical="center" wrapText="1" readingOrder="1"/>
    </xf>
    <xf numFmtId="0" fontId="61" fillId="31" borderId="11" xfId="22" applyFont="1" applyFill="1" applyBorder="1" applyAlignment="1">
      <alignment horizontal="left" vertical="center" wrapText="1" readingOrder="1"/>
    </xf>
    <xf numFmtId="0" fontId="61" fillId="31" borderId="12" xfId="22" applyFont="1" applyFill="1" applyBorder="1" applyAlignment="1">
      <alignment horizontal="left" vertical="center" wrapText="1" readingOrder="1"/>
    </xf>
    <xf numFmtId="0" fontId="60" fillId="31" borderId="11" xfId="22" applyFont="1" applyFill="1" applyBorder="1" applyAlignment="1">
      <alignment horizontal="center" vertical="center" wrapText="1" readingOrder="1"/>
    </xf>
    <xf numFmtId="0" fontId="60" fillId="31" borderId="11" xfId="22" applyFont="1" applyFill="1" applyBorder="1" applyAlignment="1">
      <alignment horizontal="left" vertical="center" wrapText="1" readingOrder="1"/>
    </xf>
    <xf numFmtId="0" fontId="60" fillId="31" borderId="12" xfId="22" applyFont="1" applyFill="1" applyBorder="1" applyAlignment="1">
      <alignment horizontal="left" vertical="center" wrapText="1" readingOrder="1"/>
    </xf>
    <xf numFmtId="0" fontId="60" fillId="4" borderId="24" xfId="22" applyFont="1" applyFill="1" applyBorder="1" applyAlignment="1">
      <alignment horizontal="left" vertical="center" wrapText="1" readingOrder="1"/>
    </xf>
    <xf numFmtId="165" fontId="60" fillId="4" borderId="14" xfId="1" applyNumberFormat="1" applyFont="1" applyFill="1" applyBorder="1" applyAlignment="1">
      <alignment horizontal="center" vertical="center" wrapText="1" readingOrder="1"/>
    </xf>
    <xf numFmtId="9" fontId="60" fillId="4" borderId="14" xfId="22" applyNumberFormat="1" applyFont="1" applyFill="1" applyBorder="1" applyAlignment="1">
      <alignment horizontal="center" vertical="center" wrapText="1" readingOrder="1"/>
    </xf>
    <xf numFmtId="2" fontId="60" fillId="4" borderId="14" xfId="22" applyNumberFormat="1" applyFont="1" applyFill="1" applyBorder="1" applyAlignment="1">
      <alignment horizontal="center" vertical="center" wrapText="1" readingOrder="1"/>
    </xf>
    <xf numFmtId="10" fontId="60" fillId="4" borderId="15" xfId="2" applyNumberFormat="1" applyFont="1" applyFill="1" applyBorder="1" applyAlignment="1">
      <alignment horizontal="center" vertical="center" wrapText="1" readingOrder="1"/>
    </xf>
    <xf numFmtId="173" fontId="64" fillId="0" borderId="0" xfId="21" applyNumberFormat="1" applyFont="1" applyAlignment="1">
      <alignment horizontal="left"/>
    </xf>
    <xf numFmtId="1" fontId="0" fillId="0" borderId="0" xfId="0" applyNumberFormat="1" applyAlignment="1">
      <alignment horizontal="left"/>
    </xf>
    <xf numFmtId="174" fontId="38" fillId="0" borderId="11" xfId="0" applyNumberFormat="1" applyFont="1" applyBorder="1" applyAlignment="1">
      <alignment horizontal="left" vertical="center"/>
    </xf>
    <xf numFmtId="174" fontId="65" fillId="0" borderId="44" xfId="0" applyNumberFormat="1" applyFont="1" applyBorder="1" applyAlignment="1">
      <alignment horizontal="center"/>
    </xf>
    <xf numFmtId="165" fontId="38" fillId="0" borderId="0" xfId="1" applyNumberFormat="1" applyFont="1" applyBorder="1" applyAlignment="1">
      <alignment horizontal="center"/>
    </xf>
    <xf numFmtId="174" fontId="65" fillId="0" borderId="0" xfId="0" applyNumberFormat="1" applyFont="1" applyAlignment="1">
      <alignment horizontal="center"/>
    </xf>
    <xf numFmtId="174" fontId="65" fillId="0" borderId="11" xfId="0" applyNumberFormat="1" applyFont="1" applyBorder="1" applyAlignment="1">
      <alignment horizontal="center"/>
    </xf>
    <xf numFmtId="0" fontId="56" fillId="26" borderId="11" xfId="22" applyFont="1" applyFill="1" applyBorder="1" applyAlignment="1">
      <alignment horizontal="center"/>
    </xf>
    <xf numFmtId="0" fontId="56" fillId="26" borderId="12" xfId="22" applyFont="1" applyFill="1" applyBorder="1" applyAlignment="1">
      <alignment horizontal="center"/>
    </xf>
    <xf numFmtId="0" fontId="62" fillId="0" borderId="0" xfId="22" applyFont="1" applyAlignment="1">
      <alignment horizontal="center" vertical="center"/>
    </xf>
    <xf numFmtId="0" fontId="56" fillId="12" borderId="11" xfId="22" applyFont="1" applyFill="1" applyBorder="1" applyAlignment="1">
      <alignment horizontal="center"/>
    </xf>
    <xf numFmtId="0" fontId="35" fillId="25" borderId="0" xfId="0" applyFont="1" applyFill="1" applyAlignment="1">
      <alignment horizontal="center"/>
    </xf>
    <xf numFmtId="0" fontId="6" fillId="25" borderId="0" xfId="0" applyFont="1" applyFill="1" applyAlignment="1">
      <alignment horizontal="center"/>
    </xf>
    <xf numFmtId="0" fontId="52" fillId="0" borderId="0" xfId="0" applyFont="1" applyAlignment="1">
      <alignment horizontal="center"/>
    </xf>
    <xf numFmtId="0" fontId="0" fillId="0" borderId="0" xfId="0" applyAlignment="1"/>
  </cellXfs>
  <cellStyles count="23">
    <cellStyle name="Comma" xfId="1" builtinId="3"/>
    <cellStyle name="Comma [0] 2" xfId="14" xr:uid="{CE4684C0-B6B9-408C-9F5C-78251E4197D0}"/>
    <cellStyle name="Comma 2" xfId="5" xr:uid="{86EED44F-84E2-4637-864D-D033AD69DE2A}"/>
    <cellStyle name="Comma 3" xfId="13" xr:uid="{E57FC161-E7F6-47EE-9292-319AE7661DBA}"/>
    <cellStyle name="Comma 3 2" xfId="19" xr:uid="{57EE53FA-B6C5-492A-9AD2-0AA7F832BAA0}"/>
    <cellStyle name="Currency" xfId="21" builtinId="4"/>
    <cellStyle name="Currency [0] 2" xfId="12" xr:uid="{0EF0DE35-8FE7-4749-906E-DAD413D06601}"/>
    <cellStyle name="Currency 2" xfId="4" xr:uid="{52884E11-F7D0-41E2-BA6C-0CCB5D6F2DBC}"/>
    <cellStyle name="Currency 2 2" xfId="16" xr:uid="{09743043-0501-425B-9F2A-4262B03EDB50}"/>
    <cellStyle name="Currency 3" xfId="7" xr:uid="{34E6BC26-0684-4724-A2B0-27A8043C196C}"/>
    <cellStyle name="Currency 3 2" xfId="18" xr:uid="{178A3208-416E-4CEE-8E10-664EA202FB95}"/>
    <cellStyle name="Currency 4" xfId="11" xr:uid="{3F78880C-55A5-4119-AFEA-CA2BB5195B88}"/>
    <cellStyle name="Normal" xfId="0" builtinId="0"/>
    <cellStyle name="Normal 2" xfId="3" xr:uid="{6B83306C-4B10-4C2B-8CDA-25968C59CE2D}"/>
    <cellStyle name="Normal 3" xfId="6" xr:uid="{C4412DAA-EE95-4331-BAC9-32962F1C4A37}"/>
    <cellStyle name="Normal 3 2" xfId="17" xr:uid="{6A84BB5E-D9CD-4133-9AB8-A017B2FDCF9A}"/>
    <cellStyle name="Normal 4" xfId="9" xr:uid="{BA1EA2B9-CF75-45AA-A534-E048ECF512BF}"/>
    <cellStyle name="Normal 4 2" xfId="20" xr:uid="{B106F215-6F23-4931-A51E-668BF2F6B16D}"/>
    <cellStyle name="Normal 5" xfId="15" xr:uid="{BF500191-4E56-4639-BBBC-0922CBC46A2A}"/>
    <cellStyle name="Normal 6" xfId="22" xr:uid="{F2237474-05E2-4ADA-83EB-254A34145F1E}"/>
    <cellStyle name="Percent" xfId="2" builtinId="5"/>
    <cellStyle name="Percent 2" xfId="8" xr:uid="{F5C07E84-5D86-4339-B6F7-10CF59F8DFFF}"/>
    <cellStyle name="Percent 3" xfId="10" xr:uid="{4D5475E4-019E-4F17-8DE8-B442DC759FFB}"/>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5" formatCode="_(* #,##0_);_(* \(#,##0\);_(* &quot;-&quot;??_);_(@_)"/>
    </dxf>
    <dxf>
      <alignment horizontal="right"/>
    </dxf>
    <dxf>
      <alignment horizontal="right"/>
    </dxf>
    <dxf>
      <alignment wrapText="1"/>
    </dxf>
    <dxf>
      <alignment wrapText="1"/>
    </dxf>
    <dxf>
      <numFmt numFmtId="165" formatCode="_(* #,##0_);_(* \(#,##0\);_(* &quot;-&quot;??_);_(@_)"/>
    </dxf>
    <dxf>
      <numFmt numFmtId="13" formatCode="0%"/>
    </dxf>
    <dxf>
      <alignment horizontal="right"/>
    </dxf>
    <dxf>
      <numFmt numFmtId="2" formatCode="0.00"/>
    </dxf>
    <dxf>
      <alignment horizontal="left" relativeIndent="1"/>
    </dxf>
    <dxf>
      <numFmt numFmtId="1" formatCode="0"/>
    </dxf>
    <dxf>
      <alignment horizontal="general" indent="0"/>
    </dxf>
    <dxf>
      <alignment horizontal="general" indent="0"/>
    </dxf>
    <dxf>
      <alignment horizontal="right"/>
    </dxf>
    <dxf>
      <alignment horizontal="right"/>
    </dxf>
    <dxf>
      <alignment horizontal="right"/>
    </dxf>
    <dxf>
      <numFmt numFmtId="13" formatCode="0%"/>
    </dxf>
    <dxf>
      <numFmt numFmtId="165" formatCode="_(* #,##0_);_(* \(#,##0\);_(* &quot;-&quot;??_);_(@_)"/>
    </dxf>
    <dxf>
      <alignment horizontal="right"/>
    </dxf>
    <dxf>
      <alignment horizontal="right"/>
    </dxf>
    <dxf>
      <numFmt numFmtId="2" formatCode="0.00"/>
    </dxf>
    <dxf>
      <alignment horizontal="left" relativeIndent="1"/>
    </dxf>
    <dxf>
      <numFmt numFmtId="1" formatCode="0"/>
    </dxf>
    <dxf>
      <alignment horizontal="general" indent="0"/>
    </dxf>
    <dxf>
      <alignment horizontal="general" indent="0"/>
    </dxf>
    <dxf>
      <alignment horizontal="right"/>
    </dxf>
    <dxf>
      <alignment horizontal="right"/>
    </dxf>
    <dxf>
      <alignment horizontal="right"/>
    </dxf>
    <dxf>
      <numFmt numFmtId="170" formatCode="&quot;$&quot;#,##0"/>
    </dxf>
    <dxf>
      <alignment horizontal="right"/>
    </dxf>
    <dxf>
      <numFmt numFmtId="2" formatCode="0.00"/>
    </dxf>
    <dxf>
      <alignment horizontal="left" relativeIndent="1"/>
    </dxf>
    <dxf>
      <numFmt numFmtId="1" formatCode="0"/>
    </dxf>
    <dxf>
      <alignment horizontal="general" indent="0"/>
    </dxf>
    <dxf>
      <alignment horizontal="general" indent="0"/>
    </dxf>
    <dxf>
      <alignment horizontal="right"/>
    </dxf>
    <dxf>
      <alignment horizontal="right"/>
    </dxf>
    <dxf>
      <numFmt numFmtId="13" formatCode="0%"/>
    </dxf>
    <dxf>
      <alignment horizontal="right"/>
    </dxf>
    <dxf>
      <alignment horizontal="right"/>
    </dxf>
    <dxf>
      <numFmt numFmtId="13" formatCode="0%"/>
    </dxf>
    <dxf>
      <numFmt numFmtId="13" formatCode="0%"/>
    </dxf>
    <dxf>
      <numFmt numFmtId="165" formatCode="_(* #,##0_);_(* \(#,##0\);_(* &quot;-&quot;??_);_(@_)"/>
    </dxf>
    <dxf>
      <alignment horizontal="right"/>
    </dxf>
    <dxf>
      <alignment horizontal="right"/>
    </dxf>
    <dxf>
      <numFmt numFmtId="13" formatCode="0%"/>
    </dxf>
    <dxf>
      <numFmt numFmtId="2" formatCode="0.00"/>
    </dxf>
    <dxf>
      <alignment horizontal="left" relativeIndent="1"/>
    </dxf>
    <dxf>
      <numFmt numFmtId="1" formatCode="0"/>
    </dxf>
    <dxf>
      <alignment horizontal="general" indent="0"/>
    </dxf>
    <dxf>
      <alignment horizontal="general" indent="0"/>
    </dxf>
    <dxf>
      <alignment horizontal="right"/>
    </dxf>
    <dxf>
      <alignment horizontal="right"/>
    </dxf>
    <dxf>
      <numFmt numFmtId="13" formatCode="0%"/>
    </dxf>
    <dxf>
      <alignment horizontal="right"/>
    </dxf>
    <dxf>
      <alignment horizontal="right"/>
    </dxf>
    <dxf>
      <numFmt numFmtId="13" formatCode="0%"/>
    </dxf>
    <dxf>
      <numFmt numFmtId="13" formatCode="0%"/>
    </dxf>
    <dxf>
      <alignment horizontal="right"/>
    </dxf>
    <dxf>
      <numFmt numFmtId="165" formatCode="_(* #,##0_);_(* \(#,##0\);_(* &quot;-&quot;??_);_(@_)"/>
    </dxf>
    <dxf>
      <numFmt numFmtId="165" formatCode="_(* #,##0_);_(* \(#,##0\);_(* &quot;-&quot;??_);_(@_)"/>
    </dxf>
    <dxf>
      <alignment horizontal="right"/>
    </dxf>
    <dxf>
      <alignment horizontal="right"/>
    </dxf>
    <dxf>
      <alignment horizontal="right"/>
    </dxf>
    <dxf>
      <numFmt numFmtId="170" formatCode="&quot;$&quot;#,##0"/>
    </dxf>
    <dxf>
      <alignment horizontal="center"/>
    </dxf>
  </dxfs>
  <tableStyles count="0" defaultTableStyle="TableStyleMedium9" defaultPivotStyle="PivotStyleLight16"/>
  <colors>
    <mruColors>
      <color rgb="FF0000FF"/>
      <color rgb="FFFF00FF"/>
      <color rgb="FFC8E5AD"/>
      <color rgb="FF0066FF"/>
      <color rgb="FFF4FD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theme" Target="theme/theme1.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pivotCacheDefinition" Target="pivotCache/pivotCacheDefinition2.xml"/><Relationship Id="rId30" Type="http://schemas.openxmlformats.org/officeDocument/2006/relationships/sharedStrings" Target="sharedString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2.xml"/><Relationship Id="rId1" Type="http://schemas.microsoft.com/office/2011/relationships/chartStyle" Target="style32.xml"/></Relationships>
</file>

<file path=xl/charts/_rels/chart3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2.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3.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2.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3.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4.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5.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6.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47.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48.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49.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1.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2.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3.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4.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5.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6.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57.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58.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59.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1.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5.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6.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67.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68.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69.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1.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2.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3.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4.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5.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6.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77.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'IR Charts'!$J$27</c:f>
              <c:strCache>
                <c:ptCount val="1"/>
                <c:pt idx="0">
                  <c:v>Leasing Spreads</c:v>
                </c:pt>
              </c:strCache>
            </c:strRef>
          </c:tx>
          <c:spPr>
            <a:solidFill>
              <a:schemeClr val="accent2"/>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E8D4-3A45-8383-9C4D395F003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0-E8D4-3A45-8383-9C4D395F00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'IR Charts'!$J$28:$J$35</c:f>
              <c:numCache>
                <c:formatCode>0%</c:formatCode>
                <c:ptCount val="8"/>
                <c:pt idx="0">
                  <c:v>0.20376794732101255</c:v>
                </c:pt>
                <c:pt idx="1">
                  <c:v>0.34837248332454496</c:v>
                </c:pt>
                <c:pt idx="2">
                  <c:v>0.38954084526722577</c:v>
                </c:pt>
                <c:pt idx="3">
                  <c:v>0.35443704410562038</c:v>
                </c:pt>
                <c:pt idx="4">
                  <c:v>0.27095246004526885</c:v>
                </c:pt>
                <c:pt idx="5">
                  <c:v>0.33945602856952051</c:v>
                </c:pt>
                <c:pt idx="6">
                  <c:v>0.38372827661524633</c:v>
                </c:pt>
                <c:pt idx="7">
                  <c:v>0.38866028348346537</c:v>
                </c:pt>
              </c:numCache>
            </c:numRef>
          </c:val>
          <c:extLst>
            <c:ext xmlns:c16="http://schemas.microsoft.com/office/drawing/2014/chart" uri="{C3380CC4-5D6E-409C-BE32-E72D297353CC}">
              <c16:uniqueId val="{00000000-A345-4E98-A81B-C64BB6E5AB02}"/>
            </c:ext>
          </c:extLst>
        </c:ser>
        <c:dLbls>
          <c:dLblPos val="outEnd"/>
          <c:showLegendKey val="0"/>
          <c:showVal val="1"/>
          <c:showCatName val="0"/>
          <c:showSerName val="0"/>
          <c:showPercent val="0"/>
          <c:showBubbleSize val="0"/>
        </c:dLbls>
        <c:gapWidth val="60"/>
        <c:axId val="1113343072"/>
        <c:axId val="1113344784"/>
      </c:barChart>
      <c:catAx>
        <c:axId val="1113343072"/>
        <c:scaling>
          <c:orientation val="minMax"/>
        </c:scaling>
        <c:delete val="1"/>
        <c:axPos val="l"/>
        <c:majorTickMark val="none"/>
        <c:minorTickMark val="none"/>
        <c:tickLblPos val="nextTo"/>
        <c:crossAx val="1113344784"/>
        <c:crosses val="autoZero"/>
        <c:auto val="1"/>
        <c:lblAlgn val="ctr"/>
        <c:lblOffset val="100"/>
        <c:noMultiLvlLbl val="0"/>
      </c:catAx>
      <c:valAx>
        <c:axId val="1113344784"/>
        <c:scaling>
          <c:orientation val="minMax"/>
        </c:scaling>
        <c:delete val="1"/>
        <c:axPos val="b"/>
        <c:numFmt formatCode="0%" sourceLinked="1"/>
        <c:majorTickMark val="none"/>
        <c:minorTickMark val="none"/>
        <c:tickLblPos val="nextTo"/>
        <c:crossAx val="111334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r>
              <a:rPr lang="en-US" sz="1200" b="1" i="0" u="none" strike="noStrike" kern="1200" spc="0" baseline="0" dirty="0">
                <a:solidFill>
                  <a:sysClr val="windowText" lastClr="000000">
                    <a:lumMod val="65000"/>
                    <a:lumOff val="35000"/>
                  </a:sysClr>
                </a:solidFill>
                <a:latin typeface="Gilroy" pitchFamily="2" charset="77"/>
              </a:rPr>
              <a:t>Leasing Spreads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9DA9-4C0A-9348-0F04E4D2C08B}"/>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9DA9-4C0A-9348-0F04E4D2C08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 Charts'!$G$48:$H$48</c:f>
              <c:strCache>
                <c:ptCount val="2"/>
                <c:pt idx="0">
                  <c:v>Business Plan</c:v>
                </c:pt>
                <c:pt idx="1">
                  <c:v>Actual</c:v>
                </c:pt>
              </c:strCache>
            </c:strRef>
          </c:cat>
          <c:val>
            <c:numRef>
              <c:f>'IR Charts'!$G$50:$H$50</c:f>
              <c:numCache>
                <c:formatCode>0%</c:formatCode>
                <c:ptCount val="2"/>
                <c:pt idx="0">
                  <c:v>0.36688543720499012</c:v>
                </c:pt>
                <c:pt idx="1">
                  <c:v>0.45015136583543947</c:v>
                </c:pt>
              </c:numCache>
            </c:numRef>
          </c:val>
          <c:extLst>
            <c:ext xmlns:c16="http://schemas.microsoft.com/office/drawing/2014/chart" uri="{C3380CC4-5D6E-409C-BE32-E72D297353CC}">
              <c16:uniqueId val="{00000004-9DA9-4C0A-9348-0F04E4D2C08B}"/>
            </c:ext>
          </c:extLst>
        </c:ser>
        <c:dLbls>
          <c:dLblPos val="outEnd"/>
          <c:showLegendKey val="0"/>
          <c:showVal val="1"/>
          <c:showCatName val="0"/>
          <c:showSerName val="0"/>
          <c:showPercent val="0"/>
          <c:showBubbleSize val="0"/>
        </c:dLbls>
        <c:gapWidth val="50"/>
        <c:overlap val="-27"/>
        <c:axId val="1125429952"/>
        <c:axId val="1125414000"/>
      </c:barChart>
      <c:catAx>
        <c:axId val="112542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ilroy" pitchFamily="2" charset="77"/>
                <a:ea typeface="+mn-ea"/>
                <a:cs typeface="+mn-cs"/>
              </a:defRPr>
            </a:pPr>
            <a:endParaRPr lang="en-US"/>
          </a:p>
        </c:txPr>
        <c:crossAx val="1125414000"/>
        <c:crosses val="autoZero"/>
        <c:auto val="1"/>
        <c:lblAlgn val="ctr"/>
        <c:lblOffset val="100"/>
        <c:noMultiLvlLbl val="0"/>
      </c:catAx>
      <c:valAx>
        <c:axId val="1125414000"/>
        <c:scaling>
          <c:orientation val="minMax"/>
          <c:min val="2.5000000000000001E-2"/>
        </c:scaling>
        <c:delete val="0"/>
        <c:axPos val="l"/>
        <c:majorGridlines>
          <c:spPr>
            <a:ln w="9525" cap="flat" cmpd="sng" algn="ctr">
              <a:solidFill>
                <a:schemeClr val="tx1">
                  <a:lumMod val="15000"/>
                  <a:lumOff val="85000"/>
                </a:schemeClr>
              </a:soli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roy" pitchFamily="2" charset="77"/>
                <a:ea typeface="+mn-ea"/>
                <a:cs typeface="+mn-cs"/>
              </a:defRPr>
            </a:pPr>
            <a:endParaRPr lang="en-US"/>
          </a:p>
        </c:txPr>
        <c:crossAx val="112542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r>
              <a:rPr lang="en-US" sz="1200" b="1" i="0" u="none" strike="noStrike" kern="1200" spc="0" baseline="0" dirty="0">
                <a:solidFill>
                  <a:sysClr val="windowText" lastClr="000000">
                    <a:lumMod val="65000"/>
                    <a:lumOff val="35000"/>
                  </a:sysClr>
                </a:solidFill>
                <a:latin typeface="Gilroy" pitchFamily="2" charset="77"/>
              </a:rPr>
              <a:t>Leasing Spreads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F962-47FB-AE22-76209BA80746}"/>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F962-47FB-AE22-76209BA8074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 Charts'!$G$48:$H$48</c:f>
              <c:strCache>
                <c:ptCount val="2"/>
                <c:pt idx="0">
                  <c:v>Business Plan</c:v>
                </c:pt>
                <c:pt idx="1">
                  <c:v>Actual</c:v>
                </c:pt>
              </c:strCache>
            </c:strRef>
          </c:cat>
          <c:val>
            <c:numRef>
              <c:f>'IR Charts'!$G$49:$H$49</c:f>
              <c:numCache>
                <c:formatCode>0%</c:formatCode>
                <c:ptCount val="2"/>
                <c:pt idx="0">
                  <c:v>0.15482785377000718</c:v>
                </c:pt>
                <c:pt idx="1">
                  <c:v>0.38288319113658575</c:v>
                </c:pt>
              </c:numCache>
            </c:numRef>
          </c:val>
          <c:extLst>
            <c:ext xmlns:c16="http://schemas.microsoft.com/office/drawing/2014/chart" uri="{C3380CC4-5D6E-409C-BE32-E72D297353CC}">
              <c16:uniqueId val="{00000004-F962-47FB-AE22-76209BA80746}"/>
            </c:ext>
          </c:extLst>
        </c:ser>
        <c:dLbls>
          <c:dLblPos val="outEnd"/>
          <c:showLegendKey val="0"/>
          <c:showVal val="1"/>
          <c:showCatName val="0"/>
          <c:showSerName val="0"/>
          <c:showPercent val="0"/>
          <c:showBubbleSize val="0"/>
        </c:dLbls>
        <c:gapWidth val="50"/>
        <c:overlap val="-27"/>
        <c:axId val="1125429952"/>
        <c:axId val="1125414000"/>
      </c:barChart>
      <c:catAx>
        <c:axId val="112542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ilroy" pitchFamily="2" charset="77"/>
                <a:ea typeface="+mn-ea"/>
                <a:cs typeface="+mn-cs"/>
              </a:defRPr>
            </a:pPr>
            <a:endParaRPr lang="en-US"/>
          </a:p>
        </c:txPr>
        <c:crossAx val="1125414000"/>
        <c:crosses val="autoZero"/>
        <c:auto val="1"/>
        <c:lblAlgn val="ctr"/>
        <c:lblOffset val="100"/>
        <c:noMultiLvlLbl val="0"/>
      </c:catAx>
      <c:valAx>
        <c:axId val="1125414000"/>
        <c:scaling>
          <c:orientation val="minMax"/>
          <c:min val="2.5000000000000001E-2"/>
        </c:scaling>
        <c:delete val="0"/>
        <c:axPos val="l"/>
        <c:majorGridlines>
          <c:spPr>
            <a:ln w="9525" cap="flat" cmpd="sng" algn="ctr">
              <a:solidFill>
                <a:schemeClr val="tx1">
                  <a:lumMod val="15000"/>
                  <a:lumOff val="85000"/>
                </a:schemeClr>
              </a:soli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roy" pitchFamily="2" charset="77"/>
                <a:ea typeface="+mn-ea"/>
                <a:cs typeface="+mn-cs"/>
              </a:defRPr>
            </a:pPr>
            <a:endParaRPr lang="en-US"/>
          </a:p>
        </c:txPr>
        <c:crossAx val="112542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'IR Charts'!$J$27</c:f>
              <c:strCache>
                <c:ptCount val="1"/>
                <c:pt idx="0">
                  <c:v>Leasing Spreads</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8D4-3A45-8383-9C4D395F00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'IR Charts'!$J$29:$J$35</c:f>
              <c:numCache>
                <c:formatCode>0%</c:formatCode>
                <c:ptCount val="7"/>
                <c:pt idx="0">
                  <c:v>0.34837248332454496</c:v>
                </c:pt>
                <c:pt idx="1">
                  <c:v>0.38954084526722577</c:v>
                </c:pt>
                <c:pt idx="2">
                  <c:v>0.35443704410562038</c:v>
                </c:pt>
                <c:pt idx="3">
                  <c:v>0.27095246004526885</c:v>
                </c:pt>
                <c:pt idx="4">
                  <c:v>0.33945602856952051</c:v>
                </c:pt>
                <c:pt idx="5">
                  <c:v>0.38372827661524633</c:v>
                </c:pt>
                <c:pt idx="6">
                  <c:v>0.38866028348346537</c:v>
                </c:pt>
              </c:numCache>
            </c:numRef>
          </c:val>
          <c:extLst>
            <c:ext xmlns:c16="http://schemas.microsoft.com/office/drawing/2014/chart" uri="{C3380CC4-5D6E-409C-BE32-E72D297353CC}">
              <c16:uniqueId val="{00000000-A345-4E98-A81B-C64BB6E5AB02}"/>
            </c:ext>
          </c:extLst>
        </c:ser>
        <c:dLbls>
          <c:dLblPos val="outEnd"/>
          <c:showLegendKey val="0"/>
          <c:showVal val="1"/>
          <c:showCatName val="0"/>
          <c:showSerName val="0"/>
          <c:showPercent val="0"/>
          <c:showBubbleSize val="0"/>
        </c:dLbls>
        <c:gapWidth val="60"/>
        <c:axId val="1113343072"/>
        <c:axId val="1113344784"/>
      </c:barChart>
      <c:catAx>
        <c:axId val="1113343072"/>
        <c:scaling>
          <c:orientation val="minMax"/>
        </c:scaling>
        <c:delete val="1"/>
        <c:axPos val="l"/>
        <c:majorTickMark val="none"/>
        <c:minorTickMark val="none"/>
        <c:tickLblPos val="nextTo"/>
        <c:crossAx val="1113344784"/>
        <c:crosses val="autoZero"/>
        <c:auto val="1"/>
        <c:lblAlgn val="ctr"/>
        <c:lblOffset val="100"/>
        <c:noMultiLvlLbl val="0"/>
      </c:catAx>
      <c:valAx>
        <c:axId val="1113344784"/>
        <c:scaling>
          <c:orientation val="minMax"/>
        </c:scaling>
        <c:delete val="1"/>
        <c:axPos val="b"/>
        <c:numFmt formatCode="0%" sourceLinked="1"/>
        <c:majorTickMark val="none"/>
        <c:minorTickMark val="none"/>
        <c:tickLblPos val="nextTo"/>
        <c:crossAx val="111334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'IR Charts'!$K$27</c:f>
              <c:strCache>
                <c:ptCount val="1"/>
                <c:pt idx="0">
                  <c:v>Downtime (Months)</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8D4-3A45-8383-9C4D395F00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'IR Charts'!$K$29:$K$35</c:f>
              <c:numCache>
                <c:formatCode>0.00</c:formatCode>
                <c:ptCount val="7"/>
                <c:pt idx="0">
                  <c:v>4.1293329222965376</c:v>
                </c:pt>
                <c:pt idx="1">
                  <c:v>8.8753015073990049</c:v>
                </c:pt>
                <c:pt idx="2">
                  <c:v>4.36523208300357</c:v>
                </c:pt>
                <c:pt idx="3">
                  <c:v>6.6646557271557274</c:v>
                </c:pt>
                <c:pt idx="4">
                  <c:v>4.7010744135441218</c:v>
                </c:pt>
                <c:pt idx="5">
                  <c:v>4.5591082016866249</c:v>
                </c:pt>
                <c:pt idx="6">
                  <c:v>1.8651138126041966</c:v>
                </c:pt>
              </c:numCache>
            </c:numRef>
          </c:val>
          <c:extLst>
            <c:ext xmlns:c16="http://schemas.microsoft.com/office/drawing/2014/chart" uri="{C3380CC4-5D6E-409C-BE32-E72D297353CC}">
              <c16:uniqueId val="{00000000-A345-4E98-A81B-C64BB6E5AB02}"/>
            </c:ext>
          </c:extLst>
        </c:ser>
        <c:dLbls>
          <c:dLblPos val="outEnd"/>
          <c:showLegendKey val="0"/>
          <c:showVal val="1"/>
          <c:showCatName val="0"/>
          <c:showSerName val="0"/>
          <c:showPercent val="0"/>
          <c:showBubbleSize val="0"/>
        </c:dLbls>
        <c:gapWidth val="60"/>
        <c:axId val="1113343072"/>
        <c:axId val="1113344784"/>
      </c:barChart>
      <c:catAx>
        <c:axId val="1113343072"/>
        <c:scaling>
          <c:orientation val="minMax"/>
        </c:scaling>
        <c:delete val="1"/>
        <c:axPos val="l"/>
        <c:majorTickMark val="none"/>
        <c:minorTickMark val="none"/>
        <c:tickLblPos val="nextTo"/>
        <c:crossAx val="1113344784"/>
        <c:crosses val="autoZero"/>
        <c:auto val="1"/>
        <c:lblAlgn val="ctr"/>
        <c:lblOffset val="100"/>
        <c:noMultiLvlLbl val="0"/>
      </c:catAx>
      <c:valAx>
        <c:axId val="1113344784"/>
        <c:scaling>
          <c:orientation val="minMax"/>
        </c:scaling>
        <c:delete val="1"/>
        <c:axPos val="b"/>
        <c:numFmt formatCode="0.00" sourceLinked="1"/>
        <c:majorTickMark val="none"/>
        <c:minorTickMark val="none"/>
        <c:tickLblPos val="nextTo"/>
        <c:crossAx val="111334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'IR Charts'!$L$27</c:f>
              <c:strCache>
                <c:ptCount val="1"/>
                <c:pt idx="0">
                  <c:v>Contractual Rent Escalations</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992-4447-9E0B-526C5910D4F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'IR Charts'!$L$29:$L$35</c:f>
              <c:numCache>
                <c:formatCode>0.0%</c:formatCode>
                <c:ptCount val="7"/>
                <c:pt idx="0">
                  <c:v>3.5521791389107889E-2</c:v>
                </c:pt>
                <c:pt idx="1">
                  <c:v>3.8611308137886102E-2</c:v>
                </c:pt>
                <c:pt idx="2">
                  <c:v>3.5901161938976509E-2</c:v>
                </c:pt>
                <c:pt idx="3">
                  <c:v>3.392593452341474E-2</c:v>
                </c:pt>
                <c:pt idx="4">
                  <c:v>3.3406647895932368E-2</c:v>
                </c:pt>
                <c:pt idx="5">
                  <c:v>3.8116792309151284E-2</c:v>
                </c:pt>
                <c:pt idx="6">
                  <c:v>3.5382109846660847E-2</c:v>
                </c:pt>
              </c:numCache>
            </c:numRef>
          </c:val>
          <c:extLst>
            <c:ext xmlns:c16="http://schemas.microsoft.com/office/drawing/2014/chart" uri="{C3380CC4-5D6E-409C-BE32-E72D297353CC}">
              <c16:uniqueId val="{00000000-A345-4E98-A81B-C64BB6E5AB02}"/>
            </c:ext>
          </c:extLst>
        </c:ser>
        <c:dLbls>
          <c:dLblPos val="outEnd"/>
          <c:showLegendKey val="0"/>
          <c:showVal val="1"/>
          <c:showCatName val="0"/>
          <c:showSerName val="0"/>
          <c:showPercent val="0"/>
          <c:showBubbleSize val="0"/>
        </c:dLbls>
        <c:gapWidth val="60"/>
        <c:axId val="1113343072"/>
        <c:axId val="1113344784"/>
      </c:barChart>
      <c:catAx>
        <c:axId val="1113343072"/>
        <c:scaling>
          <c:orientation val="minMax"/>
        </c:scaling>
        <c:delete val="1"/>
        <c:axPos val="l"/>
        <c:majorTickMark val="none"/>
        <c:minorTickMark val="none"/>
        <c:tickLblPos val="nextTo"/>
        <c:crossAx val="1113344784"/>
        <c:crosses val="autoZero"/>
        <c:auto val="1"/>
        <c:lblAlgn val="ctr"/>
        <c:lblOffset val="100"/>
        <c:noMultiLvlLbl val="0"/>
      </c:catAx>
      <c:valAx>
        <c:axId val="1113344784"/>
        <c:scaling>
          <c:orientation val="minMax"/>
        </c:scaling>
        <c:delete val="1"/>
        <c:axPos val="b"/>
        <c:numFmt formatCode="0.0%" sourceLinked="1"/>
        <c:majorTickMark val="none"/>
        <c:minorTickMark val="none"/>
        <c:tickLblPos val="nextTo"/>
        <c:crossAx val="111334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Leases that exceeded DT 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'DT Distribution'!$E$128:$E$138</c:f>
              <c:strCache>
                <c:ptCount val="11"/>
                <c:pt idx="0">
                  <c:v>Q1 2022</c:v>
                </c:pt>
                <c:pt idx="1">
                  <c:v>Q3 2022</c:v>
                </c:pt>
                <c:pt idx="2">
                  <c:v>Q4 2022</c:v>
                </c:pt>
                <c:pt idx="3">
                  <c:v>Q1 2023</c:v>
                </c:pt>
                <c:pt idx="4">
                  <c:v>Q2 2023</c:v>
                </c:pt>
                <c:pt idx="5">
                  <c:v>Q3 2023</c:v>
                </c:pt>
                <c:pt idx="6">
                  <c:v>Q4 2023</c:v>
                </c:pt>
                <c:pt idx="7">
                  <c:v>Q1 2024</c:v>
                </c:pt>
                <c:pt idx="8">
                  <c:v>Q2 2024</c:v>
                </c:pt>
                <c:pt idx="9">
                  <c:v>Q3 2024</c:v>
                </c:pt>
                <c:pt idx="10">
                  <c:v>Q4 2024</c:v>
                </c:pt>
              </c:strCache>
            </c:strRef>
          </c:cat>
          <c:val>
            <c:numRef>
              <c:f>'DT Distribution'!$F$128:$F$138</c:f>
              <c:numCache>
                <c:formatCode>General</c:formatCode>
                <c:ptCount val="11"/>
                <c:pt idx="0">
                  <c:v>0</c:v>
                </c:pt>
                <c:pt idx="1">
                  <c:v>2</c:v>
                </c:pt>
                <c:pt idx="2">
                  <c:v>2</c:v>
                </c:pt>
                <c:pt idx="3">
                  <c:v>2</c:v>
                </c:pt>
                <c:pt idx="4">
                  <c:v>1</c:v>
                </c:pt>
                <c:pt idx="5">
                  <c:v>2</c:v>
                </c:pt>
                <c:pt idx="6">
                  <c:v>4</c:v>
                </c:pt>
                <c:pt idx="7">
                  <c:v>4</c:v>
                </c:pt>
                <c:pt idx="8">
                  <c:v>5</c:v>
                </c:pt>
                <c:pt idx="9">
                  <c:v>0</c:v>
                </c:pt>
                <c:pt idx="10">
                  <c:v>3</c:v>
                </c:pt>
              </c:numCache>
            </c:numRef>
          </c:val>
          <c:extLst>
            <c:ext xmlns:c16="http://schemas.microsoft.com/office/drawing/2014/chart" uri="{C3380CC4-5D6E-409C-BE32-E72D297353CC}">
              <c16:uniqueId val="{00000000-7740-488C-95AB-33213E500C8A}"/>
            </c:ext>
          </c:extLst>
        </c:ser>
        <c:dLbls>
          <c:dLblPos val="outEnd"/>
          <c:showLegendKey val="0"/>
          <c:showVal val="1"/>
          <c:showCatName val="0"/>
          <c:showSerName val="0"/>
          <c:showPercent val="0"/>
          <c:showBubbleSize val="0"/>
        </c:dLbls>
        <c:gapWidth val="219"/>
        <c:overlap val="-27"/>
        <c:axId val="390466191"/>
        <c:axId val="390469551"/>
      </c:barChart>
      <c:catAx>
        <c:axId val="39046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69551"/>
        <c:crosses val="autoZero"/>
        <c:auto val="1"/>
        <c:lblAlgn val="ctr"/>
        <c:lblOffset val="100"/>
        <c:noMultiLvlLbl val="0"/>
      </c:catAx>
      <c:valAx>
        <c:axId val="390469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0466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consolidated-leasing'!$T$223:$U$223</c:f>
              <c:strCache>
                <c:ptCount val="2"/>
                <c:pt idx="0">
                  <c:v>CTV (in %)</c:v>
                </c:pt>
                <c:pt idx="1">
                  <c:v>CTV BP (in %)</c:v>
                </c:pt>
              </c:strCache>
            </c:strRef>
          </c:cat>
          <c:val>
            <c:numRef>
              <c:f>'DATA consolidated-leasing'!$T$239:$U$239</c:f>
              <c:numCache>
                <c:formatCode>0.00</c:formatCode>
                <c:ptCount val="2"/>
                <c:pt idx="0">
                  <c:v>8.6441339198040339</c:v>
                </c:pt>
                <c:pt idx="1">
                  <c:v>11.948803085574012</c:v>
                </c:pt>
              </c:numCache>
            </c:numRef>
          </c:val>
          <c:extLst>
            <c:ext xmlns:c16="http://schemas.microsoft.com/office/drawing/2014/chart" uri="{C3380CC4-5D6E-409C-BE32-E72D297353CC}">
              <c16:uniqueId val="{00000000-4149-4905-BE67-C1D1FEB7148A}"/>
            </c:ext>
          </c:extLst>
        </c:ser>
        <c:ser>
          <c:idx val="1"/>
          <c:order val="1"/>
          <c:tx>
            <c:v>New Leases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consolidated-leasing'!$T$223:$U$223</c:f>
              <c:strCache>
                <c:ptCount val="2"/>
                <c:pt idx="0">
                  <c:v>CTV (in %)</c:v>
                </c:pt>
                <c:pt idx="1">
                  <c:v>CTV BP (in %)</c:v>
                </c:pt>
              </c:strCache>
            </c:strRef>
          </c:cat>
          <c:val>
            <c:numRef>
              <c:f>'DATA consolidated-leasing'!$T$346:$U$346</c:f>
              <c:numCache>
                <c:formatCode>0.00</c:formatCode>
                <c:ptCount val="2"/>
                <c:pt idx="0">
                  <c:v>12.357098286134827</c:v>
                </c:pt>
                <c:pt idx="1">
                  <c:v>16.994577278636605</c:v>
                </c:pt>
              </c:numCache>
            </c:numRef>
          </c:val>
          <c:extLst>
            <c:ext xmlns:c16="http://schemas.microsoft.com/office/drawing/2014/chart" uri="{C3380CC4-5D6E-409C-BE32-E72D297353CC}">
              <c16:uniqueId val="{00000001-4149-4905-BE67-C1D1FEB7148A}"/>
            </c:ext>
          </c:extLst>
        </c:ser>
        <c:ser>
          <c:idx val="2"/>
          <c:order val="2"/>
          <c:tx>
            <c:v>Renewals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consolidated-leasing'!$T$223:$U$223</c:f>
              <c:strCache>
                <c:ptCount val="2"/>
                <c:pt idx="0">
                  <c:v>CTV (in %)</c:v>
                </c:pt>
                <c:pt idx="1">
                  <c:v>CTV BP (in %)</c:v>
                </c:pt>
              </c:strCache>
            </c:strRef>
          </c:cat>
          <c:val>
            <c:numRef>
              <c:f>'DATA consolidated-leasing'!$T$366:$U$366</c:f>
              <c:numCache>
                <c:formatCode>0.00</c:formatCode>
                <c:ptCount val="2"/>
                <c:pt idx="0">
                  <c:v>5.3072825559863901</c:v>
                </c:pt>
                <c:pt idx="1">
                  <c:v>7.4141518375537165</c:v>
                </c:pt>
              </c:numCache>
            </c:numRef>
          </c:val>
          <c:extLst>
            <c:ext xmlns:c16="http://schemas.microsoft.com/office/drawing/2014/chart" uri="{C3380CC4-5D6E-409C-BE32-E72D297353CC}">
              <c16:uniqueId val="{00000002-4149-4905-BE67-C1D1FEB7148A}"/>
            </c:ext>
          </c:extLst>
        </c:ser>
        <c:dLbls>
          <c:dLblPos val="outEnd"/>
          <c:showLegendKey val="0"/>
          <c:showVal val="1"/>
          <c:showCatName val="0"/>
          <c:showSerName val="0"/>
          <c:showPercent val="0"/>
          <c:showBubbleSize val="0"/>
        </c:dLbls>
        <c:gapWidth val="219"/>
        <c:overlap val="-27"/>
        <c:axId val="459058527"/>
        <c:axId val="459045631"/>
      </c:barChart>
      <c:catAx>
        <c:axId val="4590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045631"/>
        <c:crosses val="autoZero"/>
        <c:auto val="1"/>
        <c:lblAlgn val="ctr"/>
        <c:lblOffset val="100"/>
        <c:noMultiLvlLbl val="0"/>
      </c:catAx>
      <c:valAx>
        <c:axId val="459045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058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Escalations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consolidated-leasing'!$R$223:$S$223</c:f>
              <c:strCache>
                <c:ptCount val="2"/>
                <c:pt idx="0">
                  <c:v>Escalations (in %)</c:v>
                </c:pt>
                <c:pt idx="1">
                  <c:v>Escalations BP (in %)</c:v>
                </c:pt>
              </c:strCache>
            </c:strRef>
          </c:cat>
          <c:val>
            <c:numRef>
              <c:f>'DATA consolidated-leasing'!$R$239:$S$239</c:f>
              <c:numCache>
                <c:formatCode>0.00</c:formatCode>
                <c:ptCount val="2"/>
                <c:pt idx="0">
                  <c:v>3.5521791389107888</c:v>
                </c:pt>
                <c:pt idx="1">
                  <c:v>2.9218664656565898</c:v>
                </c:pt>
              </c:numCache>
            </c:numRef>
          </c:val>
          <c:extLst>
            <c:ext xmlns:c16="http://schemas.microsoft.com/office/drawing/2014/chart" uri="{C3380CC4-5D6E-409C-BE32-E72D297353CC}">
              <c16:uniqueId val="{00000000-CE74-47F2-BC41-349BCFD088C6}"/>
            </c:ext>
          </c:extLst>
        </c:ser>
        <c:ser>
          <c:idx val="1"/>
          <c:order val="1"/>
          <c:tx>
            <c:v>New Leases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consolidated-leasing'!$R$223:$S$223</c:f>
              <c:strCache>
                <c:ptCount val="2"/>
                <c:pt idx="0">
                  <c:v>Escalations (in %)</c:v>
                </c:pt>
                <c:pt idx="1">
                  <c:v>Escalations BP (in %)</c:v>
                </c:pt>
              </c:strCache>
            </c:strRef>
          </c:cat>
          <c:val>
            <c:numRef>
              <c:f>'DATA consolidated-leasing'!$R$346:$S$346</c:f>
              <c:numCache>
                <c:formatCode>0.00</c:formatCode>
                <c:ptCount val="2"/>
                <c:pt idx="0">
                  <c:v>3.7338134007378749</c:v>
                </c:pt>
                <c:pt idx="1">
                  <c:v>3.0190675529590356</c:v>
                </c:pt>
              </c:numCache>
            </c:numRef>
          </c:val>
          <c:extLst>
            <c:ext xmlns:c16="http://schemas.microsoft.com/office/drawing/2014/chart" uri="{C3380CC4-5D6E-409C-BE32-E72D297353CC}">
              <c16:uniqueId val="{00000001-CE74-47F2-BC41-349BCFD088C6}"/>
            </c:ext>
          </c:extLst>
        </c:ser>
        <c:ser>
          <c:idx val="2"/>
          <c:order val="2"/>
          <c:tx>
            <c:v>Renewals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consolidated-leasing'!$R$223:$S$223</c:f>
              <c:strCache>
                <c:ptCount val="2"/>
                <c:pt idx="0">
                  <c:v>Escalations (in %)</c:v>
                </c:pt>
                <c:pt idx="1">
                  <c:v>Escalations BP (in %)</c:v>
                </c:pt>
              </c:strCache>
            </c:strRef>
          </c:cat>
          <c:val>
            <c:numRef>
              <c:f>'DATA consolidated-leasing'!$R$366:$S$366</c:f>
              <c:numCache>
                <c:formatCode>0.00</c:formatCode>
                <c:ptCount val="2"/>
                <c:pt idx="0">
                  <c:v>3.388943924538756</c:v>
                </c:pt>
                <c:pt idx="1">
                  <c:v>2.8345115791753472</c:v>
                </c:pt>
              </c:numCache>
            </c:numRef>
          </c:val>
          <c:extLst>
            <c:ext xmlns:c16="http://schemas.microsoft.com/office/drawing/2014/chart" uri="{C3380CC4-5D6E-409C-BE32-E72D297353CC}">
              <c16:uniqueId val="{00000002-CE74-47F2-BC41-349BCFD088C6}"/>
            </c:ext>
          </c:extLst>
        </c:ser>
        <c:dLbls>
          <c:dLblPos val="outEnd"/>
          <c:showLegendKey val="0"/>
          <c:showVal val="1"/>
          <c:showCatName val="0"/>
          <c:showSerName val="0"/>
          <c:showPercent val="0"/>
          <c:showBubbleSize val="0"/>
        </c:dLbls>
        <c:gapWidth val="219"/>
        <c:overlap val="-27"/>
        <c:axId val="856817663"/>
        <c:axId val="856812255"/>
      </c:barChart>
      <c:catAx>
        <c:axId val="85681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12255"/>
        <c:crosses val="autoZero"/>
        <c:auto val="1"/>
        <c:lblAlgn val="ctr"/>
        <c:lblOffset val="100"/>
        <c:noMultiLvlLbl val="0"/>
      </c:catAx>
      <c:valAx>
        <c:axId val="85681225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1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Leasing Spread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consolidated-leasing'!$X$223:$Z$223</c:f>
              <c:strCache>
                <c:ptCount val="3"/>
                <c:pt idx="0">
                  <c:v>Rent Inc over Prior Leases</c:v>
                </c:pt>
                <c:pt idx="2">
                  <c:v>Rent Increase over BP</c:v>
                </c:pt>
              </c:strCache>
              <c:extLst xmlns:c15="http://schemas.microsoft.com/office/drawing/2012/chart"/>
            </c:strRef>
          </c:cat>
          <c:val>
            <c:numRef>
              <c:f>'DATA consolidated-leasing'!$X$239:$Z$239</c:f>
              <c:numCache>
                <c:formatCode>0%</c:formatCode>
                <c:ptCount val="3"/>
                <c:pt idx="0">
                  <c:v>0.34837248332454496</c:v>
                </c:pt>
                <c:pt idx="2">
                  <c:v>0.1226621900970386</c:v>
                </c:pt>
              </c:numCache>
              <c:extLst xmlns:c15="http://schemas.microsoft.com/office/drawing/2012/chart"/>
            </c:numRef>
          </c:val>
          <c:extLst xmlns:c15="http://schemas.microsoft.com/office/drawing/2012/chart">
            <c:ext xmlns:c16="http://schemas.microsoft.com/office/drawing/2014/chart" uri="{C3380CC4-5D6E-409C-BE32-E72D297353CC}">
              <c16:uniqueId val="{00000000-3783-4F1B-9B2B-AE9D3CCA566B}"/>
            </c:ext>
          </c:extLst>
        </c:ser>
        <c:ser>
          <c:idx val="1"/>
          <c:order val="1"/>
          <c:tx>
            <c:v>New Leases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consolidated-leasing'!$X$223:$Z$223</c:f>
              <c:strCache>
                <c:ptCount val="3"/>
                <c:pt idx="0">
                  <c:v>Rent Inc over Prior Leases</c:v>
                </c:pt>
                <c:pt idx="2">
                  <c:v>Rent Increase over BP</c:v>
                </c:pt>
              </c:strCache>
            </c:strRef>
          </c:cat>
          <c:val>
            <c:numRef>
              <c:f>'DATA consolidated-leasing'!$X$346:$Z$346</c:f>
              <c:numCache>
                <c:formatCode>0%</c:formatCode>
                <c:ptCount val="3"/>
                <c:pt idx="0">
                  <c:v>0.29361348232375661</c:v>
                </c:pt>
                <c:pt idx="2">
                  <c:v>0.1466753076154943</c:v>
                </c:pt>
              </c:numCache>
            </c:numRef>
          </c:val>
          <c:extLst>
            <c:ext xmlns:c16="http://schemas.microsoft.com/office/drawing/2014/chart" uri="{C3380CC4-5D6E-409C-BE32-E72D297353CC}">
              <c16:uniqueId val="{00000001-3783-4F1B-9B2B-AE9D3CCA566B}"/>
            </c:ext>
          </c:extLst>
        </c:ser>
        <c:ser>
          <c:idx val="2"/>
          <c:order val="2"/>
          <c:tx>
            <c:v>Renewals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consolidated-leasing'!$X$223:$Z$223</c:f>
              <c:strCache>
                <c:ptCount val="3"/>
                <c:pt idx="0">
                  <c:v>Rent Inc over Prior Leases</c:v>
                </c:pt>
                <c:pt idx="2">
                  <c:v>Rent Increase over BP</c:v>
                </c:pt>
              </c:strCache>
            </c:strRef>
          </c:cat>
          <c:val>
            <c:numRef>
              <c:f>'DATA consolidated-leasing'!$X$366:$Z$366</c:f>
              <c:numCache>
                <c:formatCode>0%</c:formatCode>
                <c:ptCount val="3"/>
                <c:pt idx="0">
                  <c:v>0.38500950059245609</c:v>
                </c:pt>
                <c:pt idx="2">
                  <c:v>0.10137831919942308</c:v>
                </c:pt>
              </c:numCache>
            </c:numRef>
          </c:val>
          <c:extLst>
            <c:ext xmlns:c16="http://schemas.microsoft.com/office/drawing/2014/chart" uri="{C3380CC4-5D6E-409C-BE32-E72D297353CC}">
              <c16:uniqueId val="{00000002-3783-4F1B-9B2B-AE9D3CCA566B}"/>
            </c:ext>
          </c:extLst>
        </c:ser>
        <c:dLbls>
          <c:dLblPos val="outEnd"/>
          <c:showLegendKey val="0"/>
          <c:showVal val="1"/>
          <c:showCatName val="0"/>
          <c:showSerName val="0"/>
          <c:showPercent val="0"/>
          <c:showBubbleSize val="0"/>
        </c:dLbls>
        <c:gapWidth val="219"/>
        <c:overlap val="-27"/>
        <c:axId val="789105119"/>
        <c:axId val="789106783"/>
        <c:extLst/>
      </c:barChart>
      <c:catAx>
        <c:axId val="78910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06783"/>
        <c:crosses val="autoZero"/>
        <c:auto val="1"/>
        <c:lblAlgn val="ctr"/>
        <c:lblOffset val="100"/>
        <c:noMultiLvlLbl val="0"/>
      </c:catAx>
      <c:valAx>
        <c:axId val="789106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05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 PSF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consolidated-leasing'!$N$369:$Q$369</c:f>
              <c:strCache>
                <c:ptCount val="4"/>
                <c:pt idx="0">
                  <c:v>Prior Lease PSF</c:v>
                </c:pt>
                <c:pt idx="1">
                  <c:v>PSF (BP)</c:v>
                </c:pt>
                <c:pt idx="2">
                  <c:v>FM PSF</c:v>
                </c:pt>
                <c:pt idx="3">
                  <c:v>PSF</c:v>
                </c:pt>
              </c:strCache>
            </c:strRef>
          </c:cat>
          <c:val>
            <c:numRef>
              <c:f>'DATA consolidated-leasing'!$N$385:$Q$385</c:f>
              <c:numCache>
                <c:formatCode>0.00</c:formatCode>
                <c:ptCount val="4"/>
                <c:pt idx="0">
                  <c:v>5.6211449744285558</c:v>
                </c:pt>
                <c:pt idx="1">
                  <c:v>7.0122113662337666</c:v>
                </c:pt>
                <c:pt idx="2">
                  <c:v>8.0986800831168839</c:v>
                </c:pt>
                <c:pt idx="3">
                  <c:v>8.1329411740259747</c:v>
                </c:pt>
              </c:numCache>
            </c:numRef>
          </c:val>
          <c:extLst>
            <c:ext xmlns:c16="http://schemas.microsoft.com/office/drawing/2014/chart" uri="{C3380CC4-5D6E-409C-BE32-E72D297353CC}">
              <c16:uniqueId val="{00000000-6793-43B2-9E29-61AEC052350A}"/>
            </c:ext>
          </c:extLst>
        </c:ser>
        <c:dLbls>
          <c:dLblPos val="outEnd"/>
          <c:showLegendKey val="0"/>
          <c:showVal val="1"/>
          <c:showCatName val="0"/>
          <c:showSerName val="0"/>
          <c:showPercent val="0"/>
          <c:showBubbleSize val="0"/>
        </c:dLbls>
        <c:gapWidth val="219"/>
        <c:overlap val="-27"/>
        <c:axId val="1554912927"/>
        <c:axId val="1554908351"/>
      </c:barChart>
      <c:catAx>
        <c:axId val="15549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08351"/>
        <c:crosses val="autoZero"/>
        <c:auto val="1"/>
        <c:lblAlgn val="ctr"/>
        <c:lblOffset val="100"/>
        <c:noMultiLvlLbl val="0"/>
      </c:catAx>
      <c:valAx>
        <c:axId val="1554908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12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r>
              <a:rPr lang="en-US" sz="1200" b="1" dirty="0"/>
              <a:t>Annual Rent Escalations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5E1D-4EE5-8DAB-1E8342F29E6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 Charts'!$E$48:$F$48</c:f>
              <c:strCache>
                <c:ptCount val="2"/>
                <c:pt idx="0">
                  <c:v>Business Plan</c:v>
                </c:pt>
                <c:pt idx="1">
                  <c:v>Actual</c:v>
                </c:pt>
              </c:strCache>
            </c:strRef>
          </c:cat>
          <c:val>
            <c:numRef>
              <c:f>'IR Charts'!$E$50:$F$50</c:f>
              <c:numCache>
                <c:formatCode>0.00%</c:formatCode>
                <c:ptCount val="2"/>
                <c:pt idx="0">
                  <c:v>3.3237957286835623E-2</c:v>
                </c:pt>
                <c:pt idx="1">
                  <c:v>3.3363091493575393E-2</c:v>
                </c:pt>
              </c:numCache>
            </c:numRef>
          </c:val>
          <c:extLst>
            <c:ext xmlns:c16="http://schemas.microsoft.com/office/drawing/2014/chart" uri="{C3380CC4-5D6E-409C-BE32-E72D297353CC}">
              <c16:uniqueId val="{00000002-5E1D-4EE5-8DAB-1E8342F29E6A}"/>
            </c:ext>
          </c:extLst>
        </c:ser>
        <c:dLbls>
          <c:dLblPos val="outEnd"/>
          <c:showLegendKey val="0"/>
          <c:showVal val="1"/>
          <c:showCatName val="0"/>
          <c:showSerName val="0"/>
          <c:showPercent val="0"/>
          <c:showBubbleSize val="0"/>
        </c:dLbls>
        <c:gapWidth val="50"/>
        <c:overlap val="-27"/>
        <c:axId val="1125429952"/>
        <c:axId val="1125414000"/>
      </c:barChart>
      <c:catAx>
        <c:axId val="112542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ilroy" pitchFamily="2" charset="77"/>
                <a:ea typeface="+mn-ea"/>
                <a:cs typeface="+mn-cs"/>
              </a:defRPr>
            </a:pPr>
            <a:endParaRPr lang="en-US"/>
          </a:p>
        </c:txPr>
        <c:crossAx val="1125414000"/>
        <c:crosses val="autoZero"/>
        <c:auto val="1"/>
        <c:lblAlgn val="ctr"/>
        <c:lblOffset val="100"/>
        <c:noMultiLvlLbl val="0"/>
      </c:catAx>
      <c:valAx>
        <c:axId val="1125414000"/>
        <c:scaling>
          <c:orientation val="minMax"/>
          <c:max val="3.7000000000000005E-2"/>
          <c:min val="2.5000000000000005E-2"/>
        </c:scaling>
        <c:delete val="0"/>
        <c:axPos val="l"/>
        <c:majorGridlines>
          <c:spPr>
            <a:ln w="9525" cap="flat" cmpd="sng" algn="ctr">
              <a:solidFill>
                <a:schemeClr val="tx1">
                  <a:lumMod val="15000"/>
                  <a:lumOff val="85000"/>
                </a:schemeClr>
              </a:soli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roy" pitchFamily="2" charset="77"/>
                <a:ea typeface="+mn-ea"/>
                <a:cs typeface="+mn-cs"/>
              </a:defRPr>
            </a:pPr>
            <a:endParaRPr lang="en-US"/>
          </a:p>
        </c:txPr>
        <c:crossAx val="112542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Escalations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consolidated-leasing'!$R$369:$W$369</c15:sqref>
                  </c15:fullRef>
                </c:ext>
              </c:extLst>
              <c:f>'DATA consolidated-leasing'!$R$369:$U$369</c:f>
              <c:strCache>
                <c:ptCount val="4"/>
                <c:pt idx="0">
                  <c:v>Escalations (in %)</c:v>
                </c:pt>
                <c:pt idx="1">
                  <c:v>Escalations BP (in %)</c:v>
                </c:pt>
                <c:pt idx="2">
                  <c:v>CTV (in %)</c:v>
                </c:pt>
                <c:pt idx="3">
                  <c:v>CTV BP (in %)</c:v>
                </c:pt>
              </c:strCache>
            </c:strRef>
          </c:cat>
          <c:val>
            <c:numRef>
              <c:extLst>
                <c:ext xmlns:c15="http://schemas.microsoft.com/office/drawing/2012/chart" uri="{02D57815-91ED-43cb-92C2-25804820EDAC}">
                  <c15:fullRef>
                    <c15:sqref>'DATA consolidated-leasing'!$R$385:$W$385</c15:sqref>
                  </c15:fullRef>
                </c:ext>
              </c:extLst>
              <c:f>'DATA consolidated-leasing'!$R$385:$U$385</c:f>
              <c:numCache>
                <c:formatCode>0.00</c:formatCode>
                <c:ptCount val="4"/>
                <c:pt idx="0">
                  <c:v>3.6096179553929506</c:v>
                </c:pt>
                <c:pt idx="1">
                  <c:v>3.2553641558441559</c:v>
                </c:pt>
                <c:pt idx="2">
                  <c:v>0</c:v>
                </c:pt>
                <c:pt idx="3">
                  <c:v>0</c:v>
                </c:pt>
              </c:numCache>
            </c:numRef>
          </c:val>
          <c:extLst>
            <c:ext xmlns:c16="http://schemas.microsoft.com/office/drawing/2014/chart" uri="{C3380CC4-5D6E-409C-BE32-E72D297353CC}">
              <c16:uniqueId val="{00000000-75E3-463A-B516-5C1F4149EA4D}"/>
            </c:ext>
          </c:extLst>
        </c:ser>
        <c:ser>
          <c:idx val="1"/>
          <c:order val="1"/>
          <c:tx>
            <c:v>New Leases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consolidated-leasing'!$R$369:$W$369</c15:sqref>
                  </c15:fullRef>
                </c:ext>
              </c:extLst>
              <c:f>'DATA consolidated-leasing'!$R$369:$U$369</c:f>
              <c:strCache>
                <c:ptCount val="4"/>
                <c:pt idx="0">
                  <c:v>Escalations (in %)</c:v>
                </c:pt>
                <c:pt idx="1">
                  <c:v>Escalations BP (in %)</c:v>
                </c:pt>
                <c:pt idx="2">
                  <c:v>CTV (in %)</c:v>
                </c:pt>
                <c:pt idx="3">
                  <c:v>CTV BP (in %)</c:v>
                </c:pt>
              </c:strCache>
            </c:strRef>
          </c:cat>
          <c:val>
            <c:numRef>
              <c:extLst>
                <c:ext xmlns:c15="http://schemas.microsoft.com/office/drawing/2012/chart" uri="{02D57815-91ED-43cb-92C2-25804820EDAC}">
                  <c15:fullRef>
                    <c15:sqref>'DATA consolidated-leasing'!$R$404:$W$404</c15:sqref>
                  </c15:fullRef>
                </c:ext>
              </c:extLst>
              <c:f>'DATA consolidated-leasing'!$R$404:$U$404</c:f>
              <c:numCache>
                <c:formatCode>0.00</c:formatCode>
                <c:ptCount val="4"/>
                <c:pt idx="0">
                  <c:v>3.776843939520762</c:v>
                </c:pt>
                <c:pt idx="1">
                  <c:v>3.2106843102490545</c:v>
                </c:pt>
                <c:pt idx="2">
                  <c:v>0</c:v>
                </c:pt>
                <c:pt idx="3">
                  <c:v>0</c:v>
                </c:pt>
              </c:numCache>
            </c:numRef>
          </c:val>
          <c:extLst>
            <c:ext xmlns:c16="http://schemas.microsoft.com/office/drawing/2014/chart" uri="{C3380CC4-5D6E-409C-BE32-E72D297353CC}">
              <c16:uniqueId val="{00000001-75E3-463A-B516-5C1F4149EA4D}"/>
            </c:ext>
          </c:extLst>
        </c:ser>
        <c:ser>
          <c:idx val="2"/>
          <c:order val="2"/>
          <c:tx>
            <c:v>Renewals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consolidated-leasing'!$R$369:$W$369</c15:sqref>
                  </c15:fullRef>
                </c:ext>
              </c:extLst>
              <c:f>'DATA consolidated-leasing'!$R$369:$U$369</c:f>
              <c:strCache>
                <c:ptCount val="4"/>
                <c:pt idx="0">
                  <c:v>Escalations (in %)</c:v>
                </c:pt>
                <c:pt idx="1">
                  <c:v>Escalations BP (in %)</c:v>
                </c:pt>
                <c:pt idx="2">
                  <c:v>CTV (in %)</c:v>
                </c:pt>
                <c:pt idx="3">
                  <c:v>CTV BP (in %)</c:v>
                </c:pt>
              </c:strCache>
            </c:strRef>
          </c:cat>
          <c:val>
            <c:numRef>
              <c:extLst>
                <c:ext xmlns:c15="http://schemas.microsoft.com/office/drawing/2012/chart" uri="{02D57815-91ED-43cb-92C2-25804820EDAC}">
                  <c15:fullRef>
                    <c15:sqref>'DATA consolidated-leasing'!$R$423:$W$423</c15:sqref>
                  </c15:fullRef>
                </c:ext>
              </c:extLst>
              <c:f>'DATA consolidated-leasing'!$R$423:$U$423</c:f>
              <c:numCache>
                <c:formatCode>0.00</c:formatCode>
                <c:ptCount val="4"/>
                <c:pt idx="0">
                  <c:v>3.7689526145332199</c:v>
                </c:pt>
                <c:pt idx="1">
                  <c:v>3.2721484251056934</c:v>
                </c:pt>
                <c:pt idx="2">
                  <c:v>0</c:v>
                </c:pt>
                <c:pt idx="3">
                  <c:v>0</c:v>
                </c:pt>
              </c:numCache>
            </c:numRef>
          </c:val>
          <c:extLst>
            <c:ext xmlns:c16="http://schemas.microsoft.com/office/drawing/2014/chart" uri="{C3380CC4-5D6E-409C-BE32-E72D297353CC}">
              <c16:uniqueId val="{00000002-75E3-463A-B516-5C1F4149EA4D}"/>
            </c:ext>
          </c:extLst>
        </c:ser>
        <c:dLbls>
          <c:dLblPos val="outEnd"/>
          <c:showLegendKey val="0"/>
          <c:showVal val="1"/>
          <c:showCatName val="0"/>
          <c:showSerName val="0"/>
          <c:showPercent val="0"/>
          <c:showBubbleSize val="0"/>
        </c:dLbls>
        <c:gapWidth val="219"/>
        <c:overlap val="-27"/>
        <c:axId val="790193023"/>
        <c:axId val="790194271"/>
      </c:barChart>
      <c:catAx>
        <c:axId val="79019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4271"/>
        <c:crosses val="autoZero"/>
        <c:auto val="1"/>
        <c:lblAlgn val="ctr"/>
        <c:lblOffset val="100"/>
        <c:noMultiLvlLbl val="0"/>
      </c:catAx>
      <c:valAx>
        <c:axId val="79019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3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a:t>
            </a:r>
            <a:r>
              <a:rPr lang="en-US" baseline="0"/>
              <a:t> Quarter</a:t>
            </a:r>
            <a:r>
              <a:rPr lang="en-US"/>
              <a:t> Leasing Spread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consolidated-leasing'!$X$369:$Z$369</c:f>
              <c:strCache>
                <c:ptCount val="3"/>
                <c:pt idx="0">
                  <c:v>Rent Increase over Prior Leases</c:v>
                </c:pt>
                <c:pt idx="2">
                  <c:v>Rent Increase over BP</c:v>
                </c:pt>
              </c:strCache>
            </c:strRef>
          </c:cat>
          <c:val>
            <c:numRef>
              <c:f>'DATA consolidated-leasing'!$X$385:$Z$385</c:f>
              <c:numCache>
                <c:formatCode>0%</c:formatCode>
                <c:ptCount val="3"/>
                <c:pt idx="0">
                  <c:v>0.41734626563404853</c:v>
                </c:pt>
                <c:pt idx="2">
                  <c:v>0.15982544581997504</c:v>
                </c:pt>
              </c:numCache>
            </c:numRef>
          </c:val>
          <c:extLst>
            <c:ext xmlns:c16="http://schemas.microsoft.com/office/drawing/2014/chart" uri="{C3380CC4-5D6E-409C-BE32-E72D297353CC}">
              <c16:uniqueId val="{00000000-9248-4290-B873-3224242EFFA2}"/>
            </c:ext>
          </c:extLst>
        </c:ser>
        <c:ser>
          <c:idx val="1"/>
          <c:order val="1"/>
          <c:tx>
            <c:v>New Leases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consolidated-leasing'!$X$369:$Z$369</c:f>
              <c:strCache>
                <c:ptCount val="3"/>
                <c:pt idx="0">
                  <c:v>Rent Increase over Prior Leases</c:v>
                </c:pt>
                <c:pt idx="2">
                  <c:v>Rent Increase over BP</c:v>
                </c:pt>
              </c:strCache>
            </c:strRef>
          </c:cat>
          <c:val>
            <c:numRef>
              <c:f>'DATA consolidated-leasing'!$X$404:$Z$404</c:f>
              <c:numCache>
                <c:formatCode>0%</c:formatCode>
                <c:ptCount val="3"/>
                <c:pt idx="0">
                  <c:v>0.26879275154499238</c:v>
                </c:pt>
                <c:pt idx="2">
                  <c:v>9.7743836462191869E-2</c:v>
                </c:pt>
              </c:numCache>
            </c:numRef>
          </c:val>
          <c:extLst>
            <c:ext xmlns:c16="http://schemas.microsoft.com/office/drawing/2014/chart" uri="{C3380CC4-5D6E-409C-BE32-E72D297353CC}">
              <c16:uniqueId val="{00000001-9248-4290-B873-3224242EFFA2}"/>
            </c:ext>
          </c:extLst>
        </c:ser>
        <c:ser>
          <c:idx val="2"/>
          <c:order val="2"/>
          <c:tx>
            <c:v>Renewals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consolidated-leasing'!$X$369:$Z$369</c:f>
              <c:strCache>
                <c:ptCount val="3"/>
                <c:pt idx="0">
                  <c:v>Rent Increase over Prior Leases</c:v>
                </c:pt>
                <c:pt idx="2">
                  <c:v>Rent Increase over BP</c:v>
                </c:pt>
              </c:strCache>
            </c:strRef>
          </c:cat>
          <c:val>
            <c:numRef>
              <c:f>'DATA consolidated-leasing'!$X$423:$Z$423</c:f>
              <c:numCache>
                <c:formatCode>0%</c:formatCode>
                <c:ptCount val="3"/>
                <c:pt idx="0">
                  <c:v>0.45841276901893635</c:v>
                </c:pt>
                <c:pt idx="2">
                  <c:v>0.18759634674695636</c:v>
                </c:pt>
              </c:numCache>
            </c:numRef>
          </c:val>
          <c:extLst>
            <c:ext xmlns:c16="http://schemas.microsoft.com/office/drawing/2014/chart" uri="{C3380CC4-5D6E-409C-BE32-E72D297353CC}">
              <c16:uniqueId val="{00000002-9248-4290-B873-3224242EFFA2}"/>
            </c:ext>
          </c:extLst>
        </c:ser>
        <c:dLbls>
          <c:dLblPos val="outEnd"/>
          <c:showLegendKey val="0"/>
          <c:showVal val="1"/>
          <c:showCatName val="0"/>
          <c:showSerName val="0"/>
          <c:showPercent val="0"/>
          <c:showBubbleSize val="0"/>
        </c:dLbls>
        <c:gapWidth val="219"/>
        <c:overlap val="-27"/>
        <c:axId val="994795199"/>
        <c:axId val="994806431"/>
      </c:barChart>
      <c:catAx>
        <c:axId val="99479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06431"/>
        <c:crosses val="autoZero"/>
        <c:auto val="1"/>
        <c:lblAlgn val="ctr"/>
        <c:lblOffset val="100"/>
        <c:noMultiLvlLbl val="0"/>
      </c:catAx>
      <c:valAx>
        <c:axId val="994806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95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Fund 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consolidated-leasing'!$N$426:$Q$426</c:f>
              <c:strCache>
                <c:ptCount val="4"/>
                <c:pt idx="0">
                  <c:v>Prior Lease PSF</c:v>
                </c:pt>
                <c:pt idx="1">
                  <c:v>PSF (BP)</c:v>
                </c:pt>
                <c:pt idx="2">
                  <c:v>FM PSF</c:v>
                </c:pt>
                <c:pt idx="3">
                  <c:v>PSF</c:v>
                </c:pt>
              </c:strCache>
              <c:extLst xmlns:c15="http://schemas.microsoft.com/office/drawing/2012/chart"/>
            </c:strRef>
          </c:cat>
          <c:val>
            <c:numRef>
              <c:f>'DATA consolidated-leasing'!$N$460:$Q$460</c:f>
              <c:numCache>
                <c:formatCode>0.00</c:formatCode>
                <c:ptCount val="4"/>
                <c:pt idx="0">
                  <c:v>6.7239122382337184</c:v>
                </c:pt>
                <c:pt idx="1">
                  <c:v>9.1908177194860805</c:v>
                </c:pt>
                <c:pt idx="2">
                  <c:v>9.6512946281502217</c:v>
                </c:pt>
                <c:pt idx="3">
                  <c:v>9.5453053450831824</c:v>
                </c:pt>
              </c:numCache>
              <c:extLst xmlns:c15="http://schemas.microsoft.com/office/drawing/2012/chart"/>
            </c:numRef>
          </c:val>
          <c:extLst xmlns:c15="http://schemas.microsoft.com/office/drawing/2012/chart">
            <c:ext xmlns:c16="http://schemas.microsoft.com/office/drawing/2014/chart" uri="{C3380CC4-5D6E-409C-BE32-E72D297353CC}">
              <c16:uniqueId val="{00000001-DDC3-4C71-AECC-B71F2286FEA9}"/>
            </c:ext>
          </c:extLst>
        </c:ser>
        <c:dLbls>
          <c:dLblPos val="outEnd"/>
          <c:showLegendKey val="0"/>
          <c:showVal val="1"/>
          <c:showCatName val="0"/>
          <c:showSerName val="0"/>
          <c:showPercent val="0"/>
          <c:showBubbleSize val="0"/>
        </c:dLbls>
        <c:gapWidth val="219"/>
        <c:overlap val="-27"/>
        <c:axId val="1480975791"/>
        <c:axId val="1480979951"/>
        <c:extLst>
          <c:ext xmlns:c15="http://schemas.microsoft.com/office/drawing/2012/chart" uri="{02D57815-91ED-43cb-92C2-25804820EDAC}">
            <c15:filteredBarSeries>
              <c15:ser>
                <c:idx val="0"/>
                <c:order val="0"/>
                <c:tx>
                  <c:v>Fund 2</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'DATA consolidated-leasing'!$N$426:$Q$426</c15:sqref>
                        </c15:formulaRef>
                      </c:ext>
                    </c:extLst>
                    <c:strCache>
                      <c:ptCount val="4"/>
                      <c:pt idx="0">
                        <c:v>Prior Lease PSF</c:v>
                      </c:pt>
                      <c:pt idx="1">
                        <c:v>PSF (BP)</c:v>
                      </c:pt>
                      <c:pt idx="2">
                        <c:v>FM PSF</c:v>
                      </c:pt>
                      <c:pt idx="3">
                        <c:v>PSF</c:v>
                      </c:pt>
                    </c:strCache>
                  </c:strRef>
                </c:cat>
                <c:val>
                  <c:numRef>
                    <c:extLst>
                      <c:ext uri="{02D57815-91ED-43cb-92C2-25804820EDAC}">
                        <c15:formulaRef>
                          <c15:sqref>'DATA consolidated-leasing'!$N$441:$Q$441</c15:sqref>
                        </c15:formulaRef>
                      </c:ext>
                    </c:extLst>
                    <c:numCache>
                      <c:formatCode>0.00</c:formatCode>
                      <c:ptCount val="4"/>
                      <c:pt idx="0">
                        <c:v>4.7949889243202461</c:v>
                      </c:pt>
                      <c:pt idx="1">
                        <c:v>5.5373867683237048</c:v>
                      </c:pt>
                      <c:pt idx="2">
                        <c:v>7.0476255322707662</c:v>
                      </c:pt>
                      <c:pt idx="3">
                        <c:v>7.1768302099812527</c:v>
                      </c:pt>
                    </c:numCache>
                  </c:numRef>
                </c:val>
                <c:extLst>
                  <c:ext xmlns:c16="http://schemas.microsoft.com/office/drawing/2014/chart" uri="{C3380CC4-5D6E-409C-BE32-E72D297353CC}">
                    <c16:uniqueId val="{00000000-DDC3-4C71-AECC-B71F2286FEA9}"/>
                  </c:ext>
                </c:extLst>
              </c15:ser>
            </c15:filteredBarSeries>
          </c:ext>
        </c:extLst>
      </c:barChart>
      <c:catAx>
        <c:axId val="148097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979951"/>
        <c:crosses val="autoZero"/>
        <c:auto val="1"/>
        <c:lblAlgn val="ctr"/>
        <c:lblOffset val="100"/>
        <c:noMultiLvlLbl val="0"/>
      </c:catAx>
      <c:valAx>
        <c:axId val="1480979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975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MR % Error - All Fund 2 &amp; 3 leasing since inception (75 Leases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consolidated-leasing'!$AI$4</c:f>
            </c:strRef>
          </c:tx>
          <c:spPr>
            <a:ln w="19050" cap="rnd">
              <a:noFill/>
              <a:round/>
            </a:ln>
            <a:effectLst/>
          </c:spPr>
          <c:marker>
            <c:symbol val="circle"/>
            <c:size val="5"/>
            <c:spPr>
              <a:solidFill>
                <a:schemeClr val="accent1"/>
              </a:solidFill>
              <a:ln w="9525">
                <a:solidFill>
                  <a:schemeClr val="accent1"/>
                </a:solidFill>
              </a:ln>
              <a:effectLst/>
            </c:spPr>
          </c:marker>
          <c:dPt>
            <c:idx val="13"/>
            <c:marker>
              <c:symbol val="circle"/>
              <c:size val="5"/>
              <c:spPr>
                <a:solidFill>
                  <a:schemeClr val="accent2"/>
                </a:solidFill>
                <a:ln w="9525">
                  <a:solidFill>
                    <a:schemeClr val="accent1"/>
                  </a:solidFill>
                </a:ln>
                <a:effectLst/>
              </c:spPr>
            </c:marker>
            <c:bubble3D val="0"/>
            <c:extLst>
              <c:ext xmlns:c16="http://schemas.microsoft.com/office/drawing/2014/chart" uri="{C3380CC4-5D6E-409C-BE32-E72D297353CC}">
                <c16:uniqueId val="{00000000-64D5-400E-A8E4-A19A2B6A0ACA}"/>
              </c:ext>
            </c:extLst>
          </c:dPt>
          <c:yVal>
            <c:numRef>
              <c:f>'DATA consolidated-leasing'!$AI$5:$AI$220</c:f>
            </c:numRef>
          </c:yVal>
          <c:smooth val="0"/>
          <c:extLst>
            <c:ext xmlns:c16="http://schemas.microsoft.com/office/drawing/2014/chart" uri="{C3380CC4-5D6E-409C-BE32-E72D297353CC}">
              <c16:uniqueId val="{00000000-D3CB-49D6-8111-7F451125D1A9}"/>
            </c:ext>
          </c:extLst>
        </c:ser>
        <c:dLbls>
          <c:showLegendKey val="0"/>
          <c:showVal val="0"/>
          <c:showCatName val="0"/>
          <c:showSerName val="0"/>
          <c:showPercent val="0"/>
          <c:showBubbleSize val="0"/>
        </c:dLbls>
        <c:axId val="63314288"/>
        <c:axId val="63309296"/>
      </c:scatterChart>
      <c:valAx>
        <c:axId val="633142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9296"/>
        <c:crosses val="autoZero"/>
        <c:crossBetween val="midCat"/>
      </c:valAx>
      <c:valAx>
        <c:axId val="63309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428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M2M % Error - </a:t>
            </a:r>
            <a:r>
              <a:rPr lang="en-US" sz="1400" b="0" i="0" u="none" strike="noStrike" baseline="0">
                <a:effectLst/>
              </a:rPr>
              <a:t>All Fund 2 &amp; 3 leasing since inception (75 Leases )</a:t>
            </a:r>
            <a:endParaRPr lang="en-US"/>
          </a:p>
        </c:rich>
      </c:tx>
      <c:layout>
        <c:manualLayout>
          <c:xMode val="edge"/>
          <c:yMode val="edge"/>
          <c:x val="0.15043611540392313"/>
          <c:y val="3.19936084759670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consolidated-leasing'!$AJ$4</c:f>
            </c:strRef>
          </c:tx>
          <c:spPr>
            <a:ln w="19050" cap="rnd">
              <a:noFill/>
              <a:round/>
            </a:ln>
            <a:effectLst/>
          </c:spPr>
          <c:marker>
            <c:symbol val="circle"/>
            <c:size val="5"/>
            <c:spPr>
              <a:solidFill>
                <a:schemeClr val="accent1"/>
              </a:solidFill>
              <a:ln w="9525">
                <a:solidFill>
                  <a:schemeClr val="accent1"/>
                </a:solidFill>
              </a:ln>
              <a:effectLst/>
            </c:spPr>
          </c:marker>
          <c:yVal>
            <c:numRef>
              <c:f>'DATA consolidated-leasing'!$AJ$5:$AJ$220</c:f>
            </c:numRef>
          </c:yVal>
          <c:smooth val="0"/>
          <c:extLst>
            <c:ext xmlns:c16="http://schemas.microsoft.com/office/drawing/2014/chart" uri="{C3380CC4-5D6E-409C-BE32-E72D297353CC}">
              <c16:uniqueId val="{00000000-3F91-4A65-AA53-322C5DF85233}"/>
            </c:ext>
          </c:extLst>
        </c:ser>
        <c:dLbls>
          <c:showLegendKey val="0"/>
          <c:showVal val="0"/>
          <c:showCatName val="0"/>
          <c:showSerName val="0"/>
          <c:showPercent val="0"/>
          <c:showBubbleSize val="0"/>
        </c:dLbls>
        <c:axId val="63337168"/>
        <c:axId val="63340912"/>
      </c:scatterChart>
      <c:valAx>
        <c:axId val="633371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0912"/>
        <c:crosses val="autoZero"/>
        <c:crossBetween val="midCat"/>
      </c:valAx>
      <c:valAx>
        <c:axId val="63340912"/>
        <c:scaling>
          <c:orientation val="minMax"/>
          <c:max val="1"/>
          <c:min val="-0.4"/>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7168"/>
        <c:crosses val="autoZero"/>
        <c:crossBetween val="midCat"/>
        <c:min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consolidated-leasing'!$AI$4</c:f>
            </c:strRef>
          </c:tx>
          <c:spPr>
            <a:ln w="19050" cap="rnd">
              <a:noFill/>
              <a:round/>
            </a:ln>
            <a:effectLst/>
          </c:spPr>
          <c:marker>
            <c:symbol val="circle"/>
            <c:size val="5"/>
            <c:spPr>
              <a:solidFill>
                <a:schemeClr val="accent1"/>
              </a:solidFill>
              <a:ln w="9525">
                <a:solidFill>
                  <a:schemeClr val="accent1"/>
                </a:solidFill>
              </a:ln>
              <a:effectLst/>
            </c:spPr>
          </c:marker>
          <c:yVal>
            <c:numRef>
              <c:f>'DATA consolidated-leasing'!$AI$203:$AI$220</c:f>
            </c:numRef>
          </c:yVal>
          <c:smooth val="0"/>
          <c:extLst>
            <c:ext xmlns:c16="http://schemas.microsoft.com/office/drawing/2014/chart" uri="{C3380CC4-5D6E-409C-BE32-E72D297353CC}">
              <c16:uniqueId val="{00000000-39FC-4C76-8F4C-BB3B65510C11}"/>
            </c:ext>
          </c:extLst>
        </c:ser>
        <c:dLbls>
          <c:showLegendKey val="0"/>
          <c:showVal val="0"/>
          <c:showCatName val="0"/>
          <c:showSerName val="0"/>
          <c:showPercent val="0"/>
          <c:showBubbleSize val="0"/>
        </c:dLbls>
        <c:axId val="906101711"/>
        <c:axId val="906109615"/>
      </c:scatterChart>
      <c:valAx>
        <c:axId val="90610171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109615"/>
        <c:crosses val="autoZero"/>
        <c:crossBetween val="midCat"/>
      </c:valAx>
      <c:valAx>
        <c:axId val="906109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1017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consolidated-leasing'!$AJ$4</c:f>
            </c:strRef>
          </c:tx>
          <c:spPr>
            <a:ln w="19050" cap="rnd">
              <a:noFill/>
              <a:round/>
            </a:ln>
            <a:effectLst/>
          </c:spPr>
          <c:marker>
            <c:symbol val="circle"/>
            <c:size val="5"/>
            <c:spPr>
              <a:solidFill>
                <a:schemeClr val="accent1"/>
              </a:solidFill>
              <a:ln w="9525">
                <a:solidFill>
                  <a:schemeClr val="accent1"/>
                </a:solidFill>
              </a:ln>
              <a:effectLst/>
            </c:spPr>
          </c:marker>
          <c:yVal>
            <c:numRef>
              <c:f>'DATA consolidated-leasing'!$AJ$203:$AJ$220</c:f>
            </c:numRef>
          </c:yVal>
          <c:smooth val="0"/>
          <c:extLst>
            <c:ext xmlns:c16="http://schemas.microsoft.com/office/drawing/2014/chart" uri="{C3380CC4-5D6E-409C-BE32-E72D297353CC}">
              <c16:uniqueId val="{00000000-F3D2-4F52-8902-C3FD65FF96ED}"/>
            </c:ext>
          </c:extLst>
        </c:ser>
        <c:dLbls>
          <c:showLegendKey val="0"/>
          <c:showVal val="0"/>
          <c:showCatName val="0"/>
          <c:showSerName val="0"/>
          <c:showPercent val="0"/>
          <c:showBubbleSize val="0"/>
        </c:dLbls>
        <c:axId val="643535455"/>
        <c:axId val="643533791"/>
      </c:scatterChart>
      <c:valAx>
        <c:axId val="64353545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33791"/>
        <c:crosses val="autoZero"/>
        <c:crossBetween val="midCat"/>
      </c:valAx>
      <c:valAx>
        <c:axId val="64353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35455"/>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MR % Error over</a:t>
            </a:r>
            <a:r>
              <a:rPr lang="en-US" baseline="0"/>
              <a:t> BP - All Fund 2 &amp; 3 leasing since inception (75 Leases)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consolidated-leasing'!$AP$4</c:f>
            </c:strRef>
          </c:tx>
          <c:spPr>
            <a:ln w="19050" cap="rnd">
              <a:noFill/>
              <a:round/>
            </a:ln>
            <a:effectLst/>
          </c:spPr>
          <c:marker>
            <c:symbol val="circle"/>
            <c:size val="5"/>
            <c:spPr>
              <a:solidFill>
                <a:schemeClr val="accent1"/>
              </a:solidFill>
              <a:ln w="9525">
                <a:solidFill>
                  <a:schemeClr val="accent1"/>
                </a:solidFill>
              </a:ln>
              <a:effectLst/>
            </c:spPr>
          </c:marker>
          <c:dPt>
            <c:idx val="13"/>
            <c:marker>
              <c:symbol val="circle"/>
              <c:size val="5"/>
              <c:spPr>
                <a:solidFill>
                  <a:schemeClr val="accent2"/>
                </a:solidFill>
                <a:ln w="9525">
                  <a:solidFill>
                    <a:schemeClr val="accent1"/>
                  </a:solidFill>
                </a:ln>
                <a:effectLst/>
              </c:spPr>
            </c:marker>
            <c:bubble3D val="0"/>
            <c:extLst>
              <c:ext xmlns:c16="http://schemas.microsoft.com/office/drawing/2014/chart" uri="{C3380CC4-5D6E-409C-BE32-E72D297353CC}">
                <c16:uniqueId val="{00000000-3C39-4F37-B53F-0FDBD6C115C7}"/>
              </c:ext>
            </c:extLst>
          </c:dPt>
          <c:yVal>
            <c:numRef>
              <c:f>'DATA consolidated-leasing'!$AP$5:$AP$220</c:f>
            </c:numRef>
          </c:yVal>
          <c:smooth val="0"/>
          <c:extLst>
            <c:ext xmlns:c16="http://schemas.microsoft.com/office/drawing/2014/chart" uri="{C3380CC4-5D6E-409C-BE32-E72D297353CC}">
              <c16:uniqueId val="{00000001-3C39-4F37-B53F-0FDBD6C115C7}"/>
            </c:ext>
          </c:extLst>
        </c:ser>
        <c:dLbls>
          <c:showLegendKey val="0"/>
          <c:showVal val="0"/>
          <c:showCatName val="0"/>
          <c:showSerName val="0"/>
          <c:showPercent val="0"/>
          <c:showBubbleSize val="0"/>
        </c:dLbls>
        <c:axId val="63314288"/>
        <c:axId val="63309296"/>
      </c:scatterChart>
      <c:valAx>
        <c:axId val="633142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9296"/>
        <c:crosses val="autoZero"/>
        <c:crossBetween val="midCat"/>
      </c:valAx>
      <c:valAx>
        <c:axId val="63309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428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M2M % Error over BP - </a:t>
            </a:r>
            <a:r>
              <a:rPr lang="en-US" sz="1400" b="0" i="0" u="none" strike="noStrike" baseline="0">
                <a:effectLst/>
              </a:rPr>
              <a:t>All Fund 2 &amp; 3 leasing since inception (75 Leases )</a:t>
            </a:r>
            <a:endParaRPr lang="en-US"/>
          </a:p>
        </c:rich>
      </c:tx>
      <c:layout>
        <c:manualLayout>
          <c:xMode val="edge"/>
          <c:yMode val="edge"/>
          <c:x val="0.15043611540392313"/>
          <c:y val="3.19936084759670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consolidated-leasing'!$AQ$4</c:f>
            </c:strRef>
          </c:tx>
          <c:spPr>
            <a:ln w="19050" cap="rnd">
              <a:noFill/>
              <a:round/>
            </a:ln>
            <a:effectLst/>
          </c:spPr>
          <c:marker>
            <c:symbol val="circle"/>
            <c:size val="5"/>
            <c:spPr>
              <a:solidFill>
                <a:schemeClr val="accent1"/>
              </a:solidFill>
              <a:ln w="9525">
                <a:solidFill>
                  <a:schemeClr val="accent1"/>
                </a:solidFill>
              </a:ln>
              <a:effectLst/>
            </c:spPr>
          </c:marker>
          <c:yVal>
            <c:numRef>
              <c:f>'DATA consolidated-leasing'!$AQ$5:$AQ$220</c:f>
            </c:numRef>
          </c:yVal>
          <c:smooth val="0"/>
          <c:extLst>
            <c:ext xmlns:c16="http://schemas.microsoft.com/office/drawing/2014/chart" uri="{C3380CC4-5D6E-409C-BE32-E72D297353CC}">
              <c16:uniqueId val="{00000000-F0E7-459F-9654-0B98757ABFA4}"/>
            </c:ext>
          </c:extLst>
        </c:ser>
        <c:dLbls>
          <c:showLegendKey val="0"/>
          <c:showVal val="0"/>
          <c:showCatName val="0"/>
          <c:showSerName val="0"/>
          <c:showPercent val="0"/>
          <c:showBubbleSize val="0"/>
        </c:dLbls>
        <c:axId val="63337168"/>
        <c:axId val="63340912"/>
      </c:scatterChart>
      <c:valAx>
        <c:axId val="633371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0912"/>
        <c:crosses val="autoZero"/>
        <c:crossBetween val="midCat"/>
      </c:valAx>
      <c:valAx>
        <c:axId val="63340912"/>
        <c:scaling>
          <c:orientation val="minMax"/>
          <c:max val="1"/>
          <c:min val="-0.4"/>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7168"/>
        <c:crosses val="autoZero"/>
        <c:crossBetween val="midCat"/>
        <c:min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consolidated-leasing'!$AP$4</c:f>
            </c:strRef>
          </c:tx>
          <c:spPr>
            <a:ln w="19050" cap="rnd">
              <a:noFill/>
              <a:round/>
            </a:ln>
            <a:effectLst/>
          </c:spPr>
          <c:marker>
            <c:symbol val="circle"/>
            <c:size val="5"/>
            <c:spPr>
              <a:solidFill>
                <a:schemeClr val="accent1"/>
              </a:solidFill>
              <a:ln w="9525">
                <a:solidFill>
                  <a:schemeClr val="accent1"/>
                </a:solidFill>
              </a:ln>
              <a:effectLst/>
            </c:spPr>
          </c:marker>
          <c:yVal>
            <c:numRef>
              <c:f>'DATA consolidated-leasing'!$AP$203:$AP$220</c:f>
            </c:numRef>
          </c:yVal>
          <c:smooth val="0"/>
          <c:extLst>
            <c:ext xmlns:c16="http://schemas.microsoft.com/office/drawing/2014/chart" uri="{C3380CC4-5D6E-409C-BE32-E72D297353CC}">
              <c16:uniqueId val="{00000000-3076-42AA-837A-ADFAE83C5AF2}"/>
            </c:ext>
          </c:extLst>
        </c:ser>
        <c:dLbls>
          <c:showLegendKey val="0"/>
          <c:showVal val="0"/>
          <c:showCatName val="0"/>
          <c:showSerName val="0"/>
          <c:showPercent val="0"/>
          <c:showBubbleSize val="0"/>
        </c:dLbls>
        <c:axId val="906101711"/>
        <c:axId val="906109615"/>
      </c:scatterChart>
      <c:valAx>
        <c:axId val="90610171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109615"/>
        <c:crosses val="autoZero"/>
        <c:crossBetween val="midCat"/>
      </c:valAx>
      <c:valAx>
        <c:axId val="906109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1017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r>
              <a:rPr lang="en-US" sz="1200" b="1" i="0" u="none" strike="noStrike" kern="1200" spc="0" baseline="0" dirty="0">
                <a:solidFill>
                  <a:sysClr val="windowText" lastClr="000000">
                    <a:lumMod val="65000"/>
                    <a:lumOff val="35000"/>
                  </a:sysClr>
                </a:solidFill>
                <a:latin typeface="Gilroy" pitchFamily="2" charset="77"/>
              </a:rPr>
              <a:t>Annual Rent Escalations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3877-4964-9A8A-072965776BA3}"/>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3877-4964-9A8A-072965776BA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 Charts'!$I$48:$J$48</c:f>
              <c:strCache>
                <c:ptCount val="2"/>
                <c:pt idx="0">
                  <c:v>Business Plan</c:v>
                </c:pt>
                <c:pt idx="1">
                  <c:v>Actual</c:v>
                </c:pt>
              </c:strCache>
            </c:strRef>
          </c:cat>
          <c:val>
            <c:numRef>
              <c:f>'IR Charts'!$I$50:$J$50</c:f>
              <c:numCache>
                <c:formatCode>0.00%</c:formatCode>
                <c:ptCount val="2"/>
                <c:pt idx="0">
                  <c:v>3.7434318893098333E-2</c:v>
                </c:pt>
                <c:pt idx="1">
                  <c:v>3.4523045320323534E-2</c:v>
                </c:pt>
              </c:numCache>
            </c:numRef>
          </c:val>
          <c:extLst>
            <c:ext xmlns:c16="http://schemas.microsoft.com/office/drawing/2014/chart" uri="{C3380CC4-5D6E-409C-BE32-E72D297353CC}">
              <c16:uniqueId val="{00000004-3877-4964-9A8A-072965776BA3}"/>
            </c:ext>
          </c:extLst>
        </c:ser>
        <c:dLbls>
          <c:dLblPos val="outEnd"/>
          <c:showLegendKey val="0"/>
          <c:showVal val="1"/>
          <c:showCatName val="0"/>
          <c:showSerName val="0"/>
          <c:showPercent val="0"/>
          <c:showBubbleSize val="0"/>
        </c:dLbls>
        <c:gapWidth val="50"/>
        <c:overlap val="-27"/>
        <c:axId val="1125429952"/>
        <c:axId val="1125414000"/>
      </c:barChart>
      <c:catAx>
        <c:axId val="112542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ilroy" pitchFamily="2" charset="77"/>
                <a:ea typeface="+mn-ea"/>
                <a:cs typeface="+mn-cs"/>
              </a:defRPr>
            </a:pPr>
            <a:endParaRPr lang="en-US"/>
          </a:p>
        </c:txPr>
        <c:crossAx val="1125414000"/>
        <c:crosses val="autoZero"/>
        <c:auto val="1"/>
        <c:lblAlgn val="ctr"/>
        <c:lblOffset val="100"/>
        <c:noMultiLvlLbl val="0"/>
      </c:catAx>
      <c:valAx>
        <c:axId val="1125414000"/>
        <c:scaling>
          <c:orientation val="minMax"/>
          <c:min val="2.5000000000000001E-2"/>
        </c:scaling>
        <c:delete val="0"/>
        <c:axPos val="l"/>
        <c:majorGridlines>
          <c:spPr>
            <a:ln w="9525" cap="flat" cmpd="sng" algn="ctr">
              <a:solidFill>
                <a:schemeClr val="tx1">
                  <a:lumMod val="15000"/>
                  <a:lumOff val="85000"/>
                </a:schemeClr>
              </a:soli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roy" pitchFamily="2" charset="77"/>
                <a:ea typeface="+mn-ea"/>
                <a:cs typeface="+mn-cs"/>
              </a:defRPr>
            </a:pPr>
            <a:endParaRPr lang="en-US"/>
          </a:p>
        </c:txPr>
        <c:crossAx val="112542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consolidated-leasing'!$AQ$4</c:f>
            </c:strRef>
          </c:tx>
          <c:spPr>
            <a:ln w="19050" cap="rnd">
              <a:noFill/>
              <a:round/>
            </a:ln>
            <a:effectLst/>
          </c:spPr>
          <c:marker>
            <c:symbol val="circle"/>
            <c:size val="5"/>
            <c:spPr>
              <a:solidFill>
                <a:schemeClr val="accent1"/>
              </a:solidFill>
              <a:ln w="9525">
                <a:solidFill>
                  <a:schemeClr val="accent1"/>
                </a:solidFill>
              </a:ln>
              <a:effectLst/>
            </c:spPr>
          </c:marker>
          <c:yVal>
            <c:numRef>
              <c:f>'DATA consolidated-leasing'!$AQ$203:$AQ$220</c:f>
            </c:numRef>
          </c:yVal>
          <c:smooth val="0"/>
          <c:extLst>
            <c:ext xmlns:c16="http://schemas.microsoft.com/office/drawing/2014/chart" uri="{C3380CC4-5D6E-409C-BE32-E72D297353CC}">
              <c16:uniqueId val="{00000000-A5CE-48EE-BA0C-8A8AD8591BCA}"/>
            </c:ext>
          </c:extLst>
        </c:ser>
        <c:dLbls>
          <c:showLegendKey val="0"/>
          <c:showVal val="0"/>
          <c:showCatName val="0"/>
          <c:showSerName val="0"/>
          <c:showPercent val="0"/>
          <c:showBubbleSize val="0"/>
        </c:dLbls>
        <c:axId val="643535455"/>
        <c:axId val="643533791"/>
      </c:scatterChart>
      <c:valAx>
        <c:axId val="64353545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33791"/>
        <c:crosses val="autoZero"/>
        <c:crossBetween val="midCat"/>
      </c:valAx>
      <c:valAx>
        <c:axId val="64353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35455"/>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PSF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consolidated-leasing'!$N$223:$Q$223</c15:sqref>
                  </c15:fullRef>
                </c:ext>
              </c:extLst>
              <c:f>('DATA consolidated-leasing'!$N$223:$O$223,'DATA consolidated-leasing'!$Q$223)</c:f>
              <c:strCache>
                <c:ptCount val="3"/>
                <c:pt idx="0">
                  <c:v>Prior Lease PSF</c:v>
                </c:pt>
                <c:pt idx="1">
                  <c:v>PSF (BP)</c:v>
                </c:pt>
                <c:pt idx="2">
                  <c:v>Current PSF</c:v>
                </c:pt>
              </c:strCache>
            </c:strRef>
          </c:cat>
          <c:val>
            <c:numRef>
              <c:extLst>
                <c:ext xmlns:c15="http://schemas.microsoft.com/office/drawing/2012/chart" uri="{02D57815-91ED-43cb-92C2-25804820EDAC}">
                  <c15:fullRef>
                    <c15:sqref>'DATA consolidated-leasing'!$N$239:$Q$239</c15:sqref>
                  </c15:fullRef>
                </c:ext>
              </c:extLst>
              <c:f>('DATA consolidated-leasing'!$N$239:$O$239,'DATA consolidated-leasing'!$Q$239)</c:f>
              <c:numCache>
                <c:formatCode>0.00</c:formatCode>
                <c:ptCount val="3"/>
                <c:pt idx="0">
                  <c:v>5.821168376124767</c:v>
                </c:pt>
                <c:pt idx="1">
                  <c:v>7.0706237364020801</c:v>
                </c:pt>
                <c:pt idx="2">
                  <c:v>7.9379219292612655</c:v>
                </c:pt>
              </c:numCache>
            </c:numRef>
          </c:val>
          <c:extLst>
            <c:ext xmlns:c16="http://schemas.microsoft.com/office/drawing/2014/chart" uri="{C3380CC4-5D6E-409C-BE32-E72D297353CC}">
              <c16:uniqueId val="{00000000-A3AD-4B60-9BE8-8E02CFCC8602}"/>
            </c:ext>
          </c:extLst>
        </c:ser>
        <c:dLbls>
          <c:dLblPos val="outEnd"/>
          <c:showLegendKey val="0"/>
          <c:showVal val="1"/>
          <c:showCatName val="0"/>
          <c:showSerName val="0"/>
          <c:showPercent val="0"/>
          <c:showBubbleSize val="0"/>
        </c:dLbls>
        <c:gapWidth val="219"/>
        <c:overlap val="-27"/>
        <c:axId val="366872639"/>
        <c:axId val="520126512"/>
      </c:barChart>
      <c:catAx>
        <c:axId val="3668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26512"/>
        <c:crosses val="autoZero"/>
        <c:auto val="1"/>
        <c:lblAlgn val="ctr"/>
        <c:lblOffset val="100"/>
        <c:noMultiLvlLbl val="0"/>
      </c:catAx>
      <c:valAx>
        <c:axId val="52012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2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New Leases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consolidated-leasing'!$V$223:$W$223</c:f>
              <c:strCache>
                <c:ptCount val="2"/>
                <c:pt idx="0">
                  <c:v>DT</c:v>
                </c:pt>
                <c:pt idx="1">
                  <c:v>DT (BP)</c:v>
                </c:pt>
              </c:strCache>
            </c:strRef>
          </c:cat>
          <c:val>
            <c:numRef>
              <c:f>'DATA consolidated-leasing'!$V$346:$W$346</c:f>
              <c:numCache>
                <c:formatCode>0.00</c:formatCode>
                <c:ptCount val="2"/>
                <c:pt idx="0">
                  <c:v>4.1293329222965376</c:v>
                </c:pt>
                <c:pt idx="1">
                  <c:v>6.1327876190499078</c:v>
                </c:pt>
              </c:numCache>
            </c:numRef>
          </c:val>
          <c:extLst>
            <c:ext xmlns:c16="http://schemas.microsoft.com/office/drawing/2014/chart" uri="{C3380CC4-5D6E-409C-BE32-E72D297353CC}">
              <c16:uniqueId val="{00000001-1C5C-4DCB-9F33-2EB724A90C0E}"/>
            </c:ext>
          </c:extLst>
        </c:ser>
        <c:dLbls>
          <c:dLblPos val="outEnd"/>
          <c:showLegendKey val="0"/>
          <c:showVal val="1"/>
          <c:showCatName val="0"/>
          <c:showSerName val="0"/>
          <c:showPercent val="0"/>
          <c:showBubbleSize val="0"/>
        </c:dLbls>
        <c:gapWidth val="219"/>
        <c:overlap val="-27"/>
        <c:axId val="1572786848"/>
        <c:axId val="517480688"/>
        <c:extLst>
          <c:ext xmlns:c15="http://schemas.microsoft.com/office/drawing/2012/chart" uri="{02D57815-91ED-43cb-92C2-25804820EDAC}">
            <c15:filteredBarSeries>
              <c15: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'DATA consolidated-leasing'!$V$223:$W$223</c15:sqref>
                        </c15:formulaRef>
                      </c:ext>
                    </c:extLst>
                    <c:strCache>
                      <c:ptCount val="2"/>
                      <c:pt idx="0">
                        <c:v>DT</c:v>
                      </c:pt>
                      <c:pt idx="1">
                        <c:v>DT (BP)</c:v>
                      </c:pt>
                    </c:strCache>
                  </c:strRef>
                </c:cat>
                <c:val>
                  <c:numRef>
                    <c:extLst>
                      <c:ext uri="{02D57815-91ED-43cb-92C2-25804820EDAC}">
                        <c15:formulaRef>
                          <c15:sqref>'DATA consolidated-leasing'!$V$239:$W$239</c15:sqref>
                        </c15:formulaRef>
                      </c:ext>
                    </c:extLst>
                    <c:numCache>
                      <c:formatCode>0.00</c:formatCode>
                      <c:ptCount val="2"/>
                      <c:pt idx="0">
                        <c:v>4.1293329222965376</c:v>
                      </c:pt>
                      <c:pt idx="1">
                        <c:v>6.1327876190499078</c:v>
                      </c:pt>
                    </c:numCache>
                  </c:numRef>
                </c:val>
                <c:extLst>
                  <c:ext xmlns:c16="http://schemas.microsoft.com/office/drawing/2014/chart" uri="{C3380CC4-5D6E-409C-BE32-E72D297353CC}">
                    <c16:uniqueId val="{00000000-1C5C-4DCB-9F33-2EB724A90C0E}"/>
                  </c:ext>
                </c:extLst>
              </c15:ser>
            </c15:filteredBarSeries>
            <c15:filteredBarSeries>
              <c15:ser>
                <c:idx val="2"/>
                <c:order val="2"/>
                <c:tx>
                  <c:v>Renewals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'DATA consolidated-leasing'!$V$223:$W$223</c15:sqref>
                        </c15:formulaRef>
                      </c:ext>
                    </c:extLst>
                    <c:strCache>
                      <c:ptCount val="2"/>
                      <c:pt idx="0">
                        <c:v>DT</c:v>
                      </c:pt>
                      <c:pt idx="1">
                        <c:v>DT (BP)</c:v>
                      </c:pt>
                    </c:strCache>
                  </c:strRef>
                </c:cat>
                <c:val>
                  <c:numRef>
                    <c:extLst xmlns:c15="http://schemas.microsoft.com/office/drawing/2012/chart">
                      <c:ext xmlns:c15="http://schemas.microsoft.com/office/drawing/2012/chart" uri="{02D57815-91ED-43cb-92C2-25804820EDAC}">
                        <c15:formulaRef>
                          <c15:sqref>'DATA consolidated-leasing'!$V$366:$W$366</c15:sqref>
                        </c15:formulaRef>
                      </c:ext>
                    </c:extLst>
                    <c:numCache>
                      <c:formatCode>0.00</c:formatCode>
                      <c:ptCount val="2"/>
                      <c:pt idx="0">
                        <c:v>0</c:v>
                      </c:pt>
                      <c:pt idx="1">
                        <c:v>0.51470169466321003</c:v>
                      </c:pt>
                    </c:numCache>
                  </c:numRef>
                </c:val>
                <c:extLst xmlns:c15="http://schemas.microsoft.com/office/drawing/2012/chart">
                  <c:ext xmlns:c16="http://schemas.microsoft.com/office/drawing/2014/chart" uri="{C3380CC4-5D6E-409C-BE32-E72D297353CC}">
                    <c16:uniqueId val="{00000002-1C5C-4DCB-9F33-2EB724A90C0E}"/>
                  </c:ext>
                </c:extLst>
              </c15:ser>
            </c15:filteredBarSeries>
          </c:ext>
        </c:extLst>
      </c:barChart>
      <c:catAx>
        <c:axId val="157278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480688"/>
        <c:crosses val="autoZero"/>
        <c:auto val="1"/>
        <c:lblAlgn val="ctr"/>
        <c:lblOffset val="100"/>
        <c:noMultiLvlLbl val="0"/>
      </c:catAx>
      <c:valAx>
        <c:axId val="517480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78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dLblPos val="outEnd"/>
          <c:showLegendKey val="0"/>
          <c:showVal val="1"/>
          <c:showCatName val="0"/>
          <c:showSerName val="0"/>
          <c:showPercent val="0"/>
          <c:showBubbleSize val="0"/>
        </c:dLbls>
        <c:gapWidth val="219"/>
        <c:overlap val="-27"/>
        <c:axId val="790193023"/>
        <c:axId val="790194271"/>
        <c:extLst>
          <c:ext xmlns:c15="http://schemas.microsoft.com/office/drawing/2012/chart" uri="{02D57815-91ED-43cb-92C2-25804820EDAC}">
            <c15:filteredBarSeries>
              <c15: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'DATA consolidated-leasing'!$R$369:$W$369</c15:sqref>
                        </c15:formulaRef>
                      </c:ext>
                    </c:extLst>
                    <c:strCache>
                      <c:ptCount val="6"/>
                      <c:pt idx="0">
                        <c:v>Escalations (in %)</c:v>
                      </c:pt>
                      <c:pt idx="1">
                        <c:v>Escalations BP (in %)</c:v>
                      </c:pt>
                      <c:pt idx="2">
                        <c:v>CTV (in %)</c:v>
                      </c:pt>
                      <c:pt idx="3">
                        <c:v>CTV BP (in %)</c:v>
                      </c:pt>
                      <c:pt idx="4">
                        <c:v>DT</c:v>
                      </c:pt>
                      <c:pt idx="5">
                        <c:v>DT (BP)</c:v>
                      </c:pt>
                    </c:strCache>
                  </c:strRef>
                </c:cat>
                <c:val>
                  <c:numRef>
                    <c:extLst>
                      <c:ext uri="{02D57815-91ED-43cb-92C2-25804820EDAC}">
                        <c15:formulaRef>
                          <c15:sqref>'DATA consolidated-leasing'!$R$385:$W$385</c15:sqref>
                        </c15:formulaRef>
                      </c:ext>
                    </c:extLst>
                    <c:numCache>
                      <c:formatCode>0.00</c:formatCode>
                      <c:ptCount val="6"/>
                      <c:pt idx="0">
                        <c:v>3.6096179553929506</c:v>
                      </c:pt>
                      <c:pt idx="1">
                        <c:v>3.2553641558441559</c:v>
                      </c:pt>
                      <c:pt idx="2">
                        <c:v>0</c:v>
                      </c:pt>
                      <c:pt idx="3">
                        <c:v>0</c:v>
                      </c:pt>
                      <c:pt idx="4">
                        <c:v>11.925131451790865</c:v>
                      </c:pt>
                      <c:pt idx="5">
                        <c:v>7.5598666839145618</c:v>
                      </c:pt>
                    </c:numCache>
                  </c:numRef>
                </c:val>
                <c:extLst>
                  <c:ext xmlns:c16="http://schemas.microsoft.com/office/drawing/2014/chart" uri="{C3380CC4-5D6E-409C-BE32-E72D297353CC}">
                    <c16:uniqueId val="{00000000-ACEE-4D75-9863-895EA594FA91}"/>
                  </c:ext>
                </c:extLst>
              </c15:ser>
            </c15:filteredBarSeries>
            <c15:filteredBarSeries>
              <c15:ser>
                <c:idx val="1"/>
                <c:order val="1"/>
                <c:tx>
                  <c:v>New Leases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'DATA consolidated-leasing'!$R$369:$W$369</c15:sqref>
                        </c15:formulaRef>
                      </c:ext>
                    </c:extLst>
                    <c:strCache>
                      <c:ptCount val="6"/>
                      <c:pt idx="0">
                        <c:v>Escalations (in %)</c:v>
                      </c:pt>
                      <c:pt idx="1">
                        <c:v>Escalations BP (in %)</c:v>
                      </c:pt>
                      <c:pt idx="2">
                        <c:v>CTV (in %)</c:v>
                      </c:pt>
                      <c:pt idx="3">
                        <c:v>CTV BP (in %)</c:v>
                      </c:pt>
                      <c:pt idx="4">
                        <c:v>DT</c:v>
                      </c:pt>
                      <c:pt idx="5">
                        <c:v>DT (BP)</c:v>
                      </c:pt>
                    </c:strCache>
                  </c:strRef>
                </c:cat>
                <c:val>
                  <c:numRef>
                    <c:extLst xmlns:c15="http://schemas.microsoft.com/office/drawing/2012/chart">
                      <c:ext xmlns:c15="http://schemas.microsoft.com/office/drawing/2012/chart" uri="{02D57815-91ED-43cb-92C2-25804820EDAC}">
                        <c15:formulaRef>
                          <c15:sqref>'DATA consolidated-leasing'!$R$404:$W$404</c15:sqref>
                        </c15:formulaRef>
                      </c:ext>
                    </c:extLst>
                    <c:numCache>
                      <c:formatCode>0.00</c:formatCode>
                      <c:ptCount val="6"/>
                      <c:pt idx="0">
                        <c:v>3.776843939520762</c:v>
                      </c:pt>
                      <c:pt idx="1">
                        <c:v>3.2106843102490545</c:v>
                      </c:pt>
                      <c:pt idx="2">
                        <c:v>0</c:v>
                      </c:pt>
                      <c:pt idx="3">
                        <c:v>0</c:v>
                      </c:pt>
                      <c:pt idx="4">
                        <c:v>11.925131451790865</c:v>
                      </c:pt>
                      <c:pt idx="5">
                        <c:v>7.5598666839145618</c:v>
                      </c:pt>
                    </c:numCache>
                  </c:numRef>
                </c:val>
                <c:extLst xmlns:c15="http://schemas.microsoft.com/office/drawing/2012/chart">
                  <c:ext xmlns:c16="http://schemas.microsoft.com/office/drawing/2014/chart" uri="{C3380CC4-5D6E-409C-BE32-E72D297353CC}">
                    <c16:uniqueId val="{00000001-ACEE-4D75-9863-895EA594FA91}"/>
                  </c:ext>
                </c:extLst>
              </c15:ser>
            </c15:filteredBarSeries>
            <c15:filteredBarSeries>
              <c15:ser>
                <c:idx val="2"/>
                <c:order val="2"/>
                <c:tx>
                  <c:v>Renewals</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'DATA consolidated-leasing'!$R$369:$W$369</c15:sqref>
                        </c15:formulaRef>
                      </c:ext>
                    </c:extLst>
                    <c:strCache>
                      <c:ptCount val="6"/>
                      <c:pt idx="0">
                        <c:v>Escalations (in %)</c:v>
                      </c:pt>
                      <c:pt idx="1">
                        <c:v>Escalations BP (in %)</c:v>
                      </c:pt>
                      <c:pt idx="2">
                        <c:v>CTV (in %)</c:v>
                      </c:pt>
                      <c:pt idx="3">
                        <c:v>CTV BP (in %)</c:v>
                      </c:pt>
                      <c:pt idx="4">
                        <c:v>DT</c:v>
                      </c:pt>
                      <c:pt idx="5">
                        <c:v>DT (BP)</c:v>
                      </c:pt>
                    </c:strCache>
                  </c:strRef>
                </c:cat>
                <c:val>
                  <c:numRef>
                    <c:extLst xmlns:c15="http://schemas.microsoft.com/office/drawing/2012/chart">
                      <c:ext xmlns:c15="http://schemas.microsoft.com/office/drawing/2012/chart" uri="{02D57815-91ED-43cb-92C2-25804820EDAC}">
                        <c15:formulaRef>
                          <c15:sqref>'DATA consolidated-leasing'!$R$423:$W$423</c15:sqref>
                        </c15:formulaRef>
                      </c:ext>
                    </c:extLst>
                    <c:numCache>
                      <c:formatCode>0.00</c:formatCode>
                      <c:ptCount val="6"/>
                      <c:pt idx="0">
                        <c:v>3.7689526145332199</c:v>
                      </c:pt>
                      <c:pt idx="1">
                        <c:v>3.2721484251056934</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ACEE-4D75-9863-895EA594FA91}"/>
                  </c:ext>
                </c:extLst>
              </c15:ser>
            </c15:filteredBarSeries>
          </c:ext>
        </c:extLst>
      </c:barChart>
      <c:catAx>
        <c:axId val="79019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4271"/>
        <c:crosses val="autoZero"/>
        <c:auto val="1"/>
        <c:lblAlgn val="ctr"/>
        <c:lblOffset val="100"/>
        <c:noMultiLvlLbl val="0"/>
      </c:catAx>
      <c:valAx>
        <c:axId val="79019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3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Leasing Spread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Fund 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consolidated-leasing'!$X$369:$Z$369</c:f>
              <c:strCache>
                <c:ptCount val="3"/>
                <c:pt idx="0">
                  <c:v>Rent Increase over Prior Leases</c:v>
                </c:pt>
                <c:pt idx="2">
                  <c:v>Rent Increase over BP</c:v>
                </c:pt>
              </c:strCache>
              <c:extLst xmlns:c15="http://schemas.microsoft.com/office/drawing/2012/chart"/>
            </c:strRef>
          </c:cat>
          <c:val>
            <c:numRef>
              <c:f>'DATA consolidated-leasing'!$X$441:$Z$441</c:f>
              <c:numCache>
                <c:formatCode>0%</c:formatCode>
                <c:ptCount val="3"/>
                <c:pt idx="0">
                  <c:v>0.38288319113658575</c:v>
                </c:pt>
                <c:pt idx="2">
                  <c:v>0.29606807511367772</c:v>
                </c:pt>
              </c:numCache>
              <c:extLst xmlns:c15="http://schemas.microsoft.com/office/drawing/2012/chart"/>
            </c:numRef>
          </c:val>
          <c:extLst xmlns:c15="http://schemas.microsoft.com/office/drawing/2012/chart">
            <c:ext xmlns:c16="http://schemas.microsoft.com/office/drawing/2014/chart" uri="{C3380CC4-5D6E-409C-BE32-E72D297353CC}">
              <c16:uniqueId val="{00000001-25BE-4B73-A862-9D8F430A1E6D}"/>
            </c:ext>
          </c:extLst>
        </c:ser>
        <c:ser>
          <c:idx val="2"/>
          <c:order val="2"/>
          <c:tx>
            <c:v>Fund 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consolidated-leasing'!$X$369:$Z$369</c:f>
              <c:strCache>
                <c:ptCount val="3"/>
                <c:pt idx="0">
                  <c:v>Rent Increase over Prior Leases</c:v>
                </c:pt>
                <c:pt idx="2">
                  <c:v>Rent Increase over BP</c:v>
                </c:pt>
              </c:strCache>
              <c:extLst xmlns:c15="http://schemas.microsoft.com/office/drawing/2012/chart"/>
            </c:strRef>
          </c:cat>
          <c:val>
            <c:numRef>
              <c:f>'DATA consolidated-leasing'!$X$460:$Z$460</c:f>
              <c:numCache>
                <c:formatCode>0%</c:formatCode>
                <c:ptCount val="3"/>
                <c:pt idx="0">
                  <c:v>0.45015136583543947</c:v>
                </c:pt>
                <c:pt idx="2">
                  <c:v>3.8569759124427838E-2</c:v>
                </c:pt>
              </c:numCache>
              <c:extLst xmlns:c15="http://schemas.microsoft.com/office/drawing/2012/chart"/>
            </c:numRef>
          </c:val>
          <c:extLst xmlns:c15="http://schemas.microsoft.com/office/drawing/2012/chart">
            <c:ext xmlns:c16="http://schemas.microsoft.com/office/drawing/2014/chart" uri="{C3380CC4-5D6E-409C-BE32-E72D297353CC}">
              <c16:uniqueId val="{00000002-25BE-4B73-A862-9D8F430A1E6D}"/>
            </c:ext>
          </c:extLst>
        </c:ser>
        <c:dLbls>
          <c:dLblPos val="outEnd"/>
          <c:showLegendKey val="0"/>
          <c:showVal val="1"/>
          <c:showCatName val="0"/>
          <c:showSerName val="0"/>
          <c:showPercent val="0"/>
          <c:showBubbleSize val="0"/>
        </c:dLbls>
        <c:gapWidth val="219"/>
        <c:overlap val="-27"/>
        <c:axId val="994795199"/>
        <c:axId val="994806431"/>
        <c:extLst>
          <c:ext xmlns:c15="http://schemas.microsoft.com/office/drawing/2012/chart" uri="{02D57815-91ED-43cb-92C2-25804820EDAC}">
            <c15:filteredBarSeries>
              <c15: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'DATA consolidated-leasing'!$X$369:$Z$369</c15:sqref>
                        </c15:formulaRef>
                      </c:ext>
                    </c:extLst>
                    <c:strCache>
                      <c:ptCount val="3"/>
                      <c:pt idx="0">
                        <c:v>Rent Increase over Prior Leases</c:v>
                      </c:pt>
                      <c:pt idx="2">
                        <c:v>Rent Increase over BP</c:v>
                      </c:pt>
                    </c:strCache>
                  </c:strRef>
                </c:cat>
                <c:val>
                  <c:numRef>
                    <c:extLst>
                      <c:ext uri="{02D57815-91ED-43cb-92C2-25804820EDAC}">
                        <c15:formulaRef>
                          <c15:sqref>'DATA consolidated-leasing'!$X$385:$Z$385</c15:sqref>
                        </c15:formulaRef>
                      </c:ext>
                    </c:extLst>
                    <c:numCache>
                      <c:formatCode>0%</c:formatCode>
                      <c:ptCount val="3"/>
                      <c:pt idx="0">
                        <c:v>0.41734626563404853</c:v>
                      </c:pt>
                      <c:pt idx="2">
                        <c:v>0.15982544581997504</c:v>
                      </c:pt>
                    </c:numCache>
                  </c:numRef>
                </c:val>
                <c:extLst>
                  <c:ext xmlns:c16="http://schemas.microsoft.com/office/drawing/2014/chart" uri="{C3380CC4-5D6E-409C-BE32-E72D297353CC}">
                    <c16:uniqueId val="{00000000-25BE-4B73-A862-9D8F430A1E6D}"/>
                  </c:ext>
                </c:extLst>
              </c15:ser>
            </c15:filteredBarSeries>
          </c:ext>
        </c:extLst>
      </c:barChart>
      <c:catAx>
        <c:axId val="99479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06431"/>
        <c:crosses val="autoZero"/>
        <c:auto val="1"/>
        <c:lblAlgn val="ctr"/>
        <c:lblOffset val="100"/>
        <c:noMultiLvlLbl val="0"/>
      </c:catAx>
      <c:valAx>
        <c:axId val="994806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95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Escalations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consolidated-leasing'!$R$369:$W$369</c:f>
              <c:strCache>
                <c:ptCount val="6"/>
                <c:pt idx="0">
                  <c:v>Escalations (in %)</c:v>
                </c:pt>
                <c:pt idx="1">
                  <c:v>Escalations BP (in %)</c:v>
                </c:pt>
                <c:pt idx="2">
                  <c:v>CTV (in %)</c:v>
                </c:pt>
                <c:pt idx="3">
                  <c:v>CTV BP (in %)</c:v>
                </c:pt>
                <c:pt idx="4">
                  <c:v>DT</c:v>
                </c:pt>
                <c:pt idx="5">
                  <c:v>DT (BP)</c:v>
                </c:pt>
              </c:strCache>
            </c:strRef>
          </c:cat>
          <c:val>
            <c:numRef>
              <c:f>'DATA consolidated-leasing'!$R$385:$W$385</c:f>
              <c:numCache>
                <c:formatCode>0.00</c:formatCode>
                <c:ptCount val="6"/>
                <c:pt idx="0">
                  <c:v>3.6096179553929506</c:v>
                </c:pt>
                <c:pt idx="1">
                  <c:v>3.2553641558441559</c:v>
                </c:pt>
                <c:pt idx="2">
                  <c:v>0</c:v>
                </c:pt>
                <c:pt idx="3">
                  <c:v>0</c:v>
                </c:pt>
                <c:pt idx="4">
                  <c:v>11.925131451790865</c:v>
                </c:pt>
                <c:pt idx="5">
                  <c:v>7.5598666839145618</c:v>
                </c:pt>
              </c:numCache>
            </c:numRef>
          </c:val>
          <c:extLst>
            <c:ext xmlns:c16="http://schemas.microsoft.com/office/drawing/2014/chart" uri="{C3380CC4-5D6E-409C-BE32-E72D297353CC}">
              <c16:uniqueId val="{00000000-9958-4A82-A0E1-5BA0FE807F87}"/>
            </c:ext>
          </c:extLst>
        </c:ser>
        <c:ser>
          <c:idx val="1"/>
          <c:order val="1"/>
          <c:tx>
            <c:v>Fund 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consolidated-leasing'!$R$369:$W$369</c:f>
              <c:strCache>
                <c:ptCount val="6"/>
                <c:pt idx="0">
                  <c:v>Escalations (in %)</c:v>
                </c:pt>
                <c:pt idx="1">
                  <c:v>Escalations BP (in %)</c:v>
                </c:pt>
                <c:pt idx="2">
                  <c:v>CTV (in %)</c:v>
                </c:pt>
                <c:pt idx="3">
                  <c:v>CTV BP (in %)</c:v>
                </c:pt>
                <c:pt idx="4">
                  <c:v>DT</c:v>
                </c:pt>
                <c:pt idx="5">
                  <c:v>DT (BP)</c:v>
                </c:pt>
              </c:strCache>
              <c:extLst xmlns:c15="http://schemas.microsoft.com/office/drawing/2012/chart"/>
            </c:strRef>
          </c:cat>
          <c:val>
            <c:numRef>
              <c:f>'DATA consolidated-leasing'!$R$441:$W$441</c:f>
              <c:numCache>
                <c:formatCode>0.00</c:formatCode>
                <c:ptCount val="6"/>
                <c:pt idx="0">
                  <c:v>3.8870836788882772</c:v>
                </c:pt>
                <c:pt idx="1">
                  <c:v>2.924962889141328</c:v>
                </c:pt>
                <c:pt idx="2">
                  <c:v>0</c:v>
                </c:pt>
                <c:pt idx="3">
                  <c:v>0</c:v>
                </c:pt>
                <c:pt idx="4">
                  <c:v>11.682805298844196</c:v>
                </c:pt>
                <c:pt idx="5">
                  <c:v>7.7773206572883238</c:v>
                </c:pt>
              </c:numCache>
              <c:extLst xmlns:c15="http://schemas.microsoft.com/office/drawing/2012/chart"/>
            </c:numRef>
          </c:val>
          <c:extLst xmlns:c15="http://schemas.microsoft.com/office/drawing/2012/chart">
            <c:ext xmlns:c16="http://schemas.microsoft.com/office/drawing/2014/chart" uri="{C3380CC4-5D6E-409C-BE32-E72D297353CC}">
              <c16:uniqueId val="{00000001-9958-4A82-A0E1-5BA0FE807F87}"/>
            </c:ext>
          </c:extLst>
        </c:ser>
        <c:dLbls>
          <c:dLblPos val="outEnd"/>
          <c:showLegendKey val="0"/>
          <c:showVal val="1"/>
          <c:showCatName val="0"/>
          <c:showSerName val="0"/>
          <c:showPercent val="0"/>
          <c:showBubbleSize val="0"/>
        </c:dLbls>
        <c:gapWidth val="219"/>
        <c:overlap val="-27"/>
        <c:axId val="790193023"/>
        <c:axId val="790194271"/>
        <c:extLst>
          <c:ext xmlns:c15="http://schemas.microsoft.com/office/drawing/2012/chart" uri="{02D57815-91ED-43cb-92C2-25804820EDAC}">
            <c15:filteredBarSeries>
              <c15:ser>
                <c:idx val="2"/>
                <c:order val="2"/>
                <c:tx>
                  <c:v>Fund 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'DATA consolidated-leasing'!$R$369:$W$369</c15:sqref>
                        </c15:formulaRef>
                      </c:ext>
                    </c:extLst>
                    <c:strCache>
                      <c:ptCount val="6"/>
                      <c:pt idx="0">
                        <c:v>Escalations (in %)</c:v>
                      </c:pt>
                      <c:pt idx="1">
                        <c:v>Escalations BP (in %)</c:v>
                      </c:pt>
                      <c:pt idx="2">
                        <c:v>CTV (in %)</c:v>
                      </c:pt>
                      <c:pt idx="3">
                        <c:v>CTV BP (in %)</c:v>
                      </c:pt>
                      <c:pt idx="4">
                        <c:v>DT</c:v>
                      </c:pt>
                      <c:pt idx="5">
                        <c:v>DT (BP)</c:v>
                      </c:pt>
                    </c:strCache>
                  </c:strRef>
                </c:cat>
                <c:val>
                  <c:numRef>
                    <c:extLst>
                      <c:ext uri="{02D57815-91ED-43cb-92C2-25804820EDAC}">
                        <c15:formulaRef>
                          <c15:sqref>'DATA consolidated-leasing'!$R$460:$W$460</c15:sqref>
                        </c15:formulaRef>
                      </c:ext>
                    </c:extLst>
                    <c:numCache>
                      <c:formatCode>0.00</c:formatCode>
                      <c:ptCount val="6"/>
                      <c:pt idx="0">
                        <c:v>3.4523045320323531</c:v>
                      </c:pt>
                      <c:pt idx="1">
                        <c:v>3.7434318893098335</c:v>
                      </c:pt>
                      <c:pt idx="2">
                        <c:v>0</c:v>
                      </c:pt>
                      <c:pt idx="3">
                        <c:v>0</c:v>
                      </c:pt>
                      <c:pt idx="4">
                        <c:v>12.338999814551524</c:v>
                      </c:pt>
                      <c:pt idx="5">
                        <c:v>7.188477468010138</c:v>
                      </c:pt>
                    </c:numCache>
                  </c:numRef>
                </c:val>
                <c:extLst>
                  <c:ext xmlns:c16="http://schemas.microsoft.com/office/drawing/2014/chart" uri="{C3380CC4-5D6E-409C-BE32-E72D297353CC}">
                    <c16:uniqueId val="{00000002-9958-4A82-A0E1-5BA0FE807F87}"/>
                  </c:ext>
                </c:extLst>
              </c15:ser>
            </c15:filteredBarSeries>
          </c:ext>
        </c:extLst>
      </c:barChart>
      <c:catAx>
        <c:axId val="79019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4271"/>
        <c:crosses val="autoZero"/>
        <c:auto val="1"/>
        <c:lblAlgn val="ctr"/>
        <c:lblOffset val="100"/>
        <c:noMultiLvlLbl val="0"/>
      </c:catAx>
      <c:valAx>
        <c:axId val="79019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3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dLblPos val="outEnd"/>
          <c:showLegendKey val="0"/>
          <c:showVal val="1"/>
          <c:showCatName val="0"/>
          <c:showSerName val="0"/>
          <c:showPercent val="0"/>
          <c:showBubbleSize val="0"/>
        </c:dLbls>
        <c:gapWidth val="219"/>
        <c:overlap val="-27"/>
        <c:axId val="790193023"/>
        <c:axId val="790194271"/>
        <c:extLst>
          <c:ext xmlns:c15="http://schemas.microsoft.com/office/drawing/2012/chart" uri="{02D57815-91ED-43cb-92C2-25804820EDAC}">
            <c15:filteredBarSeries>
              <c15: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'DATA consolidated-leasing'!$R$369:$W$369</c15:sqref>
                        </c15:formulaRef>
                      </c:ext>
                    </c:extLst>
                    <c:strCache>
                      <c:ptCount val="6"/>
                      <c:pt idx="0">
                        <c:v>Escalations (in %)</c:v>
                      </c:pt>
                      <c:pt idx="1">
                        <c:v>Escalations BP (in %)</c:v>
                      </c:pt>
                      <c:pt idx="2">
                        <c:v>CTV (in %)</c:v>
                      </c:pt>
                      <c:pt idx="3">
                        <c:v>CTV BP (in %)</c:v>
                      </c:pt>
                      <c:pt idx="4">
                        <c:v>DT</c:v>
                      </c:pt>
                      <c:pt idx="5">
                        <c:v>DT (BP)</c:v>
                      </c:pt>
                    </c:strCache>
                  </c:strRef>
                </c:cat>
                <c:val>
                  <c:numRef>
                    <c:extLst>
                      <c:ext uri="{02D57815-91ED-43cb-92C2-25804820EDAC}">
                        <c15:formulaRef>
                          <c15:sqref>'DATA consolidated-leasing'!$R$385:$W$385</c15:sqref>
                        </c15:formulaRef>
                      </c:ext>
                    </c:extLst>
                    <c:numCache>
                      <c:formatCode>0.00</c:formatCode>
                      <c:ptCount val="6"/>
                      <c:pt idx="0">
                        <c:v>3.6096179553929506</c:v>
                      </c:pt>
                      <c:pt idx="1">
                        <c:v>3.2553641558441559</c:v>
                      </c:pt>
                      <c:pt idx="2">
                        <c:v>0</c:v>
                      </c:pt>
                      <c:pt idx="3">
                        <c:v>0</c:v>
                      </c:pt>
                      <c:pt idx="4">
                        <c:v>11.925131451790865</c:v>
                      </c:pt>
                      <c:pt idx="5">
                        <c:v>7.5598666839145618</c:v>
                      </c:pt>
                    </c:numCache>
                  </c:numRef>
                </c:val>
                <c:extLst>
                  <c:ext xmlns:c16="http://schemas.microsoft.com/office/drawing/2014/chart" uri="{C3380CC4-5D6E-409C-BE32-E72D297353CC}">
                    <c16:uniqueId val="{00000000-E031-4242-BF2B-4B3CF329A95E}"/>
                  </c:ext>
                </c:extLst>
              </c15:ser>
            </c15:filteredBarSeries>
            <c15:filteredBarSeries>
              <c15:ser>
                <c:idx val="1"/>
                <c:order val="1"/>
                <c:tx>
                  <c:v>Fund 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'DATA consolidated-leasing'!$R$369:$W$369</c15:sqref>
                        </c15:formulaRef>
                      </c:ext>
                    </c:extLst>
                    <c:strCache>
                      <c:ptCount val="6"/>
                      <c:pt idx="0">
                        <c:v>Escalations (in %)</c:v>
                      </c:pt>
                      <c:pt idx="1">
                        <c:v>Escalations BP (in %)</c:v>
                      </c:pt>
                      <c:pt idx="2">
                        <c:v>CTV (in %)</c:v>
                      </c:pt>
                      <c:pt idx="3">
                        <c:v>CTV BP (in %)</c:v>
                      </c:pt>
                      <c:pt idx="4">
                        <c:v>DT</c:v>
                      </c:pt>
                      <c:pt idx="5">
                        <c:v>DT (BP)</c:v>
                      </c:pt>
                    </c:strCache>
                  </c:strRef>
                </c:cat>
                <c:val>
                  <c:numRef>
                    <c:extLst xmlns:c15="http://schemas.microsoft.com/office/drawing/2012/chart">
                      <c:ext xmlns:c15="http://schemas.microsoft.com/office/drawing/2012/chart" uri="{02D57815-91ED-43cb-92C2-25804820EDAC}">
                        <c15:formulaRef>
                          <c15:sqref>'DATA consolidated-leasing'!$R$441:$W$441</c15:sqref>
                        </c15:formulaRef>
                      </c:ext>
                    </c:extLst>
                    <c:numCache>
                      <c:formatCode>0.00</c:formatCode>
                      <c:ptCount val="6"/>
                      <c:pt idx="0">
                        <c:v>3.8870836788882772</c:v>
                      </c:pt>
                      <c:pt idx="1">
                        <c:v>2.924962889141328</c:v>
                      </c:pt>
                      <c:pt idx="2">
                        <c:v>0</c:v>
                      </c:pt>
                      <c:pt idx="3">
                        <c:v>0</c:v>
                      </c:pt>
                      <c:pt idx="4">
                        <c:v>11.682805298844196</c:v>
                      </c:pt>
                      <c:pt idx="5">
                        <c:v>7.7773206572883238</c:v>
                      </c:pt>
                    </c:numCache>
                  </c:numRef>
                </c:val>
                <c:extLst xmlns:c15="http://schemas.microsoft.com/office/drawing/2012/chart">
                  <c:ext xmlns:c16="http://schemas.microsoft.com/office/drawing/2014/chart" uri="{C3380CC4-5D6E-409C-BE32-E72D297353CC}">
                    <c16:uniqueId val="{00000001-E031-4242-BF2B-4B3CF329A95E}"/>
                  </c:ext>
                </c:extLst>
              </c15:ser>
            </c15:filteredBarSeries>
            <c15:filteredBarSeries>
              <c15:ser>
                <c:idx val="2"/>
                <c:order val="2"/>
                <c:tx>
                  <c:v>Fund 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'DATA consolidated-leasing'!$R$369:$W$369</c15:sqref>
                        </c15:formulaRef>
                      </c:ext>
                    </c:extLst>
                    <c:strCache>
                      <c:ptCount val="6"/>
                      <c:pt idx="0">
                        <c:v>Escalations (in %)</c:v>
                      </c:pt>
                      <c:pt idx="1">
                        <c:v>Escalations BP (in %)</c:v>
                      </c:pt>
                      <c:pt idx="2">
                        <c:v>CTV (in %)</c:v>
                      </c:pt>
                      <c:pt idx="3">
                        <c:v>CTV BP (in %)</c:v>
                      </c:pt>
                      <c:pt idx="4">
                        <c:v>DT</c:v>
                      </c:pt>
                      <c:pt idx="5">
                        <c:v>DT (BP)</c:v>
                      </c:pt>
                    </c:strCache>
                  </c:strRef>
                </c:cat>
                <c:val>
                  <c:numRef>
                    <c:extLst xmlns:c15="http://schemas.microsoft.com/office/drawing/2012/chart">
                      <c:ext xmlns:c15="http://schemas.microsoft.com/office/drawing/2012/chart" uri="{02D57815-91ED-43cb-92C2-25804820EDAC}">
                        <c15:formulaRef>
                          <c15:sqref>'DATA consolidated-leasing'!$R$460:$W$460</c15:sqref>
                        </c15:formulaRef>
                      </c:ext>
                    </c:extLst>
                    <c:numCache>
                      <c:formatCode>0.00</c:formatCode>
                      <c:ptCount val="6"/>
                      <c:pt idx="0">
                        <c:v>3.4523045320323531</c:v>
                      </c:pt>
                      <c:pt idx="1">
                        <c:v>3.7434318893098335</c:v>
                      </c:pt>
                      <c:pt idx="2">
                        <c:v>0</c:v>
                      </c:pt>
                      <c:pt idx="3">
                        <c:v>0</c:v>
                      </c:pt>
                      <c:pt idx="4">
                        <c:v>12.338999814551524</c:v>
                      </c:pt>
                      <c:pt idx="5">
                        <c:v>7.188477468010138</c:v>
                      </c:pt>
                    </c:numCache>
                  </c:numRef>
                </c:val>
                <c:extLst xmlns:c15="http://schemas.microsoft.com/office/drawing/2012/chart">
                  <c:ext xmlns:c16="http://schemas.microsoft.com/office/drawing/2014/chart" uri="{C3380CC4-5D6E-409C-BE32-E72D297353CC}">
                    <c16:uniqueId val="{00000002-E031-4242-BF2B-4B3CF329A95E}"/>
                  </c:ext>
                </c:extLst>
              </c15:ser>
            </c15:filteredBarSeries>
          </c:ext>
        </c:extLst>
      </c:barChart>
      <c:catAx>
        <c:axId val="79019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4271"/>
        <c:crosses val="autoZero"/>
        <c:auto val="1"/>
        <c:lblAlgn val="ctr"/>
        <c:lblOffset val="100"/>
        <c:noMultiLvlLbl val="0"/>
      </c:catAx>
      <c:valAx>
        <c:axId val="79019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3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PSF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Fund 2</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consolidated-leasing'!$N$294:$Q$294</c15:sqref>
                  </c15:fullRef>
                </c:ext>
              </c:extLst>
              <c:f>('DATA consolidated-leasing'!$N$294:$O$294,'DATA consolidated-leasing'!$Q$294)</c:f>
              <c:strCache>
                <c:ptCount val="3"/>
                <c:pt idx="0">
                  <c:v>Prior Lease PSF</c:v>
                </c:pt>
                <c:pt idx="1">
                  <c:v>PSF (BP)</c:v>
                </c:pt>
                <c:pt idx="2">
                  <c:v>PSF</c:v>
                </c:pt>
              </c:strCache>
            </c:strRef>
          </c:cat>
          <c:val>
            <c:numRef>
              <c:extLst>
                <c:ext xmlns:c15="http://schemas.microsoft.com/office/drawing/2012/chart" uri="{02D57815-91ED-43cb-92C2-25804820EDAC}">
                  <c15:fullRef>
                    <c15:sqref>'DATA consolidated-leasing'!$N$307:$Q$307</c15:sqref>
                  </c15:fullRef>
                </c:ext>
              </c:extLst>
              <c:f>('DATA consolidated-leasing'!$N$307:$O$307,'DATA consolidated-leasing'!$Q$307)</c:f>
              <c:numCache>
                <c:formatCode>0.00</c:formatCode>
                <c:ptCount val="3"/>
                <c:pt idx="0">
                  <c:v>5.8044039936648408</c:v>
                </c:pt>
                <c:pt idx="1">
                  <c:v>6.7744673698161986</c:v>
                </c:pt>
                <c:pt idx="2">
                  <c:v>7.7075896084220252</c:v>
                </c:pt>
              </c:numCache>
            </c:numRef>
          </c:val>
          <c:extLst>
            <c:ext xmlns:c16="http://schemas.microsoft.com/office/drawing/2014/chart" uri="{C3380CC4-5D6E-409C-BE32-E72D297353CC}">
              <c16:uniqueId val="{00000000-0C9F-4272-B064-DC45DB1791BE}"/>
            </c:ext>
          </c:extLst>
        </c:ser>
        <c:ser>
          <c:idx val="1"/>
          <c:order val="1"/>
          <c:tx>
            <c:v>Fund 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consolidated-leasing'!$N$294:$Q$294</c15:sqref>
                  </c15:fullRef>
                </c:ext>
              </c:extLst>
              <c:f>('DATA consolidated-leasing'!$N$294:$O$294,'DATA consolidated-leasing'!$Q$294)</c:f>
              <c:strCache>
                <c:ptCount val="3"/>
                <c:pt idx="0">
                  <c:v>Prior Lease PSF</c:v>
                </c:pt>
                <c:pt idx="1">
                  <c:v>PSF (BP)</c:v>
                </c:pt>
                <c:pt idx="2">
                  <c:v>PSF</c:v>
                </c:pt>
              </c:strCache>
            </c:strRef>
          </c:cat>
          <c:val>
            <c:numRef>
              <c:extLst>
                <c:ext xmlns:c15="http://schemas.microsoft.com/office/drawing/2012/chart" uri="{02D57815-91ED-43cb-92C2-25804820EDAC}">
                  <c15:fullRef>
                    <c15:sqref>'DATA consolidated-leasing'!$N$326:$Q$326</c15:sqref>
                  </c15:fullRef>
                </c:ext>
              </c:extLst>
              <c:f>('DATA consolidated-leasing'!$N$326:$O$326,'DATA consolidated-leasing'!$Q$326)</c:f>
              <c:numCache>
                <c:formatCode>0.00</c:formatCode>
                <c:ptCount val="3"/>
                <c:pt idx="0">
                  <c:v>5.869900160518652</c:v>
                </c:pt>
                <c:pt idx="1">
                  <c:v>7.9221882395539138</c:v>
                </c:pt>
                <c:pt idx="2">
                  <c:v>8.6002167521496684</c:v>
                </c:pt>
              </c:numCache>
            </c:numRef>
          </c:val>
          <c:extLst>
            <c:ext xmlns:c16="http://schemas.microsoft.com/office/drawing/2014/chart" uri="{C3380CC4-5D6E-409C-BE32-E72D297353CC}">
              <c16:uniqueId val="{00000001-0C9F-4272-B064-DC45DB1791BE}"/>
            </c:ext>
          </c:extLst>
        </c:ser>
        <c:dLbls>
          <c:dLblPos val="outEnd"/>
          <c:showLegendKey val="0"/>
          <c:showVal val="1"/>
          <c:showCatName val="0"/>
          <c:showSerName val="0"/>
          <c:showPercent val="0"/>
          <c:showBubbleSize val="0"/>
        </c:dLbls>
        <c:gapWidth val="219"/>
        <c:overlap val="-27"/>
        <c:axId val="16340687"/>
        <c:axId val="16339247"/>
      </c:barChart>
      <c:catAx>
        <c:axId val="1634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247"/>
        <c:crosses val="autoZero"/>
        <c:auto val="1"/>
        <c:lblAlgn val="ctr"/>
        <c:lblOffset val="100"/>
        <c:noMultiLvlLbl val="0"/>
      </c:catAx>
      <c:valAx>
        <c:axId val="1633924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340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Leasing Spread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Fund 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consolidated-leasing'!$X$223:$Z$223</c:f>
              <c:strCache>
                <c:ptCount val="3"/>
                <c:pt idx="0">
                  <c:v>Rent Inc over Prior Leases</c:v>
                </c:pt>
                <c:pt idx="2">
                  <c:v>Rent Increase over BP</c:v>
                </c:pt>
              </c:strCache>
            </c:strRef>
          </c:cat>
          <c:val>
            <c:numRef>
              <c:f>'DATA consolidated-leasing'!$X$307:$Z$307</c:f>
              <c:numCache>
                <c:formatCode>0%</c:formatCode>
                <c:ptCount val="3"/>
                <c:pt idx="0">
                  <c:v>0.34051259410205237</c:v>
                </c:pt>
                <c:pt idx="2">
                  <c:v>0.1377410485086068</c:v>
                </c:pt>
              </c:numCache>
            </c:numRef>
          </c:val>
          <c:extLst>
            <c:ext xmlns:c16="http://schemas.microsoft.com/office/drawing/2014/chart" uri="{C3380CC4-5D6E-409C-BE32-E72D297353CC}">
              <c16:uniqueId val="{00000000-E607-424F-B10C-0D45A8285C2F}"/>
            </c:ext>
          </c:extLst>
        </c:ser>
        <c:ser>
          <c:idx val="2"/>
          <c:order val="2"/>
          <c:tx>
            <c:v>Fund 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consolidated-leasing'!$X$223:$Z$223</c:f>
              <c:strCache>
                <c:ptCount val="3"/>
                <c:pt idx="0">
                  <c:v>Rent Inc over Prior Leases</c:v>
                </c:pt>
                <c:pt idx="2">
                  <c:v>Rent Increase over BP</c:v>
                </c:pt>
              </c:strCache>
            </c:strRef>
          </c:cat>
          <c:val>
            <c:numRef>
              <c:f>'DATA consolidated-leasing'!$X$326:$Z$326</c:f>
              <c:numCache>
                <c:formatCode>0%</c:formatCode>
                <c:ptCount val="3"/>
                <c:pt idx="0">
                  <c:v>0.37096518130629885</c:v>
                </c:pt>
                <c:pt idx="2">
                  <c:v>8.5586013875622591E-2</c:v>
                </c:pt>
              </c:numCache>
            </c:numRef>
          </c:val>
          <c:extLst>
            <c:ext xmlns:c16="http://schemas.microsoft.com/office/drawing/2014/chart" uri="{C3380CC4-5D6E-409C-BE32-E72D297353CC}">
              <c16:uniqueId val="{00000001-E607-424F-B10C-0D45A8285C2F}"/>
            </c:ext>
          </c:extLst>
        </c:ser>
        <c:dLbls>
          <c:dLblPos val="outEnd"/>
          <c:showLegendKey val="0"/>
          <c:showVal val="1"/>
          <c:showCatName val="0"/>
          <c:showSerName val="0"/>
          <c:showPercent val="0"/>
          <c:showBubbleSize val="0"/>
        </c:dLbls>
        <c:gapWidth val="219"/>
        <c:overlap val="-27"/>
        <c:axId val="789105119"/>
        <c:axId val="789106783"/>
        <c:extLst>
          <c:ext xmlns:c15="http://schemas.microsoft.com/office/drawing/2012/chart" uri="{02D57815-91ED-43cb-92C2-25804820EDAC}">
            <c15:filteredBarSeries>
              <c15: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'DATA consolidated-leasing'!$X$223:$Z$223</c15:sqref>
                        </c15:formulaRef>
                      </c:ext>
                    </c:extLst>
                    <c:strCache>
                      <c:ptCount val="3"/>
                      <c:pt idx="0">
                        <c:v>Rent Inc over Prior Leases</c:v>
                      </c:pt>
                      <c:pt idx="2">
                        <c:v>Rent Increase over BP</c:v>
                      </c:pt>
                    </c:strCache>
                  </c:strRef>
                </c:cat>
                <c:val>
                  <c:numRef>
                    <c:extLst>
                      <c:ext uri="{02D57815-91ED-43cb-92C2-25804820EDAC}">
                        <c15:formulaRef>
                          <c15:sqref>'DATA consolidated-leasing'!$X$239:$Z$239</c15:sqref>
                        </c15:formulaRef>
                      </c:ext>
                    </c:extLst>
                    <c:numCache>
                      <c:formatCode>0%</c:formatCode>
                      <c:ptCount val="3"/>
                      <c:pt idx="0">
                        <c:v>0.34837248332454496</c:v>
                      </c:pt>
                      <c:pt idx="2">
                        <c:v>0.1226621900970386</c:v>
                      </c:pt>
                    </c:numCache>
                  </c:numRef>
                </c:val>
                <c:extLst>
                  <c:ext xmlns:c16="http://schemas.microsoft.com/office/drawing/2014/chart" uri="{C3380CC4-5D6E-409C-BE32-E72D297353CC}">
                    <c16:uniqueId val="{00000002-E607-424F-B10C-0D45A8285C2F}"/>
                  </c:ext>
                </c:extLst>
              </c15:ser>
            </c15:filteredBarSeries>
          </c:ext>
        </c:extLst>
      </c:barChart>
      <c:catAx>
        <c:axId val="78910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06783"/>
        <c:crosses val="autoZero"/>
        <c:auto val="1"/>
        <c:lblAlgn val="ctr"/>
        <c:lblOffset val="100"/>
        <c:noMultiLvlLbl val="0"/>
      </c:catAx>
      <c:valAx>
        <c:axId val="789106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05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PSF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consolidated-leasing'!$N$223:$Q$223</c15:sqref>
                  </c15:fullRef>
                </c:ext>
              </c:extLst>
              <c:f>('DATA consolidated-leasing'!$N$223:$O$223,'DATA consolidated-leasing'!$Q$223)</c:f>
              <c:strCache>
                <c:ptCount val="3"/>
                <c:pt idx="0">
                  <c:v>Prior Lease PSF</c:v>
                </c:pt>
                <c:pt idx="1">
                  <c:v>PSF (BP)</c:v>
                </c:pt>
                <c:pt idx="2">
                  <c:v>Current PSF</c:v>
                </c:pt>
              </c:strCache>
            </c:strRef>
          </c:cat>
          <c:val>
            <c:numRef>
              <c:extLst>
                <c:ext xmlns:c15="http://schemas.microsoft.com/office/drawing/2012/chart" uri="{02D57815-91ED-43cb-92C2-25804820EDAC}">
                  <c15:fullRef>
                    <c15:sqref>'DATA consolidated-leasing'!$N$239:$Q$239</c15:sqref>
                  </c15:fullRef>
                </c:ext>
              </c:extLst>
              <c:f>('DATA consolidated-leasing'!$N$239:$O$239,'DATA consolidated-leasing'!$Q$239)</c:f>
              <c:numCache>
                <c:formatCode>0.00</c:formatCode>
                <c:ptCount val="3"/>
                <c:pt idx="0">
                  <c:v>5.821168376124767</c:v>
                </c:pt>
                <c:pt idx="1">
                  <c:v>7.0706237364020801</c:v>
                </c:pt>
                <c:pt idx="2">
                  <c:v>7.9379219292612655</c:v>
                </c:pt>
              </c:numCache>
            </c:numRef>
          </c:val>
          <c:extLst>
            <c:ext xmlns:c16="http://schemas.microsoft.com/office/drawing/2014/chart" uri="{C3380CC4-5D6E-409C-BE32-E72D297353CC}">
              <c16:uniqueId val="{00000000-325A-4D8B-8C03-52A1339C3C4F}"/>
            </c:ext>
          </c:extLst>
        </c:ser>
        <c:dLbls>
          <c:dLblPos val="outEnd"/>
          <c:showLegendKey val="0"/>
          <c:showVal val="1"/>
          <c:showCatName val="0"/>
          <c:showSerName val="0"/>
          <c:showPercent val="0"/>
          <c:showBubbleSize val="0"/>
        </c:dLbls>
        <c:gapWidth val="219"/>
        <c:overlap val="-27"/>
        <c:axId val="366872639"/>
        <c:axId val="520126512"/>
      </c:barChart>
      <c:catAx>
        <c:axId val="3668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26512"/>
        <c:crosses val="autoZero"/>
        <c:auto val="1"/>
        <c:lblAlgn val="ctr"/>
        <c:lblOffset val="100"/>
        <c:noMultiLvlLbl val="0"/>
      </c:catAx>
      <c:valAx>
        <c:axId val="52012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2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r>
              <a:rPr lang="en-US" sz="1200" b="1" dirty="0"/>
              <a:t>Leasing Spreads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9CE0-4DC0-9CBA-573AF22DBC3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 Charts'!$C$48:$D$48</c:f>
              <c:strCache>
                <c:ptCount val="2"/>
                <c:pt idx="0">
                  <c:v>Business Plan</c:v>
                </c:pt>
                <c:pt idx="1">
                  <c:v>Actual</c:v>
                </c:pt>
              </c:strCache>
            </c:strRef>
          </c:cat>
          <c:val>
            <c:numRef>
              <c:f>'IR Charts'!$C$50:$D$50</c:f>
              <c:numCache>
                <c:formatCode>0%</c:formatCode>
                <c:ptCount val="2"/>
                <c:pt idx="0">
                  <c:v>0.34962912876084173</c:v>
                </c:pt>
                <c:pt idx="1">
                  <c:v>0.37096518130629885</c:v>
                </c:pt>
              </c:numCache>
            </c:numRef>
          </c:val>
          <c:extLst>
            <c:ext xmlns:c16="http://schemas.microsoft.com/office/drawing/2014/chart" uri="{C3380CC4-5D6E-409C-BE32-E72D297353CC}">
              <c16:uniqueId val="{00000002-9CE0-4DC0-9CBA-573AF22DBC3D}"/>
            </c:ext>
          </c:extLst>
        </c:ser>
        <c:dLbls>
          <c:dLblPos val="outEnd"/>
          <c:showLegendKey val="0"/>
          <c:showVal val="1"/>
          <c:showCatName val="0"/>
          <c:showSerName val="0"/>
          <c:showPercent val="0"/>
          <c:showBubbleSize val="0"/>
        </c:dLbls>
        <c:gapWidth val="50"/>
        <c:overlap val="-27"/>
        <c:axId val="1125429952"/>
        <c:axId val="1125414000"/>
      </c:barChart>
      <c:catAx>
        <c:axId val="112542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ilroy" pitchFamily="2" charset="77"/>
                <a:ea typeface="+mn-ea"/>
                <a:cs typeface="+mn-cs"/>
              </a:defRPr>
            </a:pPr>
            <a:endParaRPr lang="en-US"/>
          </a:p>
        </c:txPr>
        <c:crossAx val="1125414000"/>
        <c:crosses val="autoZero"/>
        <c:auto val="1"/>
        <c:lblAlgn val="ctr"/>
        <c:lblOffset val="100"/>
        <c:noMultiLvlLbl val="0"/>
      </c:catAx>
      <c:valAx>
        <c:axId val="1125414000"/>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roy" pitchFamily="2" charset="77"/>
                <a:ea typeface="+mn-ea"/>
                <a:cs typeface="+mn-cs"/>
              </a:defRPr>
            </a:pPr>
            <a:endParaRPr lang="en-US"/>
          </a:p>
        </c:txPr>
        <c:crossAx val="112542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Signed Leases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consolidated-leasing'!$H$242</c:f>
              <c:strCache>
                <c:ptCount val="1"/>
                <c:pt idx="0">
                  <c:v># Deals</c:v>
                </c:pt>
              </c:strCache>
            </c:strRef>
          </c:tx>
          <c:spPr>
            <a:solidFill>
              <a:schemeClr val="accent1"/>
            </a:solidFill>
            <a:ln>
              <a:noFill/>
            </a:ln>
            <a:effectLst/>
          </c:spPr>
          <c:invertIfNegative val="0"/>
          <c:cat>
            <c:strRef>
              <c:f>'DATA consolidated-leasing'!$F$243:$F$253</c:f>
              <c:strCache>
                <c:ptCount val="11"/>
                <c:pt idx="0">
                  <c:v>Q2 2021</c:v>
                </c:pt>
                <c:pt idx="1">
                  <c:v>Q3 2021</c:v>
                </c:pt>
                <c:pt idx="2">
                  <c:v>Q4 2021</c:v>
                </c:pt>
                <c:pt idx="3">
                  <c:v>Q1 2022</c:v>
                </c:pt>
                <c:pt idx="4">
                  <c:v>Q2 2022</c:v>
                </c:pt>
                <c:pt idx="5">
                  <c:v>Q3 2022</c:v>
                </c:pt>
                <c:pt idx="6">
                  <c:v>Q4 2022</c:v>
                </c:pt>
                <c:pt idx="7">
                  <c:v>Q1 2023</c:v>
                </c:pt>
                <c:pt idx="8">
                  <c:v>Q2 2023</c:v>
                </c:pt>
                <c:pt idx="9">
                  <c:v>Q3 2023</c:v>
                </c:pt>
                <c:pt idx="10">
                  <c:v>Q4 2023</c:v>
                </c:pt>
              </c:strCache>
            </c:strRef>
          </c:cat>
          <c:val>
            <c:numRef>
              <c:f>'DATA consolidated-leasing'!$H$243:$H$253</c:f>
              <c:numCache>
                <c:formatCode>General</c:formatCode>
                <c:ptCount val="11"/>
                <c:pt idx="0">
                  <c:v>2</c:v>
                </c:pt>
                <c:pt idx="1">
                  <c:v>2</c:v>
                </c:pt>
                <c:pt idx="2">
                  <c:v>4</c:v>
                </c:pt>
                <c:pt idx="3">
                  <c:v>8</c:v>
                </c:pt>
                <c:pt idx="4">
                  <c:v>22</c:v>
                </c:pt>
                <c:pt idx="5">
                  <c:v>18</c:v>
                </c:pt>
                <c:pt idx="6">
                  <c:v>18</c:v>
                </c:pt>
                <c:pt idx="7">
                  <c:v>19</c:v>
                </c:pt>
                <c:pt idx="8">
                  <c:v>20</c:v>
                </c:pt>
                <c:pt idx="9">
                  <c:v>21</c:v>
                </c:pt>
                <c:pt idx="10">
                  <c:v>20</c:v>
                </c:pt>
              </c:numCache>
            </c:numRef>
          </c:val>
          <c:extLst>
            <c:ext xmlns:c16="http://schemas.microsoft.com/office/drawing/2014/chart" uri="{C3380CC4-5D6E-409C-BE32-E72D297353CC}">
              <c16:uniqueId val="{00000000-AB48-4874-A3B1-D7676A6379EC}"/>
            </c:ext>
          </c:extLst>
        </c:ser>
        <c:ser>
          <c:idx val="1"/>
          <c:order val="1"/>
          <c:tx>
            <c:strRef>
              <c:f>'DATA consolidated-leasing'!$I$242</c:f>
              <c:strCache>
                <c:ptCount val="1"/>
                <c:pt idx="0">
                  <c:v>Average Term</c:v>
                </c:pt>
              </c:strCache>
            </c:strRef>
          </c:tx>
          <c:spPr>
            <a:solidFill>
              <a:schemeClr val="accent2"/>
            </a:solidFill>
            <a:ln>
              <a:noFill/>
            </a:ln>
            <a:effectLst/>
          </c:spPr>
          <c:invertIfNegative val="0"/>
          <c:cat>
            <c:strRef>
              <c:f>'DATA consolidated-leasing'!$F$243:$F$253</c:f>
              <c:strCache>
                <c:ptCount val="11"/>
                <c:pt idx="0">
                  <c:v>Q2 2021</c:v>
                </c:pt>
                <c:pt idx="1">
                  <c:v>Q3 2021</c:v>
                </c:pt>
                <c:pt idx="2">
                  <c:v>Q4 2021</c:v>
                </c:pt>
                <c:pt idx="3">
                  <c:v>Q1 2022</c:v>
                </c:pt>
                <c:pt idx="4">
                  <c:v>Q2 2022</c:v>
                </c:pt>
                <c:pt idx="5">
                  <c:v>Q3 2022</c:v>
                </c:pt>
                <c:pt idx="6">
                  <c:v>Q4 2022</c:v>
                </c:pt>
                <c:pt idx="7">
                  <c:v>Q1 2023</c:v>
                </c:pt>
                <c:pt idx="8">
                  <c:v>Q2 2023</c:v>
                </c:pt>
                <c:pt idx="9">
                  <c:v>Q3 2023</c:v>
                </c:pt>
                <c:pt idx="10">
                  <c:v>Q4 2023</c:v>
                </c:pt>
              </c:strCache>
            </c:strRef>
          </c:cat>
          <c:val>
            <c:numRef>
              <c:f>'DATA consolidated-leasing'!$I$243:$I$253</c:f>
              <c:numCache>
                <c:formatCode>0.0</c:formatCode>
                <c:ptCount val="11"/>
                <c:pt idx="0">
                  <c:v>3.6933317108529189</c:v>
                </c:pt>
                <c:pt idx="1">
                  <c:v>4.8520710059171597</c:v>
                </c:pt>
                <c:pt idx="2">
                  <c:v>4.9408360301325347</c:v>
                </c:pt>
                <c:pt idx="3">
                  <c:v>5.0396453936608827</c:v>
                </c:pt>
                <c:pt idx="4">
                  <c:v>4.6449252572835675</c:v>
                </c:pt>
                <c:pt idx="5">
                  <c:v>5.0778814364754661</c:v>
                </c:pt>
                <c:pt idx="6">
                  <c:v>7.112067023958681</c:v>
                </c:pt>
                <c:pt idx="7">
                  <c:v>4.8255984257201998</c:v>
                </c:pt>
                <c:pt idx="8">
                  <c:v>4.6929677804060184</c:v>
                </c:pt>
                <c:pt idx="9">
                  <c:v>5.224268525880519</c:v>
                </c:pt>
                <c:pt idx="10">
                  <c:v>5.3982513516021022</c:v>
                </c:pt>
              </c:numCache>
            </c:numRef>
          </c:val>
          <c:extLst>
            <c:ext xmlns:c16="http://schemas.microsoft.com/office/drawing/2014/chart" uri="{C3380CC4-5D6E-409C-BE32-E72D297353CC}">
              <c16:uniqueId val="{00000001-AB48-4874-A3B1-D7676A6379EC}"/>
            </c:ext>
          </c:extLst>
        </c:ser>
        <c:dLbls>
          <c:showLegendKey val="0"/>
          <c:showVal val="0"/>
          <c:showCatName val="0"/>
          <c:showSerName val="0"/>
          <c:showPercent val="0"/>
          <c:showBubbleSize val="0"/>
        </c:dLbls>
        <c:gapWidth val="219"/>
        <c:overlap val="-27"/>
        <c:axId val="674463231"/>
        <c:axId val="1806824448"/>
      </c:barChart>
      <c:catAx>
        <c:axId val="67446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24448"/>
        <c:crosses val="autoZero"/>
        <c:auto val="1"/>
        <c:lblAlgn val="ctr"/>
        <c:lblOffset val="100"/>
        <c:noMultiLvlLbl val="0"/>
      </c:catAx>
      <c:valAx>
        <c:axId val="180682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63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Signed Leases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consolidated-leasing'!$H$223</c:f>
              <c:strCache>
                <c:ptCount val="1"/>
                <c:pt idx="0">
                  <c:v># Deals</c:v>
                </c:pt>
              </c:strCache>
            </c:strRef>
          </c:tx>
          <c:spPr>
            <a:solidFill>
              <a:schemeClr val="accent1"/>
            </a:solidFill>
            <a:ln>
              <a:noFill/>
            </a:ln>
            <a:effectLst/>
          </c:spPr>
          <c:invertIfNegative val="0"/>
          <c:cat>
            <c:strRef>
              <c:f>'DATA consolidated-leasing'!$F$243:$F$257</c:f>
              <c:strCache>
                <c:ptCount val="15"/>
                <c:pt idx="0">
                  <c:v>Q2 2021</c:v>
                </c:pt>
                <c:pt idx="1">
                  <c:v>Q3 2021</c:v>
                </c:pt>
                <c:pt idx="2">
                  <c:v>Q4 2021</c:v>
                </c:pt>
                <c:pt idx="3">
                  <c:v>Q1 2022</c:v>
                </c:pt>
                <c:pt idx="4">
                  <c:v>Q2 2022</c:v>
                </c:pt>
                <c:pt idx="5">
                  <c:v>Q3 2022</c:v>
                </c:pt>
                <c:pt idx="6">
                  <c:v>Q4 2022</c:v>
                </c:pt>
                <c:pt idx="7">
                  <c:v>Q1 2023</c:v>
                </c:pt>
                <c:pt idx="8">
                  <c:v>Q2 2023</c:v>
                </c:pt>
                <c:pt idx="9">
                  <c:v>Q3 2023</c:v>
                </c:pt>
                <c:pt idx="10">
                  <c:v>Q4 2023</c:v>
                </c:pt>
                <c:pt idx="11">
                  <c:v>Q1 2024</c:v>
                </c:pt>
                <c:pt idx="12">
                  <c:v>Q2 2024</c:v>
                </c:pt>
                <c:pt idx="13">
                  <c:v>Q3 2024</c:v>
                </c:pt>
                <c:pt idx="14">
                  <c:v>Q4 2024</c:v>
                </c:pt>
              </c:strCache>
            </c:strRef>
          </c:cat>
          <c:val>
            <c:numRef>
              <c:f>'DATA consolidated-leasing'!$H$243:$H$257</c:f>
              <c:numCache>
                <c:formatCode>General</c:formatCode>
                <c:ptCount val="15"/>
                <c:pt idx="0">
                  <c:v>2</c:v>
                </c:pt>
                <c:pt idx="1">
                  <c:v>2</c:v>
                </c:pt>
                <c:pt idx="2">
                  <c:v>4</c:v>
                </c:pt>
                <c:pt idx="3">
                  <c:v>8</c:v>
                </c:pt>
                <c:pt idx="4">
                  <c:v>22</c:v>
                </c:pt>
                <c:pt idx="5">
                  <c:v>18</c:v>
                </c:pt>
                <c:pt idx="6">
                  <c:v>18</c:v>
                </c:pt>
                <c:pt idx="7">
                  <c:v>19</c:v>
                </c:pt>
                <c:pt idx="8">
                  <c:v>20</c:v>
                </c:pt>
                <c:pt idx="9">
                  <c:v>21</c:v>
                </c:pt>
                <c:pt idx="10">
                  <c:v>20</c:v>
                </c:pt>
                <c:pt idx="11">
                  <c:v>17</c:v>
                </c:pt>
                <c:pt idx="12">
                  <c:v>19</c:v>
                </c:pt>
                <c:pt idx="13">
                  <c:v>9</c:v>
                </c:pt>
                <c:pt idx="14">
                  <c:v>17</c:v>
                </c:pt>
              </c:numCache>
            </c:numRef>
          </c:val>
          <c:extLst>
            <c:ext xmlns:c16="http://schemas.microsoft.com/office/drawing/2014/chart" uri="{C3380CC4-5D6E-409C-BE32-E72D297353CC}">
              <c16:uniqueId val="{00000000-591C-483E-B0A2-22B660035E13}"/>
            </c:ext>
          </c:extLst>
        </c:ser>
        <c:ser>
          <c:idx val="1"/>
          <c:order val="1"/>
          <c:tx>
            <c:strRef>
              <c:f>'DATA consolidated-leasing'!$I$223</c:f>
              <c:strCache>
                <c:ptCount val="1"/>
                <c:pt idx="0">
                  <c:v>Average Term</c:v>
                </c:pt>
              </c:strCache>
            </c:strRef>
          </c:tx>
          <c:spPr>
            <a:solidFill>
              <a:schemeClr val="accent2"/>
            </a:solidFill>
            <a:ln>
              <a:noFill/>
            </a:ln>
            <a:effectLst/>
          </c:spPr>
          <c:invertIfNegative val="0"/>
          <c:cat>
            <c:strRef>
              <c:f>'DATA consolidated-leasing'!$F$243:$F$257</c:f>
              <c:strCache>
                <c:ptCount val="15"/>
                <c:pt idx="0">
                  <c:v>Q2 2021</c:v>
                </c:pt>
                <c:pt idx="1">
                  <c:v>Q3 2021</c:v>
                </c:pt>
                <c:pt idx="2">
                  <c:v>Q4 2021</c:v>
                </c:pt>
                <c:pt idx="3">
                  <c:v>Q1 2022</c:v>
                </c:pt>
                <c:pt idx="4">
                  <c:v>Q2 2022</c:v>
                </c:pt>
                <c:pt idx="5">
                  <c:v>Q3 2022</c:v>
                </c:pt>
                <c:pt idx="6">
                  <c:v>Q4 2022</c:v>
                </c:pt>
                <c:pt idx="7">
                  <c:v>Q1 2023</c:v>
                </c:pt>
                <c:pt idx="8">
                  <c:v>Q2 2023</c:v>
                </c:pt>
                <c:pt idx="9">
                  <c:v>Q3 2023</c:v>
                </c:pt>
                <c:pt idx="10">
                  <c:v>Q4 2023</c:v>
                </c:pt>
                <c:pt idx="11">
                  <c:v>Q1 2024</c:v>
                </c:pt>
                <c:pt idx="12">
                  <c:v>Q2 2024</c:v>
                </c:pt>
                <c:pt idx="13">
                  <c:v>Q3 2024</c:v>
                </c:pt>
                <c:pt idx="14">
                  <c:v>Q4 2024</c:v>
                </c:pt>
              </c:strCache>
            </c:strRef>
          </c:cat>
          <c:val>
            <c:numRef>
              <c:f>'DATA consolidated-leasing'!$I$243:$I$257</c:f>
              <c:numCache>
                <c:formatCode>0.0</c:formatCode>
                <c:ptCount val="15"/>
                <c:pt idx="0">
                  <c:v>3.6933317108529189</c:v>
                </c:pt>
                <c:pt idx="1">
                  <c:v>4.8520710059171597</c:v>
                </c:pt>
                <c:pt idx="2">
                  <c:v>4.9408360301325347</c:v>
                </c:pt>
                <c:pt idx="3">
                  <c:v>5.0396453936608827</c:v>
                </c:pt>
                <c:pt idx="4">
                  <c:v>4.6449252572835675</c:v>
                </c:pt>
                <c:pt idx="5">
                  <c:v>5.0778814364754661</c:v>
                </c:pt>
                <c:pt idx="6">
                  <c:v>7.112067023958681</c:v>
                </c:pt>
                <c:pt idx="7">
                  <c:v>4.8255984257201998</c:v>
                </c:pt>
                <c:pt idx="8">
                  <c:v>4.6929677804060184</c:v>
                </c:pt>
                <c:pt idx="9">
                  <c:v>5.224268525880519</c:v>
                </c:pt>
                <c:pt idx="10">
                  <c:v>5.3982513516021022</c:v>
                </c:pt>
                <c:pt idx="11">
                  <c:v>4.8287163054863118</c:v>
                </c:pt>
                <c:pt idx="12">
                  <c:v>4.8986374480263235</c:v>
                </c:pt>
                <c:pt idx="13">
                  <c:v>4.0094971110497299</c:v>
                </c:pt>
                <c:pt idx="14">
                  <c:v>3.7875374891774896</c:v>
                </c:pt>
              </c:numCache>
            </c:numRef>
          </c:val>
          <c:extLst>
            <c:ext xmlns:c16="http://schemas.microsoft.com/office/drawing/2014/chart" uri="{C3380CC4-5D6E-409C-BE32-E72D297353CC}">
              <c16:uniqueId val="{00000001-591C-483E-B0A2-22B660035E13}"/>
            </c:ext>
          </c:extLst>
        </c:ser>
        <c:dLbls>
          <c:showLegendKey val="0"/>
          <c:showVal val="0"/>
          <c:showCatName val="0"/>
          <c:showSerName val="0"/>
          <c:showPercent val="0"/>
          <c:showBubbleSize val="0"/>
        </c:dLbls>
        <c:gapWidth val="219"/>
        <c:overlap val="-27"/>
        <c:axId val="1965901871"/>
        <c:axId val="1776789440"/>
      </c:barChart>
      <c:catAx>
        <c:axId val="196590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89440"/>
        <c:crosses val="autoZero"/>
        <c:auto val="1"/>
        <c:lblAlgn val="ctr"/>
        <c:lblOffset val="100"/>
        <c:noMultiLvlLbl val="0"/>
      </c:catAx>
      <c:valAx>
        <c:axId val="177678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01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Downtime</a:t>
            </a:r>
            <a:r>
              <a:rPr lang="en-US" baseline="0"/>
              <a:t>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consolidated-leasing'!$V$242</c:f>
              <c:strCache>
                <c:ptCount val="1"/>
                <c:pt idx="0">
                  <c:v>DT</c:v>
                </c:pt>
              </c:strCache>
            </c:strRef>
          </c:tx>
          <c:spPr>
            <a:solidFill>
              <a:schemeClr val="accent1"/>
            </a:solidFill>
            <a:ln>
              <a:noFill/>
            </a:ln>
            <a:effectLst/>
          </c:spPr>
          <c:invertIfNegative val="0"/>
          <c:cat>
            <c:strRef>
              <c:extLst>
                <c:ext xmlns:c15="http://schemas.microsoft.com/office/drawing/2012/chart" uri="{02D57815-91ED-43cb-92C2-25804820EDAC}">
                  <c15:fullRef>
                    <c15:sqref>'DATA consolidated-leasing'!$F$243:$F$258</c15:sqref>
                  </c15:fullRef>
                </c:ext>
              </c:extLst>
              <c:f>'DATA consolidated-leasing'!$F$245:$F$258</c:f>
              <c:strCache>
                <c:ptCount val="14"/>
                <c:pt idx="0">
                  <c:v>Q4 2021</c:v>
                </c:pt>
                <c:pt idx="1">
                  <c:v>Q1 2022</c:v>
                </c:pt>
                <c:pt idx="2">
                  <c:v>Q2 2022</c:v>
                </c:pt>
                <c:pt idx="3">
                  <c:v>Q3 2022</c:v>
                </c:pt>
                <c:pt idx="4">
                  <c:v>Q4 2022</c:v>
                </c:pt>
                <c:pt idx="5">
                  <c:v>Q1 2023</c:v>
                </c:pt>
                <c:pt idx="6">
                  <c:v>Q2 2023</c:v>
                </c:pt>
                <c:pt idx="7">
                  <c:v>Q3 2023</c:v>
                </c:pt>
                <c:pt idx="8">
                  <c:v>Q4 2023</c:v>
                </c:pt>
                <c:pt idx="9">
                  <c:v>Q1 2024</c:v>
                </c:pt>
                <c:pt idx="10">
                  <c:v>Q2 2024</c:v>
                </c:pt>
                <c:pt idx="11">
                  <c:v>Q3 2024</c:v>
                </c:pt>
                <c:pt idx="12">
                  <c:v>Q4 2024</c:v>
                </c:pt>
                <c:pt idx="13">
                  <c:v>Total</c:v>
                </c:pt>
              </c:strCache>
            </c:strRef>
          </c:cat>
          <c:val>
            <c:numRef>
              <c:extLst>
                <c:ext xmlns:c15="http://schemas.microsoft.com/office/drawing/2012/chart" uri="{02D57815-91ED-43cb-92C2-25804820EDAC}">
                  <c15:fullRef>
                    <c15:sqref>'DATA consolidated-leasing'!$V$243:$V$258</c15:sqref>
                  </c15:fullRef>
                </c:ext>
              </c:extLst>
              <c:f>'DATA consolidated-leasing'!$V$245:$V$258</c:f>
              <c:numCache>
                <c:formatCode>0.00</c:formatCode>
                <c:ptCount val="14"/>
                <c:pt idx="0">
                  <c:v>3.9336385975748951</c:v>
                </c:pt>
                <c:pt idx="1">
                  <c:v>1.4097126849366377</c:v>
                </c:pt>
                <c:pt idx="2">
                  <c:v>2.2616685579164089</c:v>
                </c:pt>
                <c:pt idx="3">
                  <c:v>5.4498411435698744</c:v>
                </c:pt>
                <c:pt idx="4">
                  <c:v>3.9284750759645939</c:v>
                </c:pt>
                <c:pt idx="5">
                  <c:v>4.4781532191994096</c:v>
                </c:pt>
                <c:pt idx="6">
                  <c:v>5.1783220177726577</c:v>
                </c:pt>
                <c:pt idx="7">
                  <c:v>3.4504896786300727</c:v>
                </c:pt>
                <c:pt idx="8">
                  <c:v>9.2913695268767729</c:v>
                </c:pt>
                <c:pt idx="9">
                  <c:v>3.7623622729604018</c:v>
                </c:pt>
                <c:pt idx="10">
                  <c:v>5.1360411543571045</c:v>
                </c:pt>
                <c:pt idx="11" formatCode="0%">
                  <c:v>0.33888432313297745</c:v>
                </c:pt>
                <c:pt idx="12">
                  <c:v>11.925131451790865</c:v>
                </c:pt>
                <c:pt idx="13">
                  <c:v>4.1293329222965376</c:v>
                </c:pt>
              </c:numCache>
            </c:numRef>
          </c:val>
          <c:extLst>
            <c:ext xmlns:c16="http://schemas.microsoft.com/office/drawing/2014/chart" uri="{C3380CC4-5D6E-409C-BE32-E72D297353CC}">
              <c16:uniqueId val="{00000000-2723-4115-B0DD-3071770661E1}"/>
            </c:ext>
          </c:extLst>
        </c:ser>
        <c:ser>
          <c:idx val="1"/>
          <c:order val="1"/>
          <c:tx>
            <c:strRef>
              <c:f>'DATA consolidated-leasing'!$W$242</c:f>
              <c:strCache>
                <c:ptCount val="1"/>
                <c:pt idx="0">
                  <c:v>DT (BP)</c:v>
                </c:pt>
              </c:strCache>
            </c:strRef>
          </c:tx>
          <c:spPr>
            <a:solidFill>
              <a:schemeClr val="accent2"/>
            </a:solidFill>
            <a:ln>
              <a:noFill/>
            </a:ln>
            <a:effectLst/>
          </c:spPr>
          <c:invertIfNegative val="0"/>
          <c:cat>
            <c:strRef>
              <c:extLst>
                <c:ext xmlns:c15="http://schemas.microsoft.com/office/drawing/2012/chart" uri="{02D57815-91ED-43cb-92C2-25804820EDAC}">
                  <c15:fullRef>
                    <c15:sqref>'DATA consolidated-leasing'!$F$243:$F$258</c15:sqref>
                  </c15:fullRef>
                </c:ext>
              </c:extLst>
              <c:f>'DATA consolidated-leasing'!$F$245:$F$258</c:f>
              <c:strCache>
                <c:ptCount val="14"/>
                <c:pt idx="0">
                  <c:v>Q4 2021</c:v>
                </c:pt>
                <c:pt idx="1">
                  <c:v>Q1 2022</c:v>
                </c:pt>
                <c:pt idx="2">
                  <c:v>Q2 2022</c:v>
                </c:pt>
                <c:pt idx="3">
                  <c:v>Q3 2022</c:v>
                </c:pt>
                <c:pt idx="4">
                  <c:v>Q4 2022</c:v>
                </c:pt>
                <c:pt idx="5">
                  <c:v>Q1 2023</c:v>
                </c:pt>
                <c:pt idx="6">
                  <c:v>Q2 2023</c:v>
                </c:pt>
                <c:pt idx="7">
                  <c:v>Q3 2023</c:v>
                </c:pt>
                <c:pt idx="8">
                  <c:v>Q4 2023</c:v>
                </c:pt>
                <c:pt idx="9">
                  <c:v>Q1 2024</c:v>
                </c:pt>
                <c:pt idx="10">
                  <c:v>Q2 2024</c:v>
                </c:pt>
                <c:pt idx="11">
                  <c:v>Q3 2024</c:v>
                </c:pt>
                <c:pt idx="12">
                  <c:v>Q4 2024</c:v>
                </c:pt>
                <c:pt idx="13">
                  <c:v>Total</c:v>
                </c:pt>
              </c:strCache>
            </c:strRef>
          </c:cat>
          <c:val>
            <c:numRef>
              <c:extLst>
                <c:ext xmlns:c15="http://schemas.microsoft.com/office/drawing/2012/chart" uri="{02D57815-91ED-43cb-92C2-25804820EDAC}">
                  <c15:fullRef>
                    <c15:sqref>'DATA consolidated-leasing'!$W$243:$W$258</c15:sqref>
                  </c15:fullRef>
                </c:ext>
              </c:extLst>
              <c:f>'DATA consolidated-leasing'!$W$245:$W$258</c:f>
              <c:numCache>
                <c:formatCode>0.00</c:formatCode>
                <c:ptCount val="14"/>
                <c:pt idx="0">
                  <c:v>7.2208697345275343</c:v>
                </c:pt>
                <c:pt idx="1">
                  <c:v>9.6554184093888527</c:v>
                </c:pt>
                <c:pt idx="2">
                  <c:v>6.3360946259062709</c:v>
                </c:pt>
                <c:pt idx="3">
                  <c:v>6.4517630853994481</c:v>
                </c:pt>
                <c:pt idx="4">
                  <c:v>4.9261024426875819</c:v>
                </c:pt>
                <c:pt idx="5">
                  <c:v>4.7734456332135151</c:v>
                </c:pt>
                <c:pt idx="6">
                  <c:v>6.4898665432634113</c:v>
                </c:pt>
                <c:pt idx="7">
                  <c:v>6.8008796622097112</c:v>
                </c:pt>
                <c:pt idx="8">
                  <c:v>8.1180555555555554</c:v>
                </c:pt>
                <c:pt idx="9">
                  <c:v>5.414489857276763</c:v>
                </c:pt>
                <c:pt idx="10">
                  <c:v>4.7378727493710961</c:v>
                </c:pt>
                <c:pt idx="11">
                  <c:v>5.6400032156925795</c:v>
                </c:pt>
                <c:pt idx="12">
                  <c:v>7.5598666839145618</c:v>
                </c:pt>
                <c:pt idx="13">
                  <c:v>6.1327876190499078</c:v>
                </c:pt>
              </c:numCache>
            </c:numRef>
          </c:val>
          <c:extLst>
            <c:ext xmlns:c16="http://schemas.microsoft.com/office/drawing/2014/chart" uri="{C3380CC4-5D6E-409C-BE32-E72D297353CC}">
              <c16:uniqueId val="{00000001-2723-4115-B0DD-3071770661E1}"/>
            </c:ext>
          </c:extLst>
        </c:ser>
        <c:dLbls>
          <c:showLegendKey val="0"/>
          <c:showVal val="0"/>
          <c:showCatName val="0"/>
          <c:showSerName val="0"/>
          <c:showPercent val="0"/>
          <c:showBubbleSize val="0"/>
        </c:dLbls>
        <c:gapWidth val="219"/>
        <c:overlap val="-27"/>
        <c:axId val="112220128"/>
        <c:axId val="605777903"/>
      </c:barChart>
      <c:catAx>
        <c:axId val="11222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77903"/>
        <c:crosses val="autoZero"/>
        <c:auto val="1"/>
        <c:lblAlgn val="ctr"/>
        <c:lblOffset val="100"/>
        <c:noMultiLvlLbl val="0"/>
      </c:catAx>
      <c:valAx>
        <c:axId val="605777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0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Contractual</a:t>
            </a:r>
            <a:r>
              <a:rPr lang="en-US" baseline="0"/>
              <a:t> </a:t>
            </a:r>
            <a:r>
              <a:rPr lang="en-US"/>
              <a:t>Escalations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All Leases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consolidated-leasing'!$R$223:$S$223</c:f>
              <c:strCache>
                <c:ptCount val="2"/>
                <c:pt idx="0">
                  <c:v>Escalations (in %)</c:v>
                </c:pt>
                <c:pt idx="1">
                  <c:v>Escalations BP (in %)</c:v>
                </c:pt>
              </c:strCache>
            </c:strRef>
          </c:cat>
          <c:val>
            <c:numRef>
              <c:f>'DATA consolidated-leasing'!$R$239:$S$239</c:f>
              <c:numCache>
                <c:formatCode>0.00</c:formatCode>
                <c:ptCount val="2"/>
                <c:pt idx="0">
                  <c:v>3.5521791389107888</c:v>
                </c:pt>
                <c:pt idx="1">
                  <c:v>2.9218664656565898</c:v>
                </c:pt>
              </c:numCache>
            </c:numRef>
          </c:val>
          <c:extLst>
            <c:ext xmlns:c16="http://schemas.microsoft.com/office/drawing/2014/chart" uri="{C3380CC4-5D6E-409C-BE32-E72D297353CC}">
              <c16:uniqueId val="{00000000-2914-43A3-8EFE-DCAFAC49C231}"/>
            </c:ext>
          </c:extLst>
        </c:ser>
        <c:ser>
          <c:idx val="1"/>
          <c:order val="1"/>
          <c:tx>
            <c:v>Fund 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consolidated-leasing'!$R$223:$S$223</c:f>
              <c:strCache>
                <c:ptCount val="2"/>
                <c:pt idx="0">
                  <c:v>Escalations (in %)</c:v>
                </c:pt>
                <c:pt idx="1">
                  <c:v>Escalations BP (in %)</c:v>
                </c:pt>
              </c:strCache>
            </c:strRef>
          </c:cat>
          <c:val>
            <c:numRef>
              <c:f>'DATA consolidated-leasing'!$R$307:$S$307</c:f>
              <c:numCache>
                <c:formatCode>0.00</c:formatCode>
                <c:ptCount val="2"/>
                <c:pt idx="0">
                  <c:v>3.6272542172218274</c:v>
                </c:pt>
                <c:pt idx="1">
                  <c:v>2.7820838540962902</c:v>
                </c:pt>
              </c:numCache>
            </c:numRef>
          </c:val>
          <c:extLst>
            <c:ext xmlns:c16="http://schemas.microsoft.com/office/drawing/2014/chart" uri="{C3380CC4-5D6E-409C-BE32-E72D297353CC}">
              <c16:uniqueId val="{00000001-2914-43A3-8EFE-DCAFAC49C231}"/>
            </c:ext>
          </c:extLst>
        </c:ser>
        <c:ser>
          <c:idx val="2"/>
          <c:order val="2"/>
          <c:tx>
            <c:v>Fund 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consolidated-leasing'!$R$223:$S$223</c:f>
              <c:strCache>
                <c:ptCount val="2"/>
                <c:pt idx="0">
                  <c:v>Escalations (in %)</c:v>
                </c:pt>
                <c:pt idx="1">
                  <c:v>Escalations BP (in %)</c:v>
                </c:pt>
              </c:strCache>
            </c:strRef>
          </c:cat>
          <c:val>
            <c:numRef>
              <c:f>'DATA consolidated-leasing'!$R$326:$S$326</c:f>
              <c:numCache>
                <c:formatCode>0.00</c:formatCode>
                <c:ptCount val="2"/>
                <c:pt idx="0">
                  <c:v>3.3363091493575396</c:v>
                </c:pt>
                <c:pt idx="1">
                  <c:v>3.323795728683562</c:v>
                </c:pt>
              </c:numCache>
            </c:numRef>
          </c:val>
          <c:extLst>
            <c:ext xmlns:c16="http://schemas.microsoft.com/office/drawing/2014/chart" uri="{C3380CC4-5D6E-409C-BE32-E72D297353CC}">
              <c16:uniqueId val="{00000002-2914-43A3-8EFE-DCAFAC49C231}"/>
            </c:ext>
          </c:extLst>
        </c:ser>
        <c:dLbls>
          <c:dLblPos val="outEnd"/>
          <c:showLegendKey val="0"/>
          <c:showVal val="1"/>
          <c:showCatName val="0"/>
          <c:showSerName val="0"/>
          <c:showPercent val="0"/>
          <c:showBubbleSize val="0"/>
        </c:dLbls>
        <c:gapWidth val="219"/>
        <c:overlap val="-27"/>
        <c:axId val="856817663"/>
        <c:axId val="856812255"/>
      </c:barChart>
      <c:catAx>
        <c:axId val="85681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12255"/>
        <c:crosses val="autoZero"/>
        <c:auto val="1"/>
        <c:lblAlgn val="ctr"/>
        <c:lblOffset val="100"/>
        <c:noMultiLvlLbl val="0"/>
      </c:catAx>
      <c:valAx>
        <c:axId val="85681225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1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PSF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consolidated-leasing'!$N$223:$Q$223</c15:sqref>
                  </c15:fullRef>
                </c:ext>
              </c:extLst>
              <c:f>('DATA consolidated-leasing'!$N$223:$O$223,'DATA consolidated-leasing'!$Q$223)</c:f>
              <c:strCache>
                <c:ptCount val="3"/>
                <c:pt idx="0">
                  <c:v>Prior Lease PSF</c:v>
                </c:pt>
                <c:pt idx="1">
                  <c:v>PSF (BP)</c:v>
                </c:pt>
                <c:pt idx="2">
                  <c:v>Current PSF</c:v>
                </c:pt>
              </c:strCache>
            </c:strRef>
          </c:cat>
          <c:val>
            <c:numRef>
              <c:extLst>
                <c:ext xmlns:c15="http://schemas.microsoft.com/office/drawing/2012/chart" uri="{02D57815-91ED-43cb-92C2-25804820EDAC}">
                  <c15:fullRef>
                    <c15:sqref>'DATA consolidated-leasing'!$N$239:$Q$239</c15:sqref>
                  </c15:fullRef>
                </c:ext>
              </c:extLst>
              <c:f>('DATA consolidated-leasing'!$N$239:$O$239,'DATA consolidated-leasing'!$Q$239)</c:f>
              <c:numCache>
                <c:formatCode>0.00</c:formatCode>
                <c:ptCount val="3"/>
                <c:pt idx="0">
                  <c:v>5.821168376124767</c:v>
                </c:pt>
                <c:pt idx="1">
                  <c:v>7.0706237364020801</c:v>
                </c:pt>
                <c:pt idx="2">
                  <c:v>7.9379219292612655</c:v>
                </c:pt>
              </c:numCache>
            </c:numRef>
          </c:val>
          <c:extLst>
            <c:ext xmlns:c16="http://schemas.microsoft.com/office/drawing/2014/chart" uri="{C3380CC4-5D6E-409C-BE32-E72D297353CC}">
              <c16:uniqueId val="{00000000-E633-4AA1-A235-FA20201D75D6}"/>
            </c:ext>
          </c:extLst>
        </c:ser>
        <c:dLbls>
          <c:dLblPos val="outEnd"/>
          <c:showLegendKey val="0"/>
          <c:showVal val="1"/>
          <c:showCatName val="0"/>
          <c:showSerName val="0"/>
          <c:showPercent val="0"/>
          <c:showBubbleSize val="0"/>
        </c:dLbls>
        <c:gapWidth val="219"/>
        <c:overlap val="-27"/>
        <c:axId val="366872639"/>
        <c:axId val="520126512"/>
      </c:barChart>
      <c:catAx>
        <c:axId val="3668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26512"/>
        <c:crosses val="autoZero"/>
        <c:auto val="1"/>
        <c:lblAlgn val="ctr"/>
        <c:lblOffset val="100"/>
        <c:noMultiLvlLbl val="0"/>
      </c:catAx>
      <c:valAx>
        <c:axId val="52012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2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Leasing Spread % (over prior lease)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lotArea>
      <c:layout/>
      <c:barChart>
        <c:barDir val="col"/>
        <c:grouping val="clustered"/>
        <c:varyColors val="0"/>
        <c:ser>
          <c:idx val="1"/>
          <c:order val="1"/>
          <c:tx>
            <c:strRef>
              <c:f>'Funds Comparison over Time'!$B$3</c:f>
              <c:strCache>
                <c:ptCount val="1"/>
                <c:pt idx="0">
                  <c:v>Fund 3</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Time'!$C$1:$E$1</c:f>
              <c:strCache>
                <c:ptCount val="3"/>
                <c:pt idx="0">
                  <c:v>Since Inception</c:v>
                </c:pt>
                <c:pt idx="1">
                  <c:v>1 Yr</c:v>
                </c:pt>
                <c:pt idx="2">
                  <c:v>Q4-2024</c:v>
                </c:pt>
              </c:strCache>
            </c:strRef>
          </c:cat>
          <c:val>
            <c:numRef>
              <c:f>'Funds Comparison over Time'!$C$3:$E$3</c:f>
              <c:numCache>
                <c:formatCode>0%</c:formatCode>
                <c:ptCount val="3"/>
                <c:pt idx="0">
                  <c:v>0.37096518130629885</c:v>
                </c:pt>
                <c:pt idx="1">
                  <c:v>0.42</c:v>
                </c:pt>
                <c:pt idx="2">
                  <c:v>0.45015136583543947</c:v>
                </c:pt>
              </c:numCache>
            </c:numRef>
          </c:val>
          <c:extLst>
            <c:ext xmlns:c16="http://schemas.microsoft.com/office/drawing/2014/chart" uri="{C3380CC4-5D6E-409C-BE32-E72D297353CC}">
              <c16:uniqueId val="{00000001-4AC3-4F08-B019-14BA6BB57EBB}"/>
            </c:ext>
          </c:extLst>
        </c:ser>
        <c:ser>
          <c:idx val="2"/>
          <c:order val="2"/>
          <c:tx>
            <c:strRef>
              <c:f>'Funds Comparison over Time'!$B$4</c:f>
              <c:strCache>
                <c:ptCount val="1"/>
                <c:pt idx="0">
                  <c:v>Portfolio</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Time'!$C$1:$E$1</c:f>
              <c:strCache>
                <c:ptCount val="3"/>
                <c:pt idx="0">
                  <c:v>Since Inception</c:v>
                </c:pt>
                <c:pt idx="1">
                  <c:v>1 Yr</c:v>
                </c:pt>
                <c:pt idx="2">
                  <c:v>Q4-2024</c:v>
                </c:pt>
              </c:strCache>
            </c:strRef>
          </c:cat>
          <c:val>
            <c:numRef>
              <c:f>'Funds Comparison over Time'!$C$4:$E$4</c:f>
              <c:numCache>
                <c:formatCode>0%</c:formatCode>
                <c:ptCount val="3"/>
                <c:pt idx="0">
                  <c:v>0.34837248332454496</c:v>
                </c:pt>
                <c:pt idx="1">
                  <c:v>0.37</c:v>
                </c:pt>
                <c:pt idx="2">
                  <c:v>0.41734626563404853</c:v>
                </c:pt>
              </c:numCache>
            </c:numRef>
          </c:val>
          <c:extLst>
            <c:ext xmlns:c16="http://schemas.microsoft.com/office/drawing/2014/chart" uri="{C3380CC4-5D6E-409C-BE32-E72D297353CC}">
              <c16:uniqueId val="{00000000-9A2F-4B03-8924-88E7734F348F}"/>
            </c:ext>
          </c:extLst>
        </c:ser>
        <c:dLbls>
          <c:dLblPos val="outEnd"/>
          <c:showLegendKey val="0"/>
          <c:showVal val="1"/>
          <c:showCatName val="0"/>
          <c:showSerName val="0"/>
          <c:showPercent val="0"/>
          <c:showBubbleSize val="0"/>
        </c:dLbls>
        <c:gapWidth val="219"/>
        <c:overlap val="-27"/>
        <c:axId val="2093942559"/>
        <c:axId val="2093946399"/>
        <c:extLst>
          <c:ext xmlns:c15="http://schemas.microsoft.com/office/drawing/2012/chart" uri="{02D57815-91ED-43cb-92C2-25804820EDAC}">
            <c15:filteredBarSeries>
              <c15:ser>
                <c:idx val="0"/>
                <c:order val="0"/>
                <c:tx>
                  <c:strRef>
                    <c:extLst>
                      <c:ext uri="{02D57815-91ED-43cb-92C2-25804820EDAC}">
                        <c15:formulaRef>
                          <c15:sqref>'Funds Comparison over Time'!$B$2</c15:sqref>
                        </c15:formulaRef>
                      </c:ext>
                    </c:extLst>
                    <c:strCache>
                      <c:ptCount val="1"/>
                      <c:pt idx="0">
                        <c:v>Fund 2</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'Funds Comparison over Time'!$C$1:$E$1</c15:sqref>
                        </c15:formulaRef>
                      </c:ext>
                    </c:extLst>
                    <c:strCache>
                      <c:ptCount val="3"/>
                      <c:pt idx="0">
                        <c:v>Since Inception</c:v>
                      </c:pt>
                      <c:pt idx="1">
                        <c:v>1 Yr</c:v>
                      </c:pt>
                      <c:pt idx="2">
                        <c:v>Q4-2024</c:v>
                      </c:pt>
                    </c:strCache>
                  </c:strRef>
                </c:cat>
                <c:val>
                  <c:numRef>
                    <c:extLst>
                      <c:ext uri="{02D57815-91ED-43cb-92C2-25804820EDAC}">
                        <c15:formulaRef>
                          <c15:sqref>'Funds Comparison over Time'!$C$2:$E$2</c15:sqref>
                        </c15:formulaRef>
                      </c:ext>
                    </c:extLst>
                    <c:numCache>
                      <c:formatCode>0%</c:formatCode>
                      <c:ptCount val="3"/>
                      <c:pt idx="0">
                        <c:v>0.34051259410205237</c:v>
                      </c:pt>
                      <c:pt idx="1">
                        <c:v>0.32</c:v>
                      </c:pt>
                      <c:pt idx="2">
                        <c:v>0.38288319113658575</c:v>
                      </c:pt>
                    </c:numCache>
                  </c:numRef>
                </c:val>
                <c:extLst>
                  <c:ext xmlns:c16="http://schemas.microsoft.com/office/drawing/2014/chart" uri="{C3380CC4-5D6E-409C-BE32-E72D297353CC}">
                    <c16:uniqueId val="{00000000-4AC3-4F08-B019-14BA6BB57EBB}"/>
                  </c:ext>
                </c:extLst>
              </c15:ser>
            </c15:filteredBarSeries>
          </c:ext>
        </c:extLst>
      </c:barChart>
      <c:catAx>
        <c:axId val="209394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2093946399"/>
        <c:crosses val="autoZero"/>
        <c:auto val="1"/>
        <c:lblAlgn val="ctr"/>
        <c:lblOffset val="100"/>
        <c:noMultiLvlLbl val="0"/>
      </c:catAx>
      <c:valAx>
        <c:axId val="20939463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2093942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9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Average Executed Rate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'Funds Comparison over Time'!$B$36</c:f>
              <c:strCache>
                <c:ptCount val="1"/>
                <c:pt idx="0">
                  <c:v>Fund 2</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Time'!$C$35:$E$35</c:f>
              <c:strCache>
                <c:ptCount val="3"/>
                <c:pt idx="0">
                  <c:v>Since Inception</c:v>
                </c:pt>
                <c:pt idx="1">
                  <c:v>1 Yr</c:v>
                </c:pt>
                <c:pt idx="2">
                  <c:v>Q4-2024</c:v>
                </c:pt>
              </c:strCache>
            </c:strRef>
          </c:cat>
          <c:val>
            <c:numRef>
              <c:f>'Funds Comparison over Time'!$C$36:$E$36</c:f>
              <c:numCache>
                <c:formatCode>General</c:formatCode>
                <c:ptCount val="3"/>
                <c:pt idx="0" formatCode="0.00">
                  <c:v>7.7075896084220252</c:v>
                </c:pt>
                <c:pt idx="1">
                  <c:v>9.56</c:v>
                </c:pt>
                <c:pt idx="2" formatCode="0.00">
                  <c:v>7.1768302099812527</c:v>
                </c:pt>
              </c:numCache>
            </c:numRef>
          </c:val>
          <c:extLst>
            <c:ext xmlns:c16="http://schemas.microsoft.com/office/drawing/2014/chart" uri="{C3380CC4-5D6E-409C-BE32-E72D297353CC}">
              <c16:uniqueId val="{00000000-B674-46F6-8095-2E4952384ED1}"/>
            </c:ext>
          </c:extLst>
        </c:ser>
        <c:ser>
          <c:idx val="1"/>
          <c:order val="1"/>
          <c:tx>
            <c:strRef>
              <c:f>'Funds Comparison over Time'!$B$37</c:f>
              <c:strCache>
                <c:ptCount val="1"/>
                <c:pt idx="0">
                  <c:v>Fund 2 BP</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Time'!$C$35:$E$35</c:f>
              <c:strCache>
                <c:ptCount val="3"/>
                <c:pt idx="0">
                  <c:v>Since Inception</c:v>
                </c:pt>
                <c:pt idx="1">
                  <c:v>1 Yr</c:v>
                </c:pt>
                <c:pt idx="2">
                  <c:v>Q4-2024</c:v>
                </c:pt>
              </c:strCache>
            </c:strRef>
          </c:cat>
          <c:val>
            <c:numRef>
              <c:f>'Funds Comparison over Time'!$C$37:$E$37</c:f>
              <c:numCache>
                <c:formatCode>General</c:formatCode>
                <c:ptCount val="3"/>
                <c:pt idx="0" formatCode="0.00">
                  <c:v>6.7744673698161986</c:v>
                </c:pt>
                <c:pt idx="1">
                  <c:v>8.27</c:v>
                </c:pt>
                <c:pt idx="2" formatCode="0.00">
                  <c:v>5.5373867683237048</c:v>
                </c:pt>
              </c:numCache>
            </c:numRef>
          </c:val>
          <c:extLst>
            <c:ext xmlns:c16="http://schemas.microsoft.com/office/drawing/2014/chart" uri="{C3380CC4-5D6E-409C-BE32-E72D297353CC}">
              <c16:uniqueId val="{00000001-B674-46F6-8095-2E4952384ED1}"/>
            </c:ext>
          </c:extLst>
        </c:ser>
        <c:ser>
          <c:idx val="2"/>
          <c:order val="2"/>
          <c:tx>
            <c:strRef>
              <c:f>'Funds Comparison over Time'!$B$38</c:f>
              <c:strCache>
                <c:ptCount val="1"/>
                <c:pt idx="0">
                  <c:v>Fund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Time'!$C$35:$E$35</c:f>
              <c:strCache>
                <c:ptCount val="3"/>
                <c:pt idx="0">
                  <c:v>Since Inception</c:v>
                </c:pt>
                <c:pt idx="1">
                  <c:v>1 Yr</c:v>
                </c:pt>
                <c:pt idx="2">
                  <c:v>Q4-2024</c:v>
                </c:pt>
              </c:strCache>
            </c:strRef>
          </c:cat>
          <c:val>
            <c:numRef>
              <c:f>'Funds Comparison over Time'!$C$38:$E$38</c:f>
              <c:numCache>
                <c:formatCode>General</c:formatCode>
                <c:ptCount val="3"/>
                <c:pt idx="0" formatCode="0.00">
                  <c:v>8.6002167521496684</c:v>
                </c:pt>
                <c:pt idx="1">
                  <c:v>9.67</c:v>
                </c:pt>
                <c:pt idx="2" formatCode="0.00">
                  <c:v>9.5453053450831824</c:v>
                </c:pt>
              </c:numCache>
            </c:numRef>
          </c:val>
          <c:extLst>
            <c:ext xmlns:c16="http://schemas.microsoft.com/office/drawing/2014/chart" uri="{C3380CC4-5D6E-409C-BE32-E72D297353CC}">
              <c16:uniqueId val="{00000000-E97B-4056-9A3D-FA3835189156}"/>
            </c:ext>
          </c:extLst>
        </c:ser>
        <c:ser>
          <c:idx val="3"/>
          <c:order val="3"/>
          <c:tx>
            <c:strRef>
              <c:f>'Funds Comparison over Time'!$B$39</c:f>
              <c:strCache>
                <c:ptCount val="1"/>
                <c:pt idx="0">
                  <c:v>Fund 3 BP</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Time'!$C$35:$E$35</c:f>
              <c:strCache>
                <c:ptCount val="3"/>
                <c:pt idx="0">
                  <c:v>Since Inception</c:v>
                </c:pt>
                <c:pt idx="1">
                  <c:v>1 Yr</c:v>
                </c:pt>
                <c:pt idx="2">
                  <c:v>Q4-2024</c:v>
                </c:pt>
              </c:strCache>
            </c:strRef>
          </c:cat>
          <c:val>
            <c:numRef>
              <c:f>'Funds Comparison over Time'!$C$39:$E$39</c:f>
              <c:numCache>
                <c:formatCode>General</c:formatCode>
                <c:ptCount val="3"/>
                <c:pt idx="0" formatCode="0.00">
                  <c:v>7.9221882395539138</c:v>
                </c:pt>
                <c:pt idx="1">
                  <c:v>10.18</c:v>
                </c:pt>
                <c:pt idx="2" formatCode="0.00">
                  <c:v>9.1908177194860805</c:v>
                </c:pt>
              </c:numCache>
            </c:numRef>
          </c:val>
          <c:extLst>
            <c:ext xmlns:c16="http://schemas.microsoft.com/office/drawing/2014/chart" uri="{C3380CC4-5D6E-409C-BE32-E72D297353CC}">
              <c16:uniqueId val="{00000001-E97B-4056-9A3D-FA3835189156}"/>
            </c:ext>
          </c:extLst>
        </c:ser>
        <c:dLbls>
          <c:dLblPos val="outEnd"/>
          <c:showLegendKey val="0"/>
          <c:showVal val="1"/>
          <c:showCatName val="0"/>
          <c:showSerName val="0"/>
          <c:showPercent val="0"/>
          <c:showBubbleSize val="0"/>
        </c:dLbls>
        <c:gapWidth val="219"/>
        <c:overlap val="-27"/>
        <c:axId val="448944447"/>
        <c:axId val="448939167"/>
      </c:barChart>
      <c:catAx>
        <c:axId val="44894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48939167"/>
        <c:crosses val="autoZero"/>
        <c:auto val="1"/>
        <c:lblAlgn val="ctr"/>
        <c:lblOffset val="100"/>
        <c:noMultiLvlLbl val="0"/>
      </c:catAx>
      <c:valAx>
        <c:axId val="44893916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48944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Escalation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lotArea>
      <c:layout/>
      <c:barChart>
        <c:barDir val="col"/>
        <c:grouping val="clustered"/>
        <c:varyColors val="0"/>
        <c:ser>
          <c:idx val="2"/>
          <c:order val="2"/>
          <c:tx>
            <c:strRef>
              <c:f>'Funds Comparison over Time'!$B$44</c:f>
              <c:strCache>
                <c:ptCount val="1"/>
                <c:pt idx="0">
                  <c:v>Fund 3</c:v>
                </c:pt>
              </c:strCache>
              <c:extLst xmlns:c15="http://schemas.microsoft.com/office/drawing/2012/chart"/>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Time'!$C$41:$E$41</c:f>
              <c:strCache>
                <c:ptCount val="3"/>
                <c:pt idx="0">
                  <c:v>Since Inception</c:v>
                </c:pt>
                <c:pt idx="1">
                  <c:v>1 Yr</c:v>
                </c:pt>
                <c:pt idx="2">
                  <c:v>Q4-2024</c:v>
                </c:pt>
              </c:strCache>
              <c:extLst xmlns:c15="http://schemas.microsoft.com/office/drawing/2012/chart"/>
            </c:strRef>
          </c:cat>
          <c:val>
            <c:numRef>
              <c:f>'Funds Comparison over Time'!$C$44:$E$44</c:f>
              <c:numCache>
                <c:formatCode>General</c:formatCode>
                <c:ptCount val="3"/>
                <c:pt idx="0" formatCode="0.00">
                  <c:v>3.3363091493575396</c:v>
                </c:pt>
                <c:pt idx="1">
                  <c:v>3.47</c:v>
                </c:pt>
                <c:pt idx="2" formatCode="0.00">
                  <c:v>3.4523045320323531</c:v>
                </c:pt>
              </c:numCache>
              <c:extLst xmlns:c15="http://schemas.microsoft.com/office/drawing/2012/chart"/>
            </c:numRef>
          </c:val>
          <c:extLst xmlns:c15="http://schemas.microsoft.com/office/drawing/2012/chart">
            <c:ext xmlns:c16="http://schemas.microsoft.com/office/drawing/2014/chart" uri="{C3380CC4-5D6E-409C-BE32-E72D297353CC}">
              <c16:uniqueId val="{00000002-5043-40C5-B989-0EADEAE98EA0}"/>
            </c:ext>
          </c:extLst>
        </c:ser>
        <c:ser>
          <c:idx val="3"/>
          <c:order val="3"/>
          <c:tx>
            <c:strRef>
              <c:f>'Funds Comparison over Time'!$B$45</c:f>
              <c:strCache>
                <c:ptCount val="1"/>
                <c:pt idx="0">
                  <c:v>Fund 3 BP</c:v>
                </c:pt>
              </c:strCache>
              <c:extLst xmlns:c15="http://schemas.microsoft.com/office/drawing/2012/chart"/>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Time'!$C$41:$E$41</c:f>
              <c:strCache>
                <c:ptCount val="3"/>
                <c:pt idx="0">
                  <c:v>Since Inception</c:v>
                </c:pt>
                <c:pt idx="1">
                  <c:v>1 Yr</c:v>
                </c:pt>
                <c:pt idx="2">
                  <c:v>Q4-2024</c:v>
                </c:pt>
              </c:strCache>
              <c:extLst xmlns:c15="http://schemas.microsoft.com/office/drawing/2012/chart"/>
            </c:strRef>
          </c:cat>
          <c:val>
            <c:numRef>
              <c:f>'Funds Comparison over Time'!$C$45:$E$45</c:f>
              <c:numCache>
                <c:formatCode>General</c:formatCode>
                <c:ptCount val="3"/>
                <c:pt idx="0" formatCode="0.00">
                  <c:v>3.323795728683562</c:v>
                </c:pt>
                <c:pt idx="1">
                  <c:v>3.6</c:v>
                </c:pt>
                <c:pt idx="2" formatCode="0.00">
                  <c:v>3.7434318893098335</c:v>
                </c:pt>
              </c:numCache>
              <c:extLst xmlns:c15="http://schemas.microsoft.com/office/drawing/2012/chart"/>
            </c:numRef>
          </c:val>
          <c:extLst xmlns:c15="http://schemas.microsoft.com/office/drawing/2012/chart">
            <c:ext xmlns:c16="http://schemas.microsoft.com/office/drawing/2014/chart" uri="{C3380CC4-5D6E-409C-BE32-E72D297353CC}">
              <c16:uniqueId val="{00000003-5043-40C5-B989-0EADEAE98EA0}"/>
            </c:ext>
          </c:extLst>
        </c:ser>
        <c:dLbls>
          <c:dLblPos val="outEnd"/>
          <c:showLegendKey val="0"/>
          <c:showVal val="1"/>
          <c:showCatName val="0"/>
          <c:showSerName val="0"/>
          <c:showPercent val="0"/>
          <c:showBubbleSize val="0"/>
        </c:dLbls>
        <c:gapWidth val="219"/>
        <c:overlap val="-27"/>
        <c:axId val="924022367"/>
        <c:axId val="924035327"/>
        <c:extLst>
          <c:ext xmlns:c15="http://schemas.microsoft.com/office/drawing/2012/chart" uri="{02D57815-91ED-43cb-92C2-25804820EDAC}">
            <c15:filteredBarSeries>
              <c15:ser>
                <c:idx val="0"/>
                <c:order val="0"/>
                <c:tx>
                  <c:strRef>
                    <c:extLst>
                      <c:ext uri="{02D57815-91ED-43cb-92C2-25804820EDAC}">
                        <c15:formulaRef>
                          <c15:sqref>'Funds Comparison over Time'!$B$42</c15:sqref>
                        </c15:formulaRef>
                      </c:ext>
                    </c:extLst>
                    <c:strCache>
                      <c:ptCount val="1"/>
                      <c:pt idx="0">
                        <c:v>Fund 2</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'Funds Comparison over Time'!$C$41:$E$41</c15:sqref>
                        </c15:formulaRef>
                      </c:ext>
                    </c:extLst>
                    <c:strCache>
                      <c:ptCount val="3"/>
                      <c:pt idx="0">
                        <c:v>Since Inception</c:v>
                      </c:pt>
                      <c:pt idx="1">
                        <c:v>1 Yr</c:v>
                      </c:pt>
                      <c:pt idx="2">
                        <c:v>Q4-2024</c:v>
                      </c:pt>
                    </c:strCache>
                  </c:strRef>
                </c:cat>
                <c:val>
                  <c:numRef>
                    <c:extLst>
                      <c:ext uri="{02D57815-91ED-43cb-92C2-25804820EDAC}">
                        <c15:formulaRef>
                          <c15:sqref>'Funds Comparison over Time'!$C$42:$E$42</c15:sqref>
                        </c15:formulaRef>
                      </c:ext>
                    </c:extLst>
                    <c:numCache>
                      <c:formatCode>General</c:formatCode>
                      <c:ptCount val="3"/>
                      <c:pt idx="0" formatCode="0.00">
                        <c:v>3.6272542172218274</c:v>
                      </c:pt>
                      <c:pt idx="1">
                        <c:v>3.78</c:v>
                      </c:pt>
                      <c:pt idx="2" formatCode="0.00">
                        <c:v>3.8870836788882772</c:v>
                      </c:pt>
                    </c:numCache>
                  </c:numRef>
                </c:val>
                <c:extLst>
                  <c:ext xmlns:c16="http://schemas.microsoft.com/office/drawing/2014/chart" uri="{C3380CC4-5D6E-409C-BE32-E72D297353CC}">
                    <c16:uniqueId val="{00000000-5043-40C5-B989-0EADEAE98EA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'Funds Comparison over Time'!$B$43</c15:sqref>
                        </c15:formulaRef>
                      </c:ext>
                    </c:extLst>
                    <c:strCache>
                      <c:ptCount val="1"/>
                      <c:pt idx="0">
                        <c:v>Fund 2 BP</c:v>
                      </c:pt>
                    </c:strCache>
                  </c:strRef>
                </c:tx>
                <c:spPr>
                  <a:solidFill>
                    <a:schemeClr val="tx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'Funds Comparison over Time'!$C$41:$E$41</c15:sqref>
                        </c15:formulaRef>
                      </c:ext>
                    </c:extLst>
                    <c:strCache>
                      <c:ptCount val="3"/>
                      <c:pt idx="0">
                        <c:v>Since Inception</c:v>
                      </c:pt>
                      <c:pt idx="1">
                        <c:v>1 Yr</c:v>
                      </c:pt>
                      <c:pt idx="2">
                        <c:v>Q4-2024</c:v>
                      </c:pt>
                    </c:strCache>
                  </c:strRef>
                </c:cat>
                <c:val>
                  <c:numRef>
                    <c:extLst xmlns:c15="http://schemas.microsoft.com/office/drawing/2012/chart">
                      <c:ext xmlns:c15="http://schemas.microsoft.com/office/drawing/2012/chart" uri="{02D57815-91ED-43cb-92C2-25804820EDAC}">
                        <c15:formulaRef>
                          <c15:sqref>'Funds Comparison over Time'!$C$43:$E$43</c15:sqref>
                        </c15:formulaRef>
                      </c:ext>
                    </c:extLst>
                    <c:numCache>
                      <c:formatCode>General</c:formatCode>
                      <c:ptCount val="3"/>
                      <c:pt idx="0" formatCode="0.00">
                        <c:v>2.7820838540962902</c:v>
                      </c:pt>
                      <c:pt idx="1">
                        <c:v>2.82</c:v>
                      </c:pt>
                      <c:pt idx="2" formatCode="0.00">
                        <c:v>2.924962889141328</c:v>
                      </c:pt>
                    </c:numCache>
                  </c:numRef>
                </c:val>
                <c:extLst xmlns:c15="http://schemas.microsoft.com/office/drawing/2012/chart">
                  <c:ext xmlns:c16="http://schemas.microsoft.com/office/drawing/2014/chart" uri="{C3380CC4-5D6E-409C-BE32-E72D297353CC}">
                    <c16:uniqueId val="{00000001-5043-40C5-B989-0EADEAE98EA0}"/>
                  </c:ext>
                </c:extLst>
              </c15:ser>
            </c15:filteredBarSeries>
          </c:ext>
        </c:extLst>
      </c:barChart>
      <c:catAx>
        <c:axId val="92402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924035327"/>
        <c:crosses val="autoZero"/>
        <c:auto val="1"/>
        <c:lblAlgn val="ctr"/>
        <c:lblOffset val="100"/>
        <c:noMultiLvlLbl val="0"/>
      </c:catAx>
      <c:valAx>
        <c:axId val="92403532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24022367"/>
        <c:crosses val="autoZero"/>
        <c:crossBetween val="between"/>
      </c:valAx>
      <c:spPr>
        <a:noFill/>
        <a:ln>
          <a:noFill/>
        </a:ln>
        <a:effectLst/>
      </c:spPr>
    </c:plotArea>
    <c:legend>
      <c:legendPos val="b"/>
      <c:layout>
        <c:manualLayout>
          <c:xMode val="edge"/>
          <c:yMode val="edge"/>
          <c:x val="0.21694648274461167"/>
          <c:y val="0.92474358143457902"/>
          <c:w val="0.56610703451077671"/>
          <c:h val="7.52563185261593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9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Leasing</a:t>
            </a:r>
            <a:r>
              <a:rPr lang="en-US" baseline="0"/>
              <a:t> Spread over BP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'Funds Comparison over Time'!$B$8</c:f>
              <c:strCache>
                <c:ptCount val="1"/>
                <c:pt idx="0">
                  <c:v>Fund 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Time'!$C$1:$E$1</c:f>
              <c:strCache>
                <c:ptCount val="3"/>
                <c:pt idx="0">
                  <c:v>Since Inception</c:v>
                </c:pt>
                <c:pt idx="1">
                  <c:v>1 Yr</c:v>
                </c:pt>
                <c:pt idx="2">
                  <c:v>Q4-2024</c:v>
                </c:pt>
              </c:strCache>
            </c:strRef>
          </c:cat>
          <c:val>
            <c:numRef>
              <c:f>'Funds Comparison over Time'!$C$8:$E$8</c:f>
              <c:numCache>
                <c:formatCode>0%</c:formatCode>
                <c:ptCount val="3"/>
                <c:pt idx="0">
                  <c:v>8.5586013875622591E-2</c:v>
                </c:pt>
                <c:pt idx="1">
                  <c:v>0.05</c:v>
                </c:pt>
                <c:pt idx="2">
                  <c:v>3.8569759124427838E-2</c:v>
                </c:pt>
              </c:numCache>
            </c:numRef>
          </c:val>
          <c:extLst xmlns:c15="http://schemas.microsoft.com/office/drawing/2012/chart">
            <c:ext xmlns:c16="http://schemas.microsoft.com/office/drawing/2014/chart" uri="{C3380CC4-5D6E-409C-BE32-E72D297353CC}">
              <c16:uniqueId val="{00000001-C224-49AE-8470-82ABDAAA4B9C}"/>
            </c:ext>
          </c:extLst>
        </c:ser>
        <c:ser>
          <c:idx val="2"/>
          <c:order val="2"/>
          <c:tx>
            <c:strRef>
              <c:f>'Funds Comparison over Time'!$B$9</c:f>
              <c:strCache>
                <c:ptCount val="1"/>
                <c:pt idx="0">
                  <c:v>Portfolio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Time'!$C$1:$E$1</c:f>
              <c:strCache>
                <c:ptCount val="3"/>
                <c:pt idx="0">
                  <c:v>Since Inception</c:v>
                </c:pt>
                <c:pt idx="1">
                  <c:v>1 Yr</c:v>
                </c:pt>
                <c:pt idx="2">
                  <c:v>Q4-2024</c:v>
                </c:pt>
              </c:strCache>
            </c:strRef>
          </c:cat>
          <c:val>
            <c:numRef>
              <c:f>'Funds Comparison over Time'!$C$9:$E$9</c:f>
              <c:numCache>
                <c:formatCode>0%</c:formatCode>
                <c:ptCount val="3"/>
                <c:pt idx="0">
                  <c:v>0.1226621900970386</c:v>
                </c:pt>
                <c:pt idx="1">
                  <c:v>0.11</c:v>
                </c:pt>
                <c:pt idx="2">
                  <c:v>0.15982544581997504</c:v>
                </c:pt>
              </c:numCache>
            </c:numRef>
          </c:val>
          <c:extLst>
            <c:ext xmlns:c16="http://schemas.microsoft.com/office/drawing/2014/chart" uri="{C3380CC4-5D6E-409C-BE32-E72D297353CC}">
              <c16:uniqueId val="{00000000-28A4-4691-BDC5-D2A7C46F0798}"/>
            </c:ext>
          </c:extLst>
        </c:ser>
        <c:dLbls>
          <c:dLblPos val="outEnd"/>
          <c:showLegendKey val="0"/>
          <c:showVal val="1"/>
          <c:showCatName val="0"/>
          <c:showSerName val="0"/>
          <c:showPercent val="0"/>
          <c:showBubbleSize val="0"/>
        </c:dLbls>
        <c:gapWidth val="219"/>
        <c:overlap val="-27"/>
        <c:axId val="2093942559"/>
        <c:axId val="2093946399"/>
        <c:extLst>
          <c:ext xmlns:c15="http://schemas.microsoft.com/office/drawing/2012/chart" uri="{02D57815-91ED-43cb-92C2-25804820EDAC}">
            <c15:filteredBarSeries>
              <c15:ser>
                <c:idx val="0"/>
                <c:order val="0"/>
                <c:tx>
                  <c:strRef>
                    <c:extLst>
                      <c:ext uri="{02D57815-91ED-43cb-92C2-25804820EDAC}">
                        <c15:formulaRef>
                          <c15:sqref>'Funds Comparison over Time'!$B$7</c15:sqref>
                        </c15:formulaRef>
                      </c:ext>
                    </c:extLst>
                    <c:strCache>
                      <c:ptCount val="1"/>
                      <c:pt idx="0">
                        <c:v>Fund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'Funds Comparison over Time'!$C$1:$E$1</c15:sqref>
                        </c15:formulaRef>
                      </c:ext>
                    </c:extLst>
                    <c:strCache>
                      <c:ptCount val="3"/>
                      <c:pt idx="0">
                        <c:v>Since Inception</c:v>
                      </c:pt>
                      <c:pt idx="1">
                        <c:v>1 Yr</c:v>
                      </c:pt>
                      <c:pt idx="2">
                        <c:v>Q4-2024</c:v>
                      </c:pt>
                    </c:strCache>
                  </c:strRef>
                </c:cat>
                <c:val>
                  <c:numRef>
                    <c:extLst>
                      <c:ext uri="{02D57815-91ED-43cb-92C2-25804820EDAC}">
                        <c15:formulaRef>
                          <c15:sqref>'Funds Comparison over Time'!$C$7:$E$7</c15:sqref>
                        </c15:formulaRef>
                      </c:ext>
                    </c:extLst>
                    <c:numCache>
                      <c:formatCode>0%</c:formatCode>
                      <c:ptCount val="3"/>
                      <c:pt idx="0">
                        <c:v>0.1377410485086068</c:v>
                      </c:pt>
                      <c:pt idx="1">
                        <c:v>0.16</c:v>
                      </c:pt>
                      <c:pt idx="2">
                        <c:v>0.29606807511367772</c:v>
                      </c:pt>
                    </c:numCache>
                  </c:numRef>
                </c:val>
                <c:extLst>
                  <c:ext xmlns:c16="http://schemas.microsoft.com/office/drawing/2014/chart" uri="{C3380CC4-5D6E-409C-BE32-E72D297353CC}">
                    <c16:uniqueId val="{00000000-C224-49AE-8470-82ABDAAA4B9C}"/>
                  </c:ext>
                </c:extLst>
              </c15:ser>
            </c15:filteredBarSeries>
          </c:ext>
        </c:extLst>
      </c:barChart>
      <c:catAx>
        <c:axId val="209394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946399"/>
        <c:crosses val="autoZero"/>
        <c:auto val="1"/>
        <c:lblAlgn val="ctr"/>
        <c:lblOffset val="100"/>
        <c:noMultiLvlLbl val="0"/>
      </c:catAx>
      <c:valAx>
        <c:axId val="20939463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942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Renewal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lotArea>
      <c:layout/>
      <c:barChart>
        <c:barDir val="col"/>
        <c:grouping val="clustered"/>
        <c:varyColors val="0"/>
        <c:ser>
          <c:idx val="0"/>
          <c:order val="0"/>
          <c:tx>
            <c:strRef>
              <c:f>'Funds Comparison over Time'!$B$16</c:f>
              <c:strCache>
                <c:ptCount val="1"/>
                <c:pt idx="0">
                  <c:v>Fund 2 : Renewal Rate</c:v>
                </c:pt>
              </c:strCache>
              <c:extLst xmlns:c15="http://schemas.microsoft.com/office/drawing/2012/chart"/>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Time'!$C$12:$E$12</c:f>
              <c:strCache>
                <c:ptCount val="3"/>
                <c:pt idx="0">
                  <c:v>Since Inception</c:v>
                </c:pt>
                <c:pt idx="1">
                  <c:v>1 Yr</c:v>
                </c:pt>
                <c:pt idx="2">
                  <c:v>Q4-2024</c:v>
                </c:pt>
              </c:strCache>
              <c:extLst xmlns:c15="http://schemas.microsoft.com/office/drawing/2012/chart"/>
            </c:strRef>
          </c:cat>
          <c:val>
            <c:numRef>
              <c:f>'Funds Comparison over Time'!$C$16:$E$16</c:f>
              <c:numCache>
                <c:formatCode>0%</c:formatCode>
                <c:ptCount val="3"/>
                <c:pt idx="0">
                  <c:v>0.58333333333333337</c:v>
                </c:pt>
                <c:pt idx="1">
                  <c:v>0.48148148148148145</c:v>
                </c:pt>
                <c:pt idx="2">
                  <c:v>0.5714285714285714</c:v>
                </c:pt>
              </c:numCache>
              <c:extLst xmlns:c15="http://schemas.microsoft.com/office/drawing/2012/chart"/>
            </c:numRef>
          </c:val>
          <c:extLst xmlns:c15="http://schemas.microsoft.com/office/drawing/2012/chart">
            <c:ext xmlns:c16="http://schemas.microsoft.com/office/drawing/2014/chart" uri="{C3380CC4-5D6E-409C-BE32-E72D297353CC}">
              <c16:uniqueId val="{00000000-67A8-4115-B2EE-F59E5C44A967}"/>
            </c:ext>
          </c:extLst>
        </c:ser>
        <c:ser>
          <c:idx val="2"/>
          <c:order val="2"/>
          <c:tx>
            <c:strRef>
              <c:f>'Funds Comparison over Time'!$B$21</c:f>
              <c:strCache>
                <c:ptCount val="1"/>
                <c:pt idx="0">
                  <c:v>Portfolio Renewal Rate</c:v>
                </c:pt>
              </c:strCache>
              <c:extLst xmlns:c15="http://schemas.microsoft.com/office/drawing/2012/chart"/>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Time'!$C$12:$E$12</c:f>
              <c:strCache>
                <c:ptCount val="3"/>
                <c:pt idx="0">
                  <c:v>Since Inception</c:v>
                </c:pt>
                <c:pt idx="1">
                  <c:v>1 Yr</c:v>
                </c:pt>
                <c:pt idx="2">
                  <c:v>Q4-2024</c:v>
                </c:pt>
              </c:strCache>
              <c:extLst xmlns:c15="http://schemas.microsoft.com/office/drawing/2012/chart"/>
            </c:strRef>
          </c:cat>
          <c:val>
            <c:numRef>
              <c:f>'Funds Comparison over Time'!$C$21:$E$21</c:f>
              <c:numCache>
                <c:formatCode>0%</c:formatCode>
                <c:ptCount val="3"/>
                <c:pt idx="0">
                  <c:v>0.60317460317460314</c:v>
                </c:pt>
                <c:pt idx="1">
                  <c:v>0.5423728813559322</c:v>
                </c:pt>
                <c:pt idx="2">
                  <c:v>0.66666666666666663</c:v>
                </c:pt>
              </c:numCache>
              <c:extLst xmlns:c15="http://schemas.microsoft.com/office/drawing/2012/chart"/>
            </c:numRef>
          </c:val>
          <c:extLst xmlns:c15="http://schemas.microsoft.com/office/drawing/2012/chart">
            <c:ext xmlns:c16="http://schemas.microsoft.com/office/drawing/2014/chart" uri="{C3380CC4-5D6E-409C-BE32-E72D297353CC}">
              <c16:uniqueId val="{00000002-67A8-4115-B2EE-F59E5C44A967}"/>
            </c:ext>
          </c:extLst>
        </c:ser>
        <c:dLbls>
          <c:dLblPos val="outEnd"/>
          <c:showLegendKey val="0"/>
          <c:showVal val="1"/>
          <c:showCatName val="0"/>
          <c:showSerName val="0"/>
          <c:showPercent val="0"/>
          <c:showBubbleSize val="0"/>
        </c:dLbls>
        <c:gapWidth val="219"/>
        <c:overlap val="-27"/>
        <c:axId val="615724991"/>
        <c:axId val="615725471"/>
        <c:extLst>
          <c:ext xmlns:c15="http://schemas.microsoft.com/office/drawing/2012/chart" uri="{02D57815-91ED-43cb-92C2-25804820EDAC}">
            <c15:filteredBarSeries>
              <c15:ser>
                <c:idx val="1"/>
                <c:order val="1"/>
                <c:tx>
                  <c:strRef>
                    <c:extLst>
                      <c:ext uri="{02D57815-91ED-43cb-92C2-25804820EDAC}">
                        <c15:formulaRef>
                          <c15:sqref>'Funds Comparison over Time'!$B$20</c15:sqref>
                        </c15:formulaRef>
                      </c:ext>
                    </c:extLst>
                    <c:strCache>
                      <c:ptCount val="1"/>
                      <c:pt idx="0">
                        <c:v>Fund 3 : Renewal 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'Funds Comparison over Time'!$C$12:$E$12</c15:sqref>
                        </c15:formulaRef>
                      </c:ext>
                    </c:extLst>
                    <c:strCache>
                      <c:ptCount val="3"/>
                      <c:pt idx="0">
                        <c:v>Since Inception</c:v>
                      </c:pt>
                      <c:pt idx="1">
                        <c:v>1 Yr</c:v>
                      </c:pt>
                      <c:pt idx="2">
                        <c:v>Q4-2024</c:v>
                      </c:pt>
                    </c:strCache>
                  </c:strRef>
                </c:cat>
                <c:val>
                  <c:numRef>
                    <c:extLst>
                      <c:ext uri="{02D57815-91ED-43cb-92C2-25804820EDAC}">
                        <c15:formulaRef>
                          <c15:sqref>'Funds Comparison over Time'!$C$20:$E$20</c15:sqref>
                        </c15:formulaRef>
                      </c:ext>
                    </c:extLst>
                    <c:numCache>
                      <c:formatCode>0%</c:formatCode>
                      <c:ptCount val="3"/>
                      <c:pt idx="0">
                        <c:v>0.64912280701754388</c:v>
                      </c:pt>
                      <c:pt idx="1">
                        <c:v>0.59375</c:v>
                      </c:pt>
                      <c:pt idx="2">
                        <c:v>0.75</c:v>
                      </c:pt>
                    </c:numCache>
                  </c:numRef>
                </c:val>
                <c:extLst>
                  <c:ext xmlns:c16="http://schemas.microsoft.com/office/drawing/2014/chart" uri="{C3380CC4-5D6E-409C-BE32-E72D297353CC}">
                    <c16:uniqueId val="{00000001-67A8-4115-B2EE-F59E5C44A967}"/>
                  </c:ext>
                </c:extLst>
              </c15:ser>
            </c15:filteredBarSeries>
          </c:ext>
        </c:extLst>
      </c:barChart>
      <c:catAx>
        <c:axId val="61572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615725471"/>
        <c:crosses val="autoZero"/>
        <c:auto val="1"/>
        <c:lblAlgn val="ctr"/>
        <c:lblOffset val="100"/>
        <c:noMultiLvlLbl val="0"/>
      </c:catAx>
      <c:valAx>
        <c:axId val="615725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615724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9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r>
              <a:rPr lang="en-US" sz="1200" b="1" dirty="0"/>
              <a:t>Leasing Spreads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F3F1-4790-8243-039C5B392AA2}"/>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 Charts'!$C$48:$D$48</c:f>
              <c:strCache>
                <c:ptCount val="2"/>
                <c:pt idx="0">
                  <c:v>Business Plan</c:v>
                </c:pt>
                <c:pt idx="1">
                  <c:v>Actual</c:v>
                </c:pt>
              </c:strCache>
            </c:strRef>
          </c:cat>
          <c:val>
            <c:numRef>
              <c:f>'IR Charts'!$C$49:$D$49</c:f>
              <c:numCache>
                <c:formatCode>0%</c:formatCode>
                <c:ptCount val="2"/>
                <c:pt idx="0">
                  <c:v>0.16712540636560158</c:v>
                </c:pt>
                <c:pt idx="1">
                  <c:v>0.34051259410205237</c:v>
                </c:pt>
              </c:numCache>
            </c:numRef>
          </c:val>
          <c:extLst>
            <c:ext xmlns:c16="http://schemas.microsoft.com/office/drawing/2014/chart" uri="{C3380CC4-5D6E-409C-BE32-E72D297353CC}">
              <c16:uniqueId val="{00000002-F3F1-4790-8243-039C5B392AA2}"/>
            </c:ext>
          </c:extLst>
        </c:ser>
        <c:dLbls>
          <c:dLblPos val="outEnd"/>
          <c:showLegendKey val="0"/>
          <c:showVal val="1"/>
          <c:showCatName val="0"/>
          <c:showSerName val="0"/>
          <c:showPercent val="0"/>
          <c:showBubbleSize val="0"/>
        </c:dLbls>
        <c:gapWidth val="50"/>
        <c:overlap val="-27"/>
        <c:axId val="1125429952"/>
        <c:axId val="1125414000"/>
      </c:barChart>
      <c:catAx>
        <c:axId val="112542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ilroy" pitchFamily="2" charset="77"/>
                <a:ea typeface="+mn-ea"/>
                <a:cs typeface="+mn-cs"/>
              </a:defRPr>
            </a:pPr>
            <a:endParaRPr lang="en-US"/>
          </a:p>
        </c:txPr>
        <c:crossAx val="1125414000"/>
        <c:crosses val="autoZero"/>
        <c:auto val="1"/>
        <c:lblAlgn val="ctr"/>
        <c:lblOffset val="100"/>
        <c:noMultiLvlLbl val="0"/>
      </c:catAx>
      <c:valAx>
        <c:axId val="1125414000"/>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roy" pitchFamily="2" charset="77"/>
                <a:ea typeface="+mn-ea"/>
                <a:cs typeface="+mn-cs"/>
              </a:defRPr>
            </a:pPr>
            <a:endParaRPr lang="en-US"/>
          </a:p>
        </c:txPr>
        <c:crossAx val="112542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Renewal Rate w/o SLB's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lotArea>
      <c:layout/>
      <c:barChart>
        <c:barDir val="col"/>
        <c:grouping val="clustered"/>
        <c:varyColors val="0"/>
        <c:ser>
          <c:idx val="0"/>
          <c:order val="0"/>
          <c:tx>
            <c:strRef>
              <c:f>'Funds Comparison over Time'!$B$27</c:f>
              <c:strCache>
                <c:ptCount val="1"/>
                <c:pt idx="0">
                  <c:v>Fund 2 : Renewal Rate</c:v>
                </c:pt>
              </c:strCache>
              <c:extLst xmlns:c15="http://schemas.microsoft.com/office/drawing/2012/chart"/>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Time'!$C$23:$E$23</c:f>
              <c:strCache>
                <c:ptCount val="3"/>
                <c:pt idx="0">
                  <c:v>Since Inception</c:v>
                </c:pt>
                <c:pt idx="1">
                  <c:v>1 Yr</c:v>
                </c:pt>
                <c:pt idx="2">
                  <c:v>Q4-2024</c:v>
                </c:pt>
              </c:strCache>
              <c:extLst xmlns:c15="http://schemas.microsoft.com/office/drawing/2012/chart"/>
            </c:strRef>
          </c:cat>
          <c:val>
            <c:numRef>
              <c:f>'Funds Comparison over Time'!$C$27:$E$27</c:f>
              <c:numCache>
                <c:formatCode>0%</c:formatCode>
                <c:ptCount val="3"/>
                <c:pt idx="0">
                  <c:v>0.64166666666666672</c:v>
                </c:pt>
                <c:pt idx="1">
                  <c:v>0.5</c:v>
                </c:pt>
                <c:pt idx="2">
                  <c:v>0.5714285714285714</c:v>
                </c:pt>
              </c:numCache>
              <c:extLst xmlns:c15="http://schemas.microsoft.com/office/drawing/2012/chart"/>
            </c:numRef>
          </c:val>
          <c:extLst xmlns:c15="http://schemas.microsoft.com/office/drawing/2012/chart">
            <c:ext xmlns:c16="http://schemas.microsoft.com/office/drawing/2014/chart" uri="{C3380CC4-5D6E-409C-BE32-E72D297353CC}">
              <c16:uniqueId val="{00000000-0D30-407D-8968-8E1F79D2C183}"/>
            </c:ext>
          </c:extLst>
        </c:ser>
        <c:ser>
          <c:idx val="2"/>
          <c:order val="2"/>
          <c:tx>
            <c:strRef>
              <c:f>'Funds Comparison over Time'!$B$32</c:f>
              <c:strCache>
                <c:ptCount val="1"/>
                <c:pt idx="0">
                  <c:v>Portfolio Renewal Rate w/o SLBs</c:v>
                </c:pt>
              </c:strCache>
              <c:extLst xmlns:c15="http://schemas.microsoft.com/office/drawing/2012/chart"/>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'Funds Comparison over Time'!$C$23:$E$23</c:f>
              <c:strCache>
                <c:ptCount val="3"/>
                <c:pt idx="0">
                  <c:v>Since Inception</c:v>
                </c:pt>
                <c:pt idx="1">
                  <c:v>1 Yr</c:v>
                </c:pt>
                <c:pt idx="2">
                  <c:v>Q4-2024</c:v>
                </c:pt>
              </c:strCache>
              <c:extLst xmlns:c15="http://schemas.microsoft.com/office/drawing/2012/chart"/>
            </c:strRef>
          </c:cat>
          <c:val>
            <c:numRef>
              <c:f>'Funds Comparison over Time'!$C$32:$E$32</c:f>
              <c:numCache>
                <c:formatCode>0%</c:formatCode>
                <c:ptCount val="3"/>
                <c:pt idx="0">
                  <c:v>0.6785714285714286</c:v>
                </c:pt>
                <c:pt idx="1">
                  <c:v>0.60377358490566035</c:v>
                </c:pt>
                <c:pt idx="2">
                  <c:v>0.66666666666666663</c:v>
                </c:pt>
              </c:numCache>
              <c:extLst xmlns:c15="http://schemas.microsoft.com/office/drawing/2012/chart"/>
            </c:numRef>
          </c:val>
          <c:extLst xmlns:c15="http://schemas.microsoft.com/office/drawing/2012/chart">
            <c:ext xmlns:c16="http://schemas.microsoft.com/office/drawing/2014/chart" uri="{C3380CC4-5D6E-409C-BE32-E72D297353CC}">
              <c16:uniqueId val="{00000002-0D30-407D-8968-8E1F79D2C183}"/>
            </c:ext>
          </c:extLst>
        </c:ser>
        <c:dLbls>
          <c:dLblPos val="outEnd"/>
          <c:showLegendKey val="0"/>
          <c:showVal val="1"/>
          <c:showCatName val="0"/>
          <c:showSerName val="0"/>
          <c:showPercent val="0"/>
          <c:showBubbleSize val="0"/>
        </c:dLbls>
        <c:gapWidth val="219"/>
        <c:overlap val="-27"/>
        <c:axId val="840707919"/>
        <c:axId val="840699759"/>
        <c:extLst>
          <c:ext xmlns:c15="http://schemas.microsoft.com/office/drawing/2012/chart" uri="{02D57815-91ED-43cb-92C2-25804820EDAC}">
            <c15:filteredBarSeries>
              <c15:ser>
                <c:idx val="1"/>
                <c:order val="1"/>
                <c:tx>
                  <c:strRef>
                    <c:extLst>
                      <c:ext uri="{02D57815-91ED-43cb-92C2-25804820EDAC}">
                        <c15:formulaRef>
                          <c15:sqref>'Funds Comparison over Time'!$B$31</c15:sqref>
                        </c15:formulaRef>
                      </c:ext>
                    </c:extLst>
                    <c:strCache>
                      <c:ptCount val="1"/>
                      <c:pt idx="0">
                        <c:v>Fund 3 : Renewal Rate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'Funds Comparison over Time'!$C$23:$E$23</c15:sqref>
                        </c15:formulaRef>
                      </c:ext>
                    </c:extLst>
                    <c:strCache>
                      <c:ptCount val="3"/>
                      <c:pt idx="0">
                        <c:v>Since Inception</c:v>
                      </c:pt>
                      <c:pt idx="1">
                        <c:v>1 Yr</c:v>
                      </c:pt>
                      <c:pt idx="2">
                        <c:v>Q4-2024</c:v>
                      </c:pt>
                    </c:strCache>
                  </c:strRef>
                </c:cat>
                <c:val>
                  <c:numRef>
                    <c:extLst>
                      <c:ext uri="{02D57815-91ED-43cb-92C2-25804820EDAC}">
                        <c15:formulaRef>
                          <c15:sqref>'Funds Comparison over Time'!$C$31:$E$31</c15:sqref>
                        </c15:formulaRef>
                      </c:ext>
                    </c:extLst>
                    <c:numCache>
                      <c:formatCode>0%</c:formatCode>
                      <c:ptCount val="3"/>
                      <c:pt idx="0">
                        <c:v>0.77083333333333337</c:v>
                      </c:pt>
                      <c:pt idx="1">
                        <c:v>0.70370370370370372</c:v>
                      </c:pt>
                      <c:pt idx="2">
                        <c:v>0.75</c:v>
                      </c:pt>
                    </c:numCache>
                  </c:numRef>
                </c:val>
                <c:extLst>
                  <c:ext xmlns:c16="http://schemas.microsoft.com/office/drawing/2014/chart" uri="{C3380CC4-5D6E-409C-BE32-E72D297353CC}">
                    <c16:uniqueId val="{00000001-0D30-407D-8968-8E1F79D2C183}"/>
                  </c:ext>
                </c:extLst>
              </c15:ser>
            </c15:filteredBarSeries>
          </c:ext>
        </c:extLst>
      </c:barChart>
      <c:catAx>
        <c:axId val="84070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840699759"/>
        <c:crosses val="autoZero"/>
        <c:auto val="1"/>
        <c:lblAlgn val="ctr"/>
        <c:lblOffset val="100"/>
        <c:noMultiLvlLbl val="0"/>
      </c:catAx>
      <c:valAx>
        <c:axId val="840699759"/>
        <c:scaling>
          <c:orientation val="minMax"/>
          <c:max val="0.9"/>
          <c:min val="0.1"/>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4070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ptos" panose="020B0004020202020204" pitchFamily="34" charset="0"/>
                <a:ea typeface="+mn-ea"/>
                <a:cs typeface="+mn-cs"/>
              </a:defRPr>
            </a:pPr>
            <a:r>
              <a:rPr lang="en-US"/>
              <a:t>Fund 2 : Leasing Spread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ptos" panose="020B0004020202020204" pitchFamily="34" charset="0"/>
              <a:ea typeface="+mn-ea"/>
              <a:cs typeface="+mn-cs"/>
            </a:defRPr>
          </a:pPr>
          <a:endParaRPr lang="en-US"/>
        </a:p>
      </c:txPr>
    </c:title>
    <c:autoTitleDeleted val="0"/>
    <c:plotArea>
      <c:layout/>
      <c:barChart>
        <c:barDir val="col"/>
        <c:grouping val="clustered"/>
        <c:varyColors val="0"/>
        <c:ser>
          <c:idx val="0"/>
          <c:order val="0"/>
          <c:tx>
            <c:v>Spread over Prior Lease Rates</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'Funds Comparison over Time'!$C$1:$E$1</c:f>
              <c:strCache>
                <c:ptCount val="3"/>
                <c:pt idx="0">
                  <c:v>Since Inception</c:v>
                </c:pt>
                <c:pt idx="1">
                  <c:v>1 Yr</c:v>
                </c:pt>
                <c:pt idx="2">
                  <c:v>Q4-2024</c:v>
                </c:pt>
              </c:strCache>
            </c:strRef>
          </c:cat>
          <c:val>
            <c:numRef>
              <c:f>'Funds Comparison over Time'!$C$2:$E$2</c:f>
              <c:numCache>
                <c:formatCode>0%</c:formatCode>
                <c:ptCount val="3"/>
                <c:pt idx="0">
                  <c:v>0.34051259410205237</c:v>
                </c:pt>
                <c:pt idx="1">
                  <c:v>0.32</c:v>
                </c:pt>
                <c:pt idx="2">
                  <c:v>0.38288319113658575</c:v>
                </c:pt>
              </c:numCache>
            </c:numRef>
          </c:val>
          <c:extLst>
            <c:ext xmlns:c16="http://schemas.microsoft.com/office/drawing/2014/chart" uri="{C3380CC4-5D6E-409C-BE32-E72D297353CC}">
              <c16:uniqueId val="{00000000-7A81-4E09-A4DA-143B78EBB7C0}"/>
            </c:ext>
          </c:extLst>
        </c:ser>
        <c:ser>
          <c:idx val="1"/>
          <c:order val="1"/>
          <c:tx>
            <c:v>Spread over BP </c:v>
          </c:tx>
          <c:spPr>
            <a:solidFill>
              <a:schemeClr val="accent2"/>
            </a:solidFill>
            <a:ln>
              <a:noFill/>
            </a:ln>
            <a:effectLst/>
          </c:spPr>
          <c:invertIfNegative val="0"/>
          <c:dLbls>
            <c:dLbl>
              <c:idx val="2"/>
              <c:layout>
                <c:manualLayout>
                  <c:x val="3.0211580297198151E-5"/>
                  <c:y val="0.1298781255633072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81-4E09-A4DA-143B78EBB7C0}"/>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'Funds Comparison over Time'!$C$1:$E$1</c:f>
              <c:strCache>
                <c:ptCount val="3"/>
                <c:pt idx="0">
                  <c:v>Since Inception</c:v>
                </c:pt>
                <c:pt idx="1">
                  <c:v>1 Yr</c:v>
                </c:pt>
                <c:pt idx="2">
                  <c:v>Q4-2024</c:v>
                </c:pt>
              </c:strCache>
            </c:strRef>
          </c:cat>
          <c:val>
            <c:numRef>
              <c:f>'Funds Comparison over Time'!$C$7:$E$7</c:f>
              <c:numCache>
                <c:formatCode>0%</c:formatCode>
                <c:ptCount val="3"/>
                <c:pt idx="0">
                  <c:v>0.1377410485086068</c:v>
                </c:pt>
                <c:pt idx="1">
                  <c:v>0.16</c:v>
                </c:pt>
                <c:pt idx="2">
                  <c:v>0.29606807511367772</c:v>
                </c:pt>
              </c:numCache>
            </c:numRef>
          </c:val>
          <c:extLst>
            <c:ext xmlns:c16="http://schemas.microsoft.com/office/drawing/2014/chart" uri="{C3380CC4-5D6E-409C-BE32-E72D297353CC}">
              <c16:uniqueId val="{00000001-7A81-4E09-A4DA-143B78EBB7C0}"/>
            </c:ext>
          </c:extLst>
        </c:ser>
        <c:dLbls>
          <c:dLblPos val="outEnd"/>
          <c:showLegendKey val="0"/>
          <c:showVal val="1"/>
          <c:showCatName val="0"/>
          <c:showSerName val="0"/>
          <c:showPercent val="0"/>
          <c:showBubbleSize val="0"/>
        </c:dLbls>
        <c:gapWidth val="444"/>
        <c:overlap val="-90"/>
        <c:axId val="1400774031"/>
        <c:axId val="740981760"/>
      </c:barChart>
      <c:catAx>
        <c:axId val="1400774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Aptos" panose="020B0004020202020204" pitchFamily="34" charset="0"/>
                <a:ea typeface="+mn-ea"/>
                <a:cs typeface="+mn-cs"/>
              </a:defRPr>
            </a:pPr>
            <a:endParaRPr lang="en-US"/>
          </a:p>
        </c:txPr>
        <c:crossAx val="740981760"/>
        <c:crosses val="autoZero"/>
        <c:auto val="1"/>
        <c:lblAlgn val="ctr"/>
        <c:lblOffset val="100"/>
        <c:noMultiLvlLbl val="0"/>
      </c:catAx>
      <c:valAx>
        <c:axId val="740981760"/>
        <c:scaling>
          <c:orientation val="minMax"/>
        </c:scaling>
        <c:delete val="1"/>
        <c:axPos val="l"/>
        <c:numFmt formatCode="0%" sourceLinked="1"/>
        <c:majorTickMark val="none"/>
        <c:minorTickMark val="none"/>
        <c:tickLblPos val="nextTo"/>
        <c:crossAx val="1400774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ptos" panose="020B0004020202020204" pitchFamily="34" charset="0"/>
                <a:ea typeface="+mn-ea"/>
                <a:cs typeface="+mn-cs"/>
              </a:defRPr>
            </a:pPr>
            <a:r>
              <a:rPr lang="en-US"/>
              <a:t>Fund 3 : Leasing Spread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ptos" panose="020B0004020202020204" pitchFamily="34" charset="0"/>
              <a:ea typeface="+mn-ea"/>
              <a:cs typeface="+mn-cs"/>
            </a:defRPr>
          </a:pPr>
          <a:endParaRPr lang="en-US"/>
        </a:p>
      </c:txPr>
    </c:title>
    <c:autoTitleDeleted val="0"/>
    <c:plotArea>
      <c:layout/>
      <c:barChart>
        <c:barDir val="col"/>
        <c:grouping val="clustered"/>
        <c:varyColors val="0"/>
        <c:ser>
          <c:idx val="0"/>
          <c:order val="0"/>
          <c:tx>
            <c:v>Spread over Prior Lease Rates</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'Funds Comparison over Time'!$C$1:$E$1</c:f>
              <c:strCache>
                <c:ptCount val="3"/>
                <c:pt idx="0">
                  <c:v>Since Inception</c:v>
                </c:pt>
                <c:pt idx="1">
                  <c:v>1 Yr</c:v>
                </c:pt>
                <c:pt idx="2">
                  <c:v>Q4-2024</c:v>
                </c:pt>
              </c:strCache>
            </c:strRef>
          </c:cat>
          <c:val>
            <c:numRef>
              <c:f>'Funds Comparison over Time'!$C$3:$E$3</c:f>
              <c:numCache>
                <c:formatCode>0%</c:formatCode>
                <c:ptCount val="3"/>
                <c:pt idx="0">
                  <c:v>0.37096518130629885</c:v>
                </c:pt>
                <c:pt idx="1">
                  <c:v>0.42</c:v>
                </c:pt>
                <c:pt idx="2">
                  <c:v>0.45015136583543947</c:v>
                </c:pt>
              </c:numCache>
            </c:numRef>
          </c:val>
          <c:extLst>
            <c:ext xmlns:c16="http://schemas.microsoft.com/office/drawing/2014/chart" uri="{C3380CC4-5D6E-409C-BE32-E72D297353CC}">
              <c16:uniqueId val="{00000000-7DE5-4FB1-B512-4E447FE0CEBB}"/>
            </c:ext>
          </c:extLst>
        </c:ser>
        <c:ser>
          <c:idx val="1"/>
          <c:order val="1"/>
          <c:tx>
            <c:v>Spread over BP</c:v>
          </c:tx>
          <c:spPr>
            <a:solidFill>
              <a:schemeClr val="accent2"/>
            </a:solidFill>
            <a:ln>
              <a:noFill/>
            </a:ln>
            <a:effectLst/>
          </c:spPr>
          <c:invertIfNegative val="0"/>
          <c:dLbls>
            <c:dLbl>
              <c:idx val="2"/>
              <c:layout>
                <c:manualLayout>
                  <c:x val="0"/>
                  <c:y val="0.1603132835334273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E5-4FB1-B512-4E447FE0CEBB}"/>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'Funds Comparison over Time'!$C$1:$E$1</c:f>
              <c:strCache>
                <c:ptCount val="3"/>
                <c:pt idx="0">
                  <c:v>Since Inception</c:v>
                </c:pt>
                <c:pt idx="1">
                  <c:v>1 Yr</c:v>
                </c:pt>
                <c:pt idx="2">
                  <c:v>Q4-2024</c:v>
                </c:pt>
              </c:strCache>
            </c:strRef>
          </c:cat>
          <c:val>
            <c:numRef>
              <c:f>'Funds Comparison over Time'!$C$8:$E$8</c:f>
              <c:numCache>
                <c:formatCode>0%</c:formatCode>
                <c:ptCount val="3"/>
                <c:pt idx="0">
                  <c:v>8.5586013875622591E-2</c:v>
                </c:pt>
                <c:pt idx="1">
                  <c:v>0.05</c:v>
                </c:pt>
                <c:pt idx="2">
                  <c:v>3.8569759124427838E-2</c:v>
                </c:pt>
              </c:numCache>
            </c:numRef>
          </c:val>
          <c:extLst>
            <c:ext xmlns:c16="http://schemas.microsoft.com/office/drawing/2014/chart" uri="{C3380CC4-5D6E-409C-BE32-E72D297353CC}">
              <c16:uniqueId val="{00000001-7DE5-4FB1-B512-4E447FE0CEBB}"/>
            </c:ext>
          </c:extLst>
        </c:ser>
        <c:dLbls>
          <c:dLblPos val="outEnd"/>
          <c:showLegendKey val="0"/>
          <c:showVal val="1"/>
          <c:showCatName val="0"/>
          <c:showSerName val="0"/>
          <c:showPercent val="0"/>
          <c:showBubbleSize val="0"/>
        </c:dLbls>
        <c:gapWidth val="444"/>
        <c:overlap val="-90"/>
        <c:axId val="1400774031"/>
        <c:axId val="740981760"/>
      </c:barChart>
      <c:catAx>
        <c:axId val="1400774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Aptos" panose="020B0004020202020204" pitchFamily="34" charset="0"/>
                <a:ea typeface="+mn-ea"/>
                <a:cs typeface="+mn-cs"/>
              </a:defRPr>
            </a:pPr>
            <a:endParaRPr lang="en-US"/>
          </a:p>
        </c:txPr>
        <c:crossAx val="740981760"/>
        <c:crosses val="autoZero"/>
        <c:auto val="1"/>
        <c:lblAlgn val="ctr"/>
        <c:lblOffset val="100"/>
        <c:noMultiLvlLbl val="0"/>
      </c:catAx>
      <c:valAx>
        <c:axId val="740981760"/>
        <c:scaling>
          <c:orientation val="minMax"/>
        </c:scaling>
        <c:delete val="1"/>
        <c:axPos val="l"/>
        <c:numFmt formatCode="0%" sourceLinked="1"/>
        <c:majorTickMark val="none"/>
        <c:minorTickMark val="none"/>
        <c:tickLblPos val="nextTo"/>
        <c:crossAx val="1400774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Downtime - New Leases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Market'!$P$64</c:f>
              <c:strCache>
                <c:ptCount val="1"/>
                <c:pt idx="0">
                  <c:v>DT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Market'!$N$65:$N$79</c:f>
              <c:strCache>
                <c:ptCount val="15"/>
                <c:pt idx="0">
                  <c:v>Atlanta</c:v>
                </c:pt>
                <c:pt idx="1">
                  <c:v>Baltimore/DC</c:v>
                </c:pt>
                <c:pt idx="2">
                  <c:v>Chicago</c:v>
                </c:pt>
                <c:pt idx="3">
                  <c:v>Cincinnati</c:v>
                </c:pt>
                <c:pt idx="4">
                  <c:v>Columbus</c:v>
                </c:pt>
                <c:pt idx="5">
                  <c:v>Dallas</c:v>
                </c:pt>
                <c:pt idx="6">
                  <c:v>Greater Philadelphia</c:v>
                </c:pt>
                <c:pt idx="7">
                  <c:v>Houston</c:v>
                </c:pt>
                <c:pt idx="8">
                  <c:v>Jacksonville</c:v>
                </c:pt>
                <c:pt idx="9">
                  <c:v>Memphis</c:v>
                </c:pt>
                <c:pt idx="10">
                  <c:v>Miami</c:v>
                </c:pt>
                <c:pt idx="11">
                  <c:v>North New Jersey</c:v>
                </c:pt>
                <c:pt idx="12">
                  <c:v>San Antonio</c:v>
                </c:pt>
                <c:pt idx="13">
                  <c:v>Tampa</c:v>
                </c:pt>
                <c:pt idx="14">
                  <c:v>Grand Total</c:v>
                </c:pt>
              </c:strCache>
            </c:strRef>
          </c:cat>
          <c:val>
            <c:numRef>
              <c:f>'Pivot Table - by Market'!$P$65:$P$79</c:f>
              <c:numCache>
                <c:formatCode>0.00</c:formatCode>
                <c:ptCount val="15"/>
                <c:pt idx="0">
                  <c:v>4.4575495634473024</c:v>
                </c:pt>
                <c:pt idx="1">
                  <c:v>2</c:v>
                </c:pt>
                <c:pt idx="2">
                  <c:v>3.3627962775580289</c:v>
                </c:pt>
                <c:pt idx="3">
                  <c:v>0</c:v>
                </c:pt>
                <c:pt idx="4">
                  <c:v>6.840339375241034</c:v>
                </c:pt>
                <c:pt idx="5">
                  <c:v>4.0467207525914803</c:v>
                </c:pt>
                <c:pt idx="6">
                  <c:v>4.1725919474860298</c:v>
                </c:pt>
                <c:pt idx="7">
                  <c:v>6</c:v>
                </c:pt>
                <c:pt idx="8">
                  <c:v>0</c:v>
                </c:pt>
                <c:pt idx="9">
                  <c:v>2.7900987317568271</c:v>
                </c:pt>
                <c:pt idx="10">
                  <c:v>3</c:v>
                </c:pt>
                <c:pt idx="11">
                  <c:v>0.33570293259741846</c:v>
                </c:pt>
                <c:pt idx="12">
                  <c:v>1.3604488078541375</c:v>
                </c:pt>
                <c:pt idx="13">
                  <c:v>3.7309348872561441</c:v>
                </c:pt>
                <c:pt idx="14">
                  <c:v>3.0397770847438457</c:v>
                </c:pt>
              </c:numCache>
            </c:numRef>
          </c:val>
          <c:extLst>
            <c:ext xmlns:c16="http://schemas.microsoft.com/office/drawing/2014/chart" uri="{C3380CC4-5D6E-409C-BE32-E72D297353CC}">
              <c16:uniqueId val="{00000000-D2CE-4905-8A83-21788F4434F1}"/>
            </c:ext>
          </c:extLst>
        </c:ser>
        <c:ser>
          <c:idx val="1"/>
          <c:order val="1"/>
          <c:tx>
            <c:strRef>
              <c:f>'Pivot Table - by Market'!$Q$64</c:f>
              <c:strCache>
                <c:ptCount val="1"/>
                <c:pt idx="0">
                  <c:v>DT (BP)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Market'!$N$65:$N$79</c:f>
              <c:strCache>
                <c:ptCount val="15"/>
                <c:pt idx="0">
                  <c:v>Atlanta</c:v>
                </c:pt>
                <c:pt idx="1">
                  <c:v>Baltimore/DC</c:v>
                </c:pt>
                <c:pt idx="2">
                  <c:v>Chicago</c:v>
                </c:pt>
                <c:pt idx="3">
                  <c:v>Cincinnati</c:v>
                </c:pt>
                <c:pt idx="4">
                  <c:v>Columbus</c:v>
                </c:pt>
                <c:pt idx="5">
                  <c:v>Dallas</c:v>
                </c:pt>
                <c:pt idx="6">
                  <c:v>Greater Philadelphia</c:v>
                </c:pt>
                <c:pt idx="7">
                  <c:v>Houston</c:v>
                </c:pt>
                <c:pt idx="8">
                  <c:v>Jacksonville</c:v>
                </c:pt>
                <c:pt idx="9">
                  <c:v>Memphis</c:v>
                </c:pt>
                <c:pt idx="10">
                  <c:v>Miami</c:v>
                </c:pt>
                <c:pt idx="11">
                  <c:v>North New Jersey</c:v>
                </c:pt>
                <c:pt idx="12">
                  <c:v>San Antonio</c:v>
                </c:pt>
                <c:pt idx="13">
                  <c:v>Tampa</c:v>
                </c:pt>
                <c:pt idx="14">
                  <c:v>Grand Total</c:v>
                </c:pt>
              </c:strCache>
            </c:strRef>
          </c:cat>
          <c:val>
            <c:numRef>
              <c:f>'Pivot Table - by Market'!$Q$65:$Q$79</c:f>
              <c:numCache>
                <c:formatCode>0.00</c:formatCode>
                <c:ptCount val="15"/>
                <c:pt idx="0">
                  <c:v>3.5298873459161806</c:v>
                </c:pt>
                <c:pt idx="1">
                  <c:v>4</c:v>
                </c:pt>
                <c:pt idx="2">
                  <c:v>8.0849879649219627</c:v>
                </c:pt>
                <c:pt idx="3">
                  <c:v>1.3999494160994193</c:v>
                </c:pt>
                <c:pt idx="4">
                  <c:v>8.3707558812186669</c:v>
                </c:pt>
                <c:pt idx="5">
                  <c:v>3.1759462237022835</c:v>
                </c:pt>
                <c:pt idx="6">
                  <c:v>5.5757228573996525</c:v>
                </c:pt>
                <c:pt idx="7">
                  <c:v>11.09</c:v>
                </c:pt>
                <c:pt idx="8">
                  <c:v>9</c:v>
                </c:pt>
                <c:pt idx="9">
                  <c:v>5.431691625245243</c:v>
                </c:pt>
                <c:pt idx="10">
                  <c:v>9</c:v>
                </c:pt>
                <c:pt idx="11">
                  <c:v>3.1092269400730088</c:v>
                </c:pt>
                <c:pt idx="12">
                  <c:v>5.09</c:v>
                </c:pt>
                <c:pt idx="13">
                  <c:v>2.8209348872561439</c:v>
                </c:pt>
                <c:pt idx="14">
                  <c:v>4.8371261390756528</c:v>
                </c:pt>
              </c:numCache>
            </c:numRef>
          </c:val>
          <c:extLst>
            <c:ext xmlns:c16="http://schemas.microsoft.com/office/drawing/2014/chart" uri="{C3380CC4-5D6E-409C-BE32-E72D297353CC}">
              <c16:uniqueId val="{00000001-D2CE-4905-8A83-21788F4434F1}"/>
            </c:ext>
          </c:extLst>
        </c:ser>
        <c:dLbls>
          <c:dLblPos val="outEnd"/>
          <c:showLegendKey val="0"/>
          <c:showVal val="1"/>
          <c:showCatName val="0"/>
          <c:showSerName val="0"/>
          <c:showPercent val="0"/>
          <c:showBubbleSize val="0"/>
        </c:dLbls>
        <c:gapWidth val="219"/>
        <c:overlap val="-27"/>
        <c:axId val="1682927039"/>
        <c:axId val="1348043871"/>
      </c:barChart>
      <c:catAx>
        <c:axId val="168292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043871"/>
        <c:crosses val="autoZero"/>
        <c:auto val="1"/>
        <c:lblAlgn val="ctr"/>
        <c:lblOffset val="100"/>
        <c:noMultiLvlLbl val="0"/>
      </c:catAx>
      <c:valAx>
        <c:axId val="1348043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27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Market'!$R$64</c:f>
              <c:strCache>
                <c:ptCount val="1"/>
                <c:pt idx="0">
                  <c:v>FR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Market'!$N$65:$N$79</c:f>
              <c:strCache>
                <c:ptCount val="15"/>
                <c:pt idx="0">
                  <c:v>Atlanta</c:v>
                </c:pt>
                <c:pt idx="1">
                  <c:v>Baltimore/DC</c:v>
                </c:pt>
                <c:pt idx="2">
                  <c:v>Chicago</c:v>
                </c:pt>
                <c:pt idx="3">
                  <c:v>Cincinnati</c:v>
                </c:pt>
                <c:pt idx="4">
                  <c:v>Columbus</c:v>
                </c:pt>
                <c:pt idx="5">
                  <c:v>Dallas</c:v>
                </c:pt>
                <c:pt idx="6">
                  <c:v>Greater Philadelphia</c:v>
                </c:pt>
                <c:pt idx="7">
                  <c:v>Houston</c:v>
                </c:pt>
                <c:pt idx="8">
                  <c:v>Jacksonville</c:v>
                </c:pt>
                <c:pt idx="9">
                  <c:v>Memphis</c:v>
                </c:pt>
                <c:pt idx="10">
                  <c:v>Miami</c:v>
                </c:pt>
                <c:pt idx="11">
                  <c:v>North New Jersey</c:v>
                </c:pt>
                <c:pt idx="12">
                  <c:v>San Antonio</c:v>
                </c:pt>
                <c:pt idx="13">
                  <c:v>Tampa</c:v>
                </c:pt>
                <c:pt idx="14">
                  <c:v>Grand Total</c:v>
                </c:pt>
              </c:strCache>
            </c:strRef>
          </c:cat>
          <c:val>
            <c:numRef>
              <c:f>'Pivot Table - by Market'!$R$65:$R$79</c:f>
              <c:numCache>
                <c:formatCode>0.00</c:formatCode>
                <c:ptCount val="15"/>
                <c:pt idx="0">
                  <c:v>3.3476713485000875</c:v>
                </c:pt>
                <c:pt idx="1">
                  <c:v>2.0000219782634976</c:v>
                </c:pt>
                <c:pt idx="2">
                  <c:v>2.2095395597658634</c:v>
                </c:pt>
                <c:pt idx="3">
                  <c:v>1.8531703431347357</c:v>
                </c:pt>
                <c:pt idx="4">
                  <c:v>1</c:v>
                </c:pt>
                <c:pt idx="5">
                  <c:v>1.6009907300686288</c:v>
                </c:pt>
                <c:pt idx="6">
                  <c:v>1.000000040671627</c:v>
                </c:pt>
                <c:pt idx="7">
                  <c:v>1.5</c:v>
                </c:pt>
                <c:pt idx="8">
                  <c:v>2.5704347826086957</c:v>
                </c:pt>
                <c:pt idx="9">
                  <c:v>0.67489975398254665</c:v>
                </c:pt>
                <c:pt idx="10">
                  <c:v>3</c:v>
                </c:pt>
                <c:pt idx="11">
                  <c:v>0.99003985379760007</c:v>
                </c:pt>
                <c:pt idx="12">
                  <c:v>1.9999812528706542</c:v>
                </c:pt>
                <c:pt idx="14">
                  <c:v>2.1440973804732093</c:v>
                </c:pt>
              </c:numCache>
            </c:numRef>
          </c:val>
          <c:extLst>
            <c:ext xmlns:c16="http://schemas.microsoft.com/office/drawing/2014/chart" uri="{C3380CC4-5D6E-409C-BE32-E72D297353CC}">
              <c16:uniqueId val="{00000000-93BA-44FD-BB93-DC53F12221EA}"/>
            </c:ext>
          </c:extLst>
        </c:ser>
        <c:dLbls>
          <c:dLblPos val="outEnd"/>
          <c:showLegendKey val="0"/>
          <c:showVal val="1"/>
          <c:showCatName val="0"/>
          <c:showSerName val="0"/>
          <c:showPercent val="0"/>
          <c:showBubbleSize val="0"/>
        </c:dLbls>
        <c:gapWidth val="219"/>
        <c:overlap val="-27"/>
        <c:axId val="850117440"/>
        <c:axId val="934339344"/>
      </c:barChart>
      <c:catAx>
        <c:axId val="85011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339344"/>
        <c:crosses val="autoZero"/>
        <c:auto val="1"/>
        <c:lblAlgn val="ctr"/>
        <c:lblOffset val="100"/>
        <c:noMultiLvlLbl val="0"/>
      </c:catAx>
      <c:valAx>
        <c:axId val="934339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117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 2 -</a:t>
            </a:r>
            <a:r>
              <a:rPr lang="en-US" baseline="0"/>
              <a:t> Signed Leases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Market'!$B$36</c:f>
              <c:strCache>
                <c:ptCount val="1"/>
                <c:pt idx="0">
                  <c:v>Leases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Market'!$A$37:$A$48</c:f>
              <c:strCache>
                <c:ptCount val="12"/>
                <c:pt idx="0">
                  <c:v>Atlanta</c:v>
                </c:pt>
                <c:pt idx="1">
                  <c:v>Chicago</c:v>
                </c:pt>
                <c:pt idx="2">
                  <c:v>Greater Philadelphia</c:v>
                </c:pt>
                <c:pt idx="3">
                  <c:v>Dallas</c:v>
                </c:pt>
                <c:pt idx="4">
                  <c:v>North New Jersey</c:v>
                </c:pt>
                <c:pt idx="5">
                  <c:v>Memphis</c:v>
                </c:pt>
                <c:pt idx="6">
                  <c:v>Cincinnati</c:v>
                </c:pt>
                <c:pt idx="7">
                  <c:v>San Antonio</c:v>
                </c:pt>
                <c:pt idx="8">
                  <c:v>Columbus</c:v>
                </c:pt>
                <c:pt idx="9">
                  <c:v>Tampa</c:v>
                </c:pt>
                <c:pt idx="10">
                  <c:v>Houston</c:v>
                </c:pt>
                <c:pt idx="11">
                  <c:v>Jacksonville</c:v>
                </c:pt>
              </c:strCache>
            </c:strRef>
          </c:cat>
          <c:val>
            <c:numRef>
              <c:f>'Pivot Table - by Market'!$B$37:$B$48</c:f>
              <c:numCache>
                <c:formatCode>0</c:formatCode>
                <c:ptCount val="12"/>
                <c:pt idx="0">
                  <c:v>25</c:v>
                </c:pt>
                <c:pt idx="1">
                  <c:v>22</c:v>
                </c:pt>
                <c:pt idx="2">
                  <c:v>21</c:v>
                </c:pt>
                <c:pt idx="3">
                  <c:v>17</c:v>
                </c:pt>
                <c:pt idx="4">
                  <c:v>12</c:v>
                </c:pt>
                <c:pt idx="5">
                  <c:v>6</c:v>
                </c:pt>
                <c:pt idx="6">
                  <c:v>5</c:v>
                </c:pt>
                <c:pt idx="7">
                  <c:v>5</c:v>
                </c:pt>
                <c:pt idx="8">
                  <c:v>3</c:v>
                </c:pt>
                <c:pt idx="9">
                  <c:v>3</c:v>
                </c:pt>
                <c:pt idx="10">
                  <c:v>1</c:v>
                </c:pt>
                <c:pt idx="11">
                  <c:v>1</c:v>
                </c:pt>
              </c:numCache>
            </c:numRef>
          </c:val>
          <c:extLst>
            <c:ext xmlns:c16="http://schemas.microsoft.com/office/drawing/2014/chart" uri="{C3380CC4-5D6E-409C-BE32-E72D297353CC}">
              <c16:uniqueId val="{00000000-8F1C-4E6A-84C5-CCEED3D8C5C4}"/>
            </c:ext>
          </c:extLst>
        </c:ser>
        <c:dLbls>
          <c:dLblPos val="outEnd"/>
          <c:showLegendKey val="0"/>
          <c:showVal val="1"/>
          <c:showCatName val="0"/>
          <c:showSerName val="0"/>
          <c:showPercent val="0"/>
          <c:showBubbleSize val="0"/>
        </c:dLbls>
        <c:gapWidth val="219"/>
        <c:overlap val="-27"/>
        <c:axId val="1196588880"/>
        <c:axId val="1299238720"/>
      </c:barChart>
      <c:catAx>
        <c:axId val="119658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38720"/>
        <c:crosses val="autoZero"/>
        <c:auto val="1"/>
        <c:lblAlgn val="ctr"/>
        <c:lblOffset val="100"/>
        <c:noMultiLvlLbl val="0"/>
      </c:catAx>
      <c:valAx>
        <c:axId val="12992387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96588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 3 - Signe</a:t>
            </a:r>
            <a:r>
              <a:rPr lang="en-US" baseline="0"/>
              <a:t>d </a:t>
            </a:r>
            <a:r>
              <a:rPr lang="en-US"/>
              <a:t>Leases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Market'!$H$36</c:f>
              <c:strCache>
                <c:ptCount val="1"/>
                <c:pt idx="0">
                  <c:v>Leases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Market'!$G$37:$G$45</c:f>
              <c:strCache>
                <c:ptCount val="9"/>
                <c:pt idx="0">
                  <c:v>Memphis</c:v>
                </c:pt>
                <c:pt idx="1">
                  <c:v>Chicago</c:v>
                </c:pt>
                <c:pt idx="2">
                  <c:v>Columbus</c:v>
                </c:pt>
                <c:pt idx="3">
                  <c:v>Atlanta</c:v>
                </c:pt>
                <c:pt idx="4">
                  <c:v>Baltimore/DC</c:v>
                </c:pt>
                <c:pt idx="5">
                  <c:v>Miami</c:v>
                </c:pt>
                <c:pt idx="6">
                  <c:v>Dallas</c:v>
                </c:pt>
                <c:pt idx="7">
                  <c:v>Greater Philadelphia</c:v>
                </c:pt>
                <c:pt idx="8">
                  <c:v>North New Jersey</c:v>
                </c:pt>
              </c:strCache>
            </c:strRef>
          </c:cat>
          <c:val>
            <c:numRef>
              <c:f>'Pivot Table - by Market'!$H$37:$H$45</c:f>
              <c:numCache>
                <c:formatCode>0</c:formatCode>
                <c:ptCount val="9"/>
                <c:pt idx="0">
                  <c:v>9</c:v>
                </c:pt>
                <c:pt idx="1">
                  <c:v>5</c:v>
                </c:pt>
                <c:pt idx="2">
                  <c:v>5</c:v>
                </c:pt>
                <c:pt idx="3">
                  <c:v>3</c:v>
                </c:pt>
                <c:pt idx="4">
                  <c:v>3</c:v>
                </c:pt>
                <c:pt idx="5">
                  <c:v>3</c:v>
                </c:pt>
                <c:pt idx="6">
                  <c:v>2</c:v>
                </c:pt>
                <c:pt idx="7">
                  <c:v>2</c:v>
                </c:pt>
                <c:pt idx="8">
                  <c:v>1</c:v>
                </c:pt>
              </c:numCache>
            </c:numRef>
          </c:val>
          <c:extLst>
            <c:ext xmlns:c16="http://schemas.microsoft.com/office/drawing/2014/chart" uri="{C3380CC4-5D6E-409C-BE32-E72D297353CC}">
              <c16:uniqueId val="{00000000-E498-4221-BB0F-188746DF3766}"/>
            </c:ext>
          </c:extLst>
        </c:ser>
        <c:dLbls>
          <c:dLblPos val="outEnd"/>
          <c:showLegendKey val="0"/>
          <c:showVal val="1"/>
          <c:showCatName val="0"/>
          <c:showSerName val="0"/>
          <c:showPercent val="0"/>
          <c:showBubbleSize val="0"/>
        </c:dLbls>
        <c:gapWidth val="219"/>
        <c:overlap val="-27"/>
        <c:axId val="1182738448"/>
        <c:axId val="1189782880"/>
      </c:barChart>
      <c:catAx>
        <c:axId val="118273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782880"/>
        <c:crosses val="autoZero"/>
        <c:auto val="1"/>
        <c:lblAlgn val="ctr"/>
        <c:lblOffset val="100"/>
        <c:noMultiLvlLbl val="0"/>
      </c:catAx>
      <c:valAx>
        <c:axId val="11897828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82738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Leasing Spread over Prior Lease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lotArea>
      <c:layout/>
      <c:lineChart>
        <c:grouping val="standard"/>
        <c:varyColors val="0"/>
        <c:ser>
          <c:idx val="0"/>
          <c:order val="0"/>
          <c:tx>
            <c:strRef>
              <c:f>'Pivot Table - by Quarter'!$B$70</c:f>
              <c:strCache>
                <c:ptCount val="1"/>
                <c:pt idx="0">
                  <c:v>Portfolio</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'Pivot Table - by Quarter'!$A$71:$A$81</c15:sqref>
                  </c15:fullRef>
                </c:ext>
              </c:extLst>
              <c:f>'Pivot Table - by Quarter'!$A$73:$A$81</c:f>
              <c:strCache>
                <c:ptCount val="9"/>
                <c:pt idx="0">
                  <c:v>Q4 2022</c:v>
                </c:pt>
                <c:pt idx="1">
                  <c:v>Q1 2023</c:v>
                </c:pt>
                <c:pt idx="2">
                  <c:v>Q2 2023</c:v>
                </c:pt>
                <c:pt idx="3">
                  <c:v>Q3 2023</c:v>
                </c:pt>
                <c:pt idx="4">
                  <c:v>Q4 2023</c:v>
                </c:pt>
                <c:pt idx="5">
                  <c:v>Q1 2024</c:v>
                </c:pt>
                <c:pt idx="6">
                  <c:v>Q2 2024</c:v>
                </c:pt>
                <c:pt idx="7">
                  <c:v>Q3 2024</c:v>
                </c:pt>
                <c:pt idx="8">
                  <c:v>Q4 2024</c:v>
                </c:pt>
              </c:strCache>
            </c:strRef>
          </c:cat>
          <c:val>
            <c:numRef>
              <c:extLst>
                <c:ext xmlns:c15="http://schemas.microsoft.com/office/drawing/2012/chart" uri="{02D57815-91ED-43cb-92C2-25804820EDAC}">
                  <c15:fullRef>
                    <c15:sqref>'Pivot Table - by Quarter'!$B$71:$B$81</c15:sqref>
                  </c15:fullRef>
                </c:ext>
              </c:extLst>
              <c:f>'Pivot Table - by Quarter'!$B$73:$B$81</c:f>
              <c:numCache>
                <c:formatCode>0%</c:formatCode>
                <c:ptCount val="9"/>
                <c:pt idx="0">
                  <c:v>0.43444021434202607</c:v>
                </c:pt>
                <c:pt idx="1">
                  <c:v>0.34115382418257889</c:v>
                </c:pt>
                <c:pt idx="2">
                  <c:v>0.39119573300902322</c:v>
                </c:pt>
                <c:pt idx="3">
                  <c:v>0.2889699413298048</c:v>
                </c:pt>
                <c:pt idx="4">
                  <c:v>0.24405613489904243</c:v>
                </c:pt>
                <c:pt idx="5">
                  <c:v>0.24405293727379895</c:v>
                </c:pt>
                <c:pt idx="6">
                  <c:v>0.41975217180122071</c:v>
                </c:pt>
                <c:pt idx="7">
                  <c:v>0.34</c:v>
                </c:pt>
                <c:pt idx="8">
                  <c:v>0.41</c:v>
                </c:pt>
              </c:numCache>
            </c:numRef>
          </c:val>
          <c:smooth val="0"/>
          <c:extLst>
            <c:ext xmlns:c16="http://schemas.microsoft.com/office/drawing/2014/chart" uri="{C3380CC4-5D6E-409C-BE32-E72D297353CC}">
              <c16:uniqueId val="{00000000-E121-44E5-9DBA-F970D1EAFD58}"/>
            </c:ext>
          </c:extLst>
        </c:ser>
        <c:ser>
          <c:idx val="1"/>
          <c:order val="1"/>
          <c:tx>
            <c:strRef>
              <c:f>'Pivot Table - by Quarter'!$C$70</c:f>
              <c:strCache>
                <c:ptCount val="1"/>
                <c:pt idx="0">
                  <c:v>Fund 2</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'Pivot Table - by Quarter'!$A$71:$A$81</c15:sqref>
                  </c15:fullRef>
                </c:ext>
              </c:extLst>
              <c:f>'Pivot Table - by Quarter'!$A$73:$A$81</c:f>
              <c:strCache>
                <c:ptCount val="9"/>
                <c:pt idx="0">
                  <c:v>Q4 2022</c:v>
                </c:pt>
                <c:pt idx="1">
                  <c:v>Q1 2023</c:v>
                </c:pt>
                <c:pt idx="2">
                  <c:v>Q2 2023</c:v>
                </c:pt>
                <c:pt idx="3">
                  <c:v>Q3 2023</c:v>
                </c:pt>
                <c:pt idx="4">
                  <c:v>Q4 2023</c:v>
                </c:pt>
                <c:pt idx="5">
                  <c:v>Q1 2024</c:v>
                </c:pt>
                <c:pt idx="6">
                  <c:v>Q2 2024</c:v>
                </c:pt>
                <c:pt idx="7">
                  <c:v>Q3 2024</c:v>
                </c:pt>
                <c:pt idx="8">
                  <c:v>Q4 2024</c:v>
                </c:pt>
              </c:strCache>
            </c:strRef>
          </c:cat>
          <c:val>
            <c:numRef>
              <c:extLst>
                <c:ext xmlns:c15="http://schemas.microsoft.com/office/drawing/2012/chart" uri="{02D57815-91ED-43cb-92C2-25804820EDAC}">
                  <c15:fullRef>
                    <c15:sqref>'Pivot Table - by Quarter'!$C$71:$C$81</c15:sqref>
                  </c15:fullRef>
                </c:ext>
              </c:extLst>
              <c:f>'Pivot Table - by Quarter'!$C$73:$C$81</c:f>
              <c:numCache>
                <c:formatCode>0%</c:formatCode>
                <c:ptCount val="9"/>
                <c:pt idx="0">
                  <c:v>0.47652203427376261</c:v>
                </c:pt>
                <c:pt idx="1">
                  <c:v>0.42811513527597733</c:v>
                </c:pt>
                <c:pt idx="2">
                  <c:v>0.37308365897763651</c:v>
                </c:pt>
                <c:pt idx="3">
                  <c:v>0.2333128426937443</c:v>
                </c:pt>
                <c:pt idx="4">
                  <c:v>0.278376255555838</c:v>
                </c:pt>
                <c:pt idx="5">
                  <c:v>0.19705347026512321</c:v>
                </c:pt>
                <c:pt idx="6">
                  <c:v>0.39985792878277815</c:v>
                </c:pt>
                <c:pt idx="7">
                  <c:v>0.09</c:v>
                </c:pt>
                <c:pt idx="8">
                  <c:v>0.38</c:v>
                </c:pt>
              </c:numCache>
            </c:numRef>
          </c:val>
          <c:smooth val="0"/>
          <c:extLst xmlns:c15="http://schemas.microsoft.com/office/drawing/2012/chart">
            <c:ext xmlns:c16="http://schemas.microsoft.com/office/drawing/2014/chart" uri="{C3380CC4-5D6E-409C-BE32-E72D297353CC}">
              <c16:uniqueId val="{00000001-E121-44E5-9DBA-F970D1EAFD58}"/>
            </c:ext>
          </c:extLst>
        </c:ser>
        <c:dLbls>
          <c:showLegendKey val="0"/>
          <c:showVal val="0"/>
          <c:showCatName val="0"/>
          <c:showSerName val="0"/>
          <c:showPercent val="0"/>
          <c:showBubbleSize val="0"/>
        </c:dLbls>
        <c:smooth val="0"/>
        <c:axId val="1108082128"/>
        <c:axId val="1046138272"/>
        <c:extLst>
          <c:ext xmlns:c15="http://schemas.microsoft.com/office/drawing/2012/chart" uri="{02D57815-91ED-43cb-92C2-25804820EDAC}">
            <c15:filteredLineSeries>
              <c15:ser>
                <c:idx val="2"/>
                <c:order val="2"/>
                <c:tx>
                  <c:strRef>
                    <c:extLst>
                      <c:ext uri="{02D57815-91ED-43cb-92C2-25804820EDAC}">
                        <c15:formulaRef>
                          <c15:sqref>'Pivot Table - by Quarter'!$D$70</c15:sqref>
                        </c15:formulaRef>
                      </c:ext>
                    </c:extLst>
                    <c:strCache>
                      <c:ptCount val="1"/>
                      <c:pt idx="0">
                        <c:v>Fund 3</c:v>
                      </c:pt>
                    </c:strCache>
                  </c:strRef>
                </c:tx>
                <c:spPr>
                  <a:ln w="28575" cap="rnd">
                    <a:solidFill>
                      <a:schemeClr val="accent3"/>
                    </a:solidFill>
                    <a:round/>
                  </a:ln>
                  <a:effectLst/>
                </c:spPr>
                <c:marker>
                  <c:symbol val="none"/>
                </c:marker>
                <c:cat>
                  <c:strRef>
                    <c:extLst>
                      <c:ext uri="{02D57815-91ED-43cb-92C2-25804820EDAC}">
                        <c15:fullRef>
                          <c15:sqref>'Pivot Table - by Quarter'!$A$71:$A$81</c15:sqref>
                        </c15:fullRef>
                        <c15:formulaRef>
                          <c15:sqref>'Pivot Table - by Quarter'!$A$73:$A$81</c15:sqref>
                        </c15:formulaRef>
                      </c:ext>
                    </c:extLst>
                    <c:strCache>
                      <c:ptCount val="9"/>
                      <c:pt idx="0">
                        <c:v>Q4 2022</c:v>
                      </c:pt>
                      <c:pt idx="1">
                        <c:v>Q1 2023</c:v>
                      </c:pt>
                      <c:pt idx="2">
                        <c:v>Q2 2023</c:v>
                      </c:pt>
                      <c:pt idx="3">
                        <c:v>Q3 2023</c:v>
                      </c:pt>
                      <c:pt idx="4">
                        <c:v>Q4 2023</c:v>
                      </c:pt>
                      <c:pt idx="5">
                        <c:v>Q1 2024</c:v>
                      </c:pt>
                      <c:pt idx="6">
                        <c:v>Q2 2024</c:v>
                      </c:pt>
                      <c:pt idx="7">
                        <c:v>Q3 2024</c:v>
                      </c:pt>
                      <c:pt idx="8">
                        <c:v>Q4 2024</c:v>
                      </c:pt>
                    </c:strCache>
                  </c:strRef>
                </c:cat>
                <c:val>
                  <c:numRef>
                    <c:extLst>
                      <c:ext uri="{02D57815-91ED-43cb-92C2-25804820EDAC}">
                        <c15:fullRef>
                          <c15:sqref>'Pivot Table - by Quarter'!$D$71:$D$81</c15:sqref>
                        </c15:fullRef>
                        <c15:formulaRef>
                          <c15:sqref>'Pivot Table - by Quarter'!$D$73:$D$81</c15:sqref>
                        </c15:formulaRef>
                      </c:ext>
                    </c:extLst>
                    <c:numCache>
                      <c:formatCode>0%</c:formatCode>
                      <c:ptCount val="9"/>
                      <c:pt idx="0">
                        <c:v>0.17192170055125588</c:v>
                      </c:pt>
                      <c:pt idx="1">
                        <c:v>0.2143079809555517</c:v>
                      </c:pt>
                      <c:pt idx="2">
                        <c:v>0.42238544337722916</c:v>
                      </c:pt>
                      <c:pt idx="3">
                        <c:v>0.68133364268466634</c:v>
                      </c:pt>
                      <c:pt idx="4">
                        <c:v>0.14915728784893179</c:v>
                      </c:pt>
                      <c:pt idx="5">
                        <c:v>0.30065939791314089</c:v>
                      </c:pt>
                      <c:pt idx="6">
                        <c:v>0.46778731722397571</c:v>
                      </c:pt>
                      <c:pt idx="7">
                        <c:v>0.51</c:v>
                      </c:pt>
                      <c:pt idx="8">
                        <c:v>0.44</c:v>
                      </c:pt>
                    </c:numCache>
                  </c:numRef>
                </c:val>
                <c:smooth val="0"/>
                <c:extLst>
                  <c:ext xmlns:c16="http://schemas.microsoft.com/office/drawing/2014/chart" uri="{C3380CC4-5D6E-409C-BE32-E72D297353CC}">
                    <c16:uniqueId val="{00000002-E121-44E5-9DBA-F970D1EAFD58}"/>
                  </c:ext>
                </c:extLst>
              </c15:ser>
            </c15:filteredLineSeries>
          </c:ext>
        </c:extLst>
      </c:lineChart>
      <c:catAx>
        <c:axId val="110808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046138272"/>
        <c:crosses val="autoZero"/>
        <c:auto val="1"/>
        <c:lblAlgn val="ctr"/>
        <c:lblOffset val="100"/>
        <c:noMultiLvlLbl val="0"/>
      </c:catAx>
      <c:valAx>
        <c:axId val="104613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10808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Leasing Spread over BP and FM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lotArea>
      <c:layout/>
      <c:lineChart>
        <c:grouping val="standard"/>
        <c:varyColors val="0"/>
        <c:ser>
          <c:idx val="0"/>
          <c:order val="0"/>
          <c:tx>
            <c:strRef>
              <c:f>'Pivot Table - by Quarter'!$B$59</c:f>
              <c:strCache>
                <c:ptCount val="1"/>
                <c:pt idx="0">
                  <c:v>Fund 2 : FM</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'Pivot Table - by Quarter'!$A$60:$A$68</c15:sqref>
                  </c15:fullRef>
                </c:ext>
              </c:extLst>
              <c:f>'Pivot Table - by Quarter'!$A$61:$A$68</c:f>
              <c:strCache>
                <c:ptCount val="8"/>
                <c:pt idx="0">
                  <c:v>Q1 2023</c:v>
                </c:pt>
                <c:pt idx="1">
                  <c:v>Q2 2023</c:v>
                </c:pt>
                <c:pt idx="2">
                  <c:v>Q3 2023</c:v>
                </c:pt>
                <c:pt idx="3">
                  <c:v>Q4 2023</c:v>
                </c:pt>
                <c:pt idx="4">
                  <c:v>Q1 2024</c:v>
                </c:pt>
                <c:pt idx="5">
                  <c:v>Q2 2024</c:v>
                </c:pt>
                <c:pt idx="6">
                  <c:v>Q3 2024</c:v>
                </c:pt>
                <c:pt idx="7">
                  <c:v>Q4 2024</c:v>
                </c:pt>
              </c:strCache>
            </c:strRef>
          </c:cat>
          <c:val>
            <c:numRef>
              <c:extLst>
                <c:ext xmlns:c15="http://schemas.microsoft.com/office/drawing/2012/chart" uri="{02D57815-91ED-43cb-92C2-25804820EDAC}">
                  <c15:fullRef>
                    <c15:sqref>'Pivot Table - by Quarter'!$B$60:$B$68</c15:sqref>
                  </c15:fullRef>
                </c:ext>
              </c:extLst>
              <c:f>'Pivot Table - by Quarter'!$B$61:$B$68</c:f>
              <c:numCache>
                <c:formatCode>0%</c:formatCode>
                <c:ptCount val="8"/>
                <c:pt idx="0">
                  <c:v>6.7617892786370426E-2</c:v>
                </c:pt>
                <c:pt idx="1">
                  <c:v>8.0988742161976157E-2</c:v>
                </c:pt>
                <c:pt idx="2">
                  <c:v>0.11426410110637408</c:v>
                </c:pt>
                <c:pt idx="3">
                  <c:v>4.1714535244023798E-2</c:v>
                </c:pt>
                <c:pt idx="4">
                  <c:v>4.3570454877636999E-2</c:v>
                </c:pt>
                <c:pt idx="5">
                  <c:v>6.3517637987633657E-2</c:v>
                </c:pt>
                <c:pt idx="6">
                  <c:v>0.12</c:v>
                </c:pt>
                <c:pt idx="7">
                  <c:v>0.02</c:v>
                </c:pt>
              </c:numCache>
            </c:numRef>
          </c:val>
          <c:smooth val="0"/>
          <c:extLst xmlns:c15="http://schemas.microsoft.com/office/drawing/2012/chart">
            <c:ext xmlns:c16="http://schemas.microsoft.com/office/drawing/2014/chart" uri="{C3380CC4-5D6E-409C-BE32-E72D297353CC}">
              <c16:uniqueId val="{00000000-F269-4992-8C39-24372D2B9524}"/>
            </c:ext>
          </c:extLst>
        </c:ser>
        <c:ser>
          <c:idx val="1"/>
          <c:order val="1"/>
          <c:tx>
            <c:strRef>
              <c:f>'Pivot Table - by Quarter'!$C$59</c:f>
              <c:strCache>
                <c:ptCount val="1"/>
                <c:pt idx="0">
                  <c:v>Fund 2 : BP</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'Pivot Table - by Quarter'!$A$60:$A$68</c15:sqref>
                  </c15:fullRef>
                </c:ext>
              </c:extLst>
              <c:f>'Pivot Table - by Quarter'!$A$61:$A$68</c:f>
              <c:strCache>
                <c:ptCount val="8"/>
                <c:pt idx="0">
                  <c:v>Q1 2023</c:v>
                </c:pt>
                <c:pt idx="1">
                  <c:v>Q2 2023</c:v>
                </c:pt>
                <c:pt idx="2">
                  <c:v>Q3 2023</c:v>
                </c:pt>
                <c:pt idx="3">
                  <c:v>Q4 2023</c:v>
                </c:pt>
                <c:pt idx="4">
                  <c:v>Q1 2024</c:v>
                </c:pt>
                <c:pt idx="5">
                  <c:v>Q2 2024</c:v>
                </c:pt>
                <c:pt idx="6">
                  <c:v>Q3 2024</c:v>
                </c:pt>
                <c:pt idx="7">
                  <c:v>Q4 2024</c:v>
                </c:pt>
              </c:strCache>
            </c:strRef>
          </c:cat>
          <c:val>
            <c:numRef>
              <c:extLst>
                <c:ext xmlns:c15="http://schemas.microsoft.com/office/drawing/2012/chart" uri="{02D57815-91ED-43cb-92C2-25804820EDAC}">
                  <c15:fullRef>
                    <c15:sqref>'Pivot Table - by Quarter'!$C$60:$C$68</c15:sqref>
                  </c15:fullRef>
                </c:ext>
              </c:extLst>
              <c:f>'Pivot Table - by Quarter'!$C$61:$C$68</c:f>
              <c:numCache>
                <c:formatCode>0%</c:formatCode>
                <c:ptCount val="8"/>
                <c:pt idx="0">
                  <c:v>0.12159927499931245</c:v>
                </c:pt>
                <c:pt idx="1">
                  <c:v>0.12825173740697426</c:v>
                </c:pt>
                <c:pt idx="2">
                  <c:v>0.12788016228850618</c:v>
                </c:pt>
                <c:pt idx="3">
                  <c:v>0.13129183433758262</c:v>
                </c:pt>
                <c:pt idx="4">
                  <c:v>0.20746663062406601</c:v>
                </c:pt>
                <c:pt idx="5">
                  <c:v>0.1058109546192727</c:v>
                </c:pt>
                <c:pt idx="6">
                  <c:v>0</c:v>
                </c:pt>
                <c:pt idx="7">
                  <c:v>0.3</c:v>
                </c:pt>
              </c:numCache>
            </c:numRef>
          </c:val>
          <c:smooth val="0"/>
          <c:extLst xmlns:c15="http://schemas.microsoft.com/office/drawing/2012/chart">
            <c:ext xmlns:c16="http://schemas.microsoft.com/office/drawing/2014/chart" uri="{C3380CC4-5D6E-409C-BE32-E72D297353CC}">
              <c16:uniqueId val="{00000001-F269-4992-8C39-24372D2B9524}"/>
            </c:ext>
          </c:extLst>
        </c:ser>
        <c:dLbls>
          <c:showLegendKey val="0"/>
          <c:showVal val="0"/>
          <c:showCatName val="0"/>
          <c:showSerName val="0"/>
          <c:showPercent val="0"/>
          <c:showBubbleSize val="0"/>
        </c:dLbls>
        <c:smooth val="0"/>
        <c:axId val="1050880687"/>
        <c:axId val="1050877807"/>
        <c:extLst>
          <c:ext xmlns:c15="http://schemas.microsoft.com/office/drawing/2012/chart" uri="{02D57815-91ED-43cb-92C2-25804820EDAC}">
            <c15:filteredLineSeries>
              <c15:ser>
                <c:idx val="2"/>
                <c:order val="2"/>
                <c:tx>
                  <c:strRef>
                    <c:extLst>
                      <c:ext uri="{02D57815-91ED-43cb-92C2-25804820EDAC}">
                        <c15:formulaRef>
                          <c15:sqref>'Pivot Table - by Quarter'!$D$59</c15:sqref>
                        </c15:formulaRef>
                      </c:ext>
                    </c:extLst>
                    <c:strCache>
                      <c:ptCount val="1"/>
                      <c:pt idx="0">
                        <c:v>Fund 3 : FM</c:v>
                      </c:pt>
                    </c:strCache>
                  </c:strRef>
                </c:tx>
                <c:spPr>
                  <a:ln w="28575" cap="rnd">
                    <a:solidFill>
                      <a:schemeClr val="accent3"/>
                    </a:solidFill>
                    <a:round/>
                  </a:ln>
                  <a:effectLst/>
                </c:spPr>
                <c:marker>
                  <c:symbol val="none"/>
                </c:marker>
                <c:cat>
                  <c:strRef>
                    <c:extLst>
                      <c:ext uri="{02D57815-91ED-43cb-92C2-25804820EDAC}">
                        <c15:fullRef>
                          <c15:sqref>'Pivot Table - by Quarter'!$A$60:$A$68</c15:sqref>
                        </c15:fullRef>
                        <c15:formulaRef>
                          <c15:sqref>'Pivot Table - by Quarter'!$A$61:$A$68</c15:sqref>
                        </c15:formulaRef>
                      </c:ext>
                    </c:extLst>
                    <c:strCache>
                      <c:ptCount val="8"/>
                      <c:pt idx="0">
                        <c:v>Q1 2023</c:v>
                      </c:pt>
                      <c:pt idx="1">
                        <c:v>Q2 2023</c:v>
                      </c:pt>
                      <c:pt idx="2">
                        <c:v>Q3 2023</c:v>
                      </c:pt>
                      <c:pt idx="3">
                        <c:v>Q4 2023</c:v>
                      </c:pt>
                      <c:pt idx="4">
                        <c:v>Q1 2024</c:v>
                      </c:pt>
                      <c:pt idx="5">
                        <c:v>Q2 2024</c:v>
                      </c:pt>
                      <c:pt idx="6">
                        <c:v>Q3 2024</c:v>
                      </c:pt>
                      <c:pt idx="7">
                        <c:v>Q4 2024</c:v>
                      </c:pt>
                    </c:strCache>
                  </c:strRef>
                </c:cat>
                <c:val>
                  <c:numRef>
                    <c:extLst>
                      <c:ext uri="{02D57815-91ED-43cb-92C2-25804820EDAC}">
                        <c15:fullRef>
                          <c15:sqref>'Pivot Table - by Quarter'!$D$60:$D$68</c15:sqref>
                        </c15:fullRef>
                        <c15:formulaRef>
                          <c15:sqref>'Pivot Table - by Quarter'!$D$61:$D$68</c15:sqref>
                        </c15:formulaRef>
                      </c:ext>
                    </c:extLst>
                    <c:numCache>
                      <c:formatCode>0%</c:formatCode>
                      <c:ptCount val="8"/>
                      <c:pt idx="0">
                        <c:v>-1.3058231150745447E-3</c:v>
                      </c:pt>
                      <c:pt idx="1">
                        <c:v>0.23039352932026769</c:v>
                      </c:pt>
                      <c:pt idx="2">
                        <c:v>5.5923303214599152E-2</c:v>
                      </c:pt>
                      <c:pt idx="3">
                        <c:v>8.6934324402344387E-2</c:v>
                      </c:pt>
                      <c:pt idx="4">
                        <c:v>3.5137796716898873E-2</c:v>
                      </c:pt>
                      <c:pt idx="5">
                        <c:v>5.4891782800092104E-2</c:v>
                      </c:pt>
                      <c:pt idx="6">
                        <c:v>0.12</c:v>
                      </c:pt>
                      <c:pt idx="7">
                        <c:v>-0.02</c:v>
                      </c:pt>
                    </c:numCache>
                  </c:numRef>
                </c:val>
                <c:smooth val="0"/>
                <c:extLst>
                  <c:ext xmlns:c16="http://schemas.microsoft.com/office/drawing/2014/chart" uri="{C3380CC4-5D6E-409C-BE32-E72D297353CC}">
                    <c16:uniqueId val="{00000002-F269-4992-8C39-24372D2B952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'Pivot Table - by Quarter'!$E$59</c15:sqref>
                        </c15:formulaRef>
                      </c:ext>
                    </c:extLst>
                    <c:strCache>
                      <c:ptCount val="1"/>
                      <c:pt idx="0">
                        <c:v>Fund 3 : BP</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'Pivot Table - by Quarter'!$A$60:$A$68</c15:sqref>
                        </c15:fullRef>
                        <c15:formulaRef>
                          <c15:sqref>'Pivot Table - by Quarter'!$A$61:$A$68</c15:sqref>
                        </c15:formulaRef>
                      </c:ext>
                    </c:extLst>
                    <c:strCache>
                      <c:ptCount val="8"/>
                      <c:pt idx="0">
                        <c:v>Q1 2023</c:v>
                      </c:pt>
                      <c:pt idx="1">
                        <c:v>Q2 2023</c:v>
                      </c:pt>
                      <c:pt idx="2">
                        <c:v>Q3 2023</c:v>
                      </c:pt>
                      <c:pt idx="3">
                        <c:v>Q4 2023</c:v>
                      </c:pt>
                      <c:pt idx="4">
                        <c:v>Q1 2024</c:v>
                      </c:pt>
                      <c:pt idx="5">
                        <c:v>Q2 2024</c:v>
                      </c:pt>
                      <c:pt idx="6">
                        <c:v>Q3 2024</c:v>
                      </c:pt>
                      <c:pt idx="7">
                        <c:v>Q4 2024</c:v>
                      </c:pt>
                    </c:strCache>
                  </c:strRef>
                </c:cat>
                <c:val>
                  <c:numRef>
                    <c:extLst>
                      <c:ext xmlns:c15="http://schemas.microsoft.com/office/drawing/2012/chart" uri="{02D57815-91ED-43cb-92C2-25804820EDAC}">
                        <c15:fullRef>
                          <c15:sqref>'Pivot Table - by Quarter'!$E$60:$E$68</c15:sqref>
                        </c15:fullRef>
                        <c15:formulaRef>
                          <c15:sqref>'Pivot Table - by Quarter'!$E$61:$E$68</c15:sqref>
                        </c15:formulaRef>
                      </c:ext>
                    </c:extLst>
                    <c:numCache>
                      <c:formatCode>0%</c:formatCode>
                      <c:ptCount val="8"/>
                      <c:pt idx="0">
                        <c:v>1.4437883608468871E-2</c:v>
                      </c:pt>
                      <c:pt idx="1">
                        <c:v>0.37565427926208339</c:v>
                      </c:pt>
                      <c:pt idx="2">
                        <c:v>0.19278112291480509</c:v>
                      </c:pt>
                      <c:pt idx="3">
                        <c:v>3.7793128380507302E-2</c:v>
                      </c:pt>
                      <c:pt idx="4">
                        <c:v>7.3708056858577287E-2</c:v>
                      </c:pt>
                      <c:pt idx="5">
                        <c:v>0.11867844672496441</c:v>
                      </c:pt>
                      <c:pt idx="6">
                        <c:v>-0.03</c:v>
                      </c:pt>
                      <c:pt idx="7">
                        <c:v>0.03</c:v>
                      </c:pt>
                    </c:numCache>
                  </c:numRef>
                </c:val>
                <c:smooth val="0"/>
                <c:extLst xmlns:c15="http://schemas.microsoft.com/office/drawing/2012/chart">
                  <c:ext xmlns:c16="http://schemas.microsoft.com/office/drawing/2014/chart" uri="{C3380CC4-5D6E-409C-BE32-E72D297353CC}">
                    <c16:uniqueId val="{00000003-F269-4992-8C39-24372D2B9524}"/>
                  </c:ext>
                </c:extLst>
              </c15:ser>
            </c15:filteredLineSeries>
          </c:ext>
        </c:extLst>
      </c:lineChart>
      <c:catAx>
        <c:axId val="105088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050877807"/>
        <c:crosses val="autoZero"/>
        <c:auto val="1"/>
        <c:lblAlgn val="ctr"/>
        <c:lblOffset val="100"/>
        <c:noMultiLvlLbl val="0"/>
      </c:catAx>
      <c:valAx>
        <c:axId val="1050877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050880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Downtime</a:t>
            </a:r>
            <a:r>
              <a:rPr lang="en-US" baseline="0"/>
              <a:t> (mos) Signed Leases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Quarter'!$B$87</c:f>
              <c:strCache>
                <c:ptCount val="1"/>
                <c:pt idx="0">
                  <c:v>DT (mos)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Quarter'!$A$88:$A$97</c:f>
              <c:strCache>
                <c:ptCount val="10"/>
                <c:pt idx="0">
                  <c:v>Q3 2022</c:v>
                </c:pt>
                <c:pt idx="1">
                  <c:v>Q4 2022</c:v>
                </c:pt>
                <c:pt idx="2">
                  <c:v>Q1 2023</c:v>
                </c:pt>
                <c:pt idx="3">
                  <c:v>Q2 2023</c:v>
                </c:pt>
                <c:pt idx="4">
                  <c:v>Q3 2023</c:v>
                </c:pt>
                <c:pt idx="5">
                  <c:v>Q4 2023</c:v>
                </c:pt>
                <c:pt idx="6">
                  <c:v>Q1 2024</c:v>
                </c:pt>
                <c:pt idx="7">
                  <c:v>Q2 2024</c:v>
                </c:pt>
                <c:pt idx="8">
                  <c:v>Q3 2024</c:v>
                </c:pt>
                <c:pt idx="9">
                  <c:v>Q4 2024</c:v>
                </c:pt>
              </c:strCache>
            </c:strRef>
          </c:cat>
          <c:val>
            <c:numRef>
              <c:f>'Pivot Table - by Quarter'!$B$88:$B$97</c:f>
              <c:numCache>
                <c:formatCode>0.00</c:formatCode>
                <c:ptCount val="10"/>
                <c:pt idx="0">
                  <c:v>3</c:v>
                </c:pt>
                <c:pt idx="1">
                  <c:v>0.81786662968454971</c:v>
                </c:pt>
                <c:pt idx="2">
                  <c:v>6</c:v>
                </c:pt>
                <c:pt idx="3">
                  <c:v>8.3163775360188179</c:v>
                </c:pt>
                <c:pt idx="4">
                  <c:v>2.40625</c:v>
                </c:pt>
                <c:pt idx="5">
                  <c:v>8.415454477139269</c:v>
                </c:pt>
                <c:pt idx="6">
                  <c:v>4.0392749244712993</c:v>
                </c:pt>
                <c:pt idx="7">
                  <c:v>7.981344792719919</c:v>
                </c:pt>
                <c:pt idx="8">
                  <c:v>0.82000160784628995</c:v>
                </c:pt>
                <c:pt idx="9">
                  <c:v>11.99205144771836</c:v>
                </c:pt>
              </c:numCache>
            </c:numRef>
          </c:val>
          <c:extLst>
            <c:ext xmlns:c16="http://schemas.microsoft.com/office/drawing/2014/chart" uri="{C3380CC4-5D6E-409C-BE32-E72D297353CC}">
              <c16:uniqueId val="{00000000-EB80-40C6-BFF0-BB6E3FB6CA95}"/>
            </c:ext>
          </c:extLst>
        </c:ser>
        <c:ser>
          <c:idx val="1"/>
          <c:order val="1"/>
          <c:tx>
            <c:strRef>
              <c:f>'Pivot Table - by Quarter'!$C$87</c:f>
              <c:strCache>
                <c:ptCount val="1"/>
                <c:pt idx="0">
                  <c:v>DT BP (mos)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Quarter'!$A$88:$A$97</c:f>
              <c:strCache>
                <c:ptCount val="10"/>
                <c:pt idx="0">
                  <c:v>Q3 2022</c:v>
                </c:pt>
                <c:pt idx="1">
                  <c:v>Q4 2022</c:v>
                </c:pt>
                <c:pt idx="2">
                  <c:v>Q1 2023</c:v>
                </c:pt>
                <c:pt idx="3">
                  <c:v>Q2 2023</c:v>
                </c:pt>
                <c:pt idx="4">
                  <c:v>Q3 2023</c:v>
                </c:pt>
                <c:pt idx="5">
                  <c:v>Q4 2023</c:v>
                </c:pt>
                <c:pt idx="6">
                  <c:v>Q1 2024</c:v>
                </c:pt>
                <c:pt idx="7">
                  <c:v>Q2 2024</c:v>
                </c:pt>
                <c:pt idx="8">
                  <c:v>Q3 2024</c:v>
                </c:pt>
                <c:pt idx="9">
                  <c:v>Q4 2024</c:v>
                </c:pt>
              </c:strCache>
            </c:strRef>
          </c:cat>
          <c:val>
            <c:numRef>
              <c:f>'Pivot Table - by Quarter'!$C$88:$C$97</c:f>
              <c:numCache>
                <c:formatCode>0.00</c:formatCode>
                <c:ptCount val="10"/>
                <c:pt idx="0">
                  <c:v>9</c:v>
                </c:pt>
                <c:pt idx="1">
                  <c:v>6.4939459563255424</c:v>
                </c:pt>
                <c:pt idx="2">
                  <c:v>6</c:v>
                </c:pt>
                <c:pt idx="3">
                  <c:v>6</c:v>
                </c:pt>
                <c:pt idx="4">
                  <c:v>7.59375</c:v>
                </c:pt>
                <c:pt idx="5">
                  <c:v>6</c:v>
                </c:pt>
                <c:pt idx="6">
                  <c:v>5.7184033407598358</c:v>
                </c:pt>
                <c:pt idx="7">
                  <c:v>12.044603134479273</c:v>
                </c:pt>
                <c:pt idx="8">
                  <c:v>5.6400032156925795</c:v>
                </c:pt>
                <c:pt idx="9">
                  <c:v>7.7341968055534682</c:v>
                </c:pt>
              </c:numCache>
            </c:numRef>
          </c:val>
          <c:extLst>
            <c:ext xmlns:c16="http://schemas.microsoft.com/office/drawing/2014/chart" uri="{C3380CC4-5D6E-409C-BE32-E72D297353CC}">
              <c16:uniqueId val="{00000001-EB80-40C6-BFF0-BB6E3FB6CA95}"/>
            </c:ext>
          </c:extLst>
        </c:ser>
        <c:dLbls>
          <c:dLblPos val="outEnd"/>
          <c:showLegendKey val="0"/>
          <c:showVal val="1"/>
          <c:showCatName val="0"/>
          <c:showSerName val="0"/>
          <c:showPercent val="0"/>
          <c:showBubbleSize val="0"/>
        </c:dLbls>
        <c:gapWidth val="219"/>
        <c:overlap val="-27"/>
        <c:axId val="1543277328"/>
        <c:axId val="1543285488"/>
      </c:barChart>
      <c:catAx>
        <c:axId val="154327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85488"/>
        <c:crosses val="autoZero"/>
        <c:auto val="1"/>
        <c:lblAlgn val="ctr"/>
        <c:lblOffset val="100"/>
        <c:noMultiLvlLbl val="0"/>
      </c:catAx>
      <c:valAx>
        <c:axId val="154328548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4327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r>
              <a:rPr lang="en-US" sz="1200" b="1" i="0" u="none" strike="noStrike" kern="1200" spc="0" baseline="0" dirty="0">
                <a:solidFill>
                  <a:sysClr val="windowText" lastClr="000000">
                    <a:lumMod val="65000"/>
                    <a:lumOff val="35000"/>
                  </a:sysClr>
                </a:solidFill>
                <a:latin typeface="Gilroy" pitchFamily="2" charset="77"/>
              </a:rPr>
              <a:t>Annual Rent Escalations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05D-4AD4-A4EA-ACC3164B39B2}"/>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 Charts'!$E$48:$F$48</c:f>
              <c:strCache>
                <c:ptCount val="2"/>
                <c:pt idx="0">
                  <c:v>Business Plan</c:v>
                </c:pt>
                <c:pt idx="1">
                  <c:v>Actual</c:v>
                </c:pt>
              </c:strCache>
            </c:strRef>
          </c:cat>
          <c:val>
            <c:numRef>
              <c:f>'IR Charts'!$E$49:$F$49</c:f>
              <c:numCache>
                <c:formatCode>0.00%</c:formatCode>
                <c:ptCount val="2"/>
                <c:pt idx="0">
                  <c:v>2.7820838540962903E-2</c:v>
                </c:pt>
                <c:pt idx="1">
                  <c:v>3.6272542172218272E-2</c:v>
                </c:pt>
              </c:numCache>
            </c:numRef>
          </c:val>
          <c:extLst>
            <c:ext xmlns:c16="http://schemas.microsoft.com/office/drawing/2014/chart" uri="{C3380CC4-5D6E-409C-BE32-E72D297353CC}">
              <c16:uniqueId val="{00000002-C05D-4AD4-A4EA-ACC3164B39B2}"/>
            </c:ext>
          </c:extLst>
        </c:ser>
        <c:dLbls>
          <c:dLblPos val="outEnd"/>
          <c:showLegendKey val="0"/>
          <c:showVal val="1"/>
          <c:showCatName val="0"/>
          <c:showSerName val="0"/>
          <c:showPercent val="0"/>
          <c:showBubbleSize val="0"/>
        </c:dLbls>
        <c:gapWidth val="50"/>
        <c:overlap val="-27"/>
        <c:axId val="1125429952"/>
        <c:axId val="1125414000"/>
      </c:barChart>
      <c:catAx>
        <c:axId val="112542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ilroy" pitchFamily="2" charset="77"/>
                <a:ea typeface="+mn-ea"/>
                <a:cs typeface="+mn-cs"/>
              </a:defRPr>
            </a:pPr>
            <a:endParaRPr lang="en-US"/>
          </a:p>
        </c:txPr>
        <c:crossAx val="1125414000"/>
        <c:crosses val="autoZero"/>
        <c:auto val="1"/>
        <c:lblAlgn val="ctr"/>
        <c:lblOffset val="100"/>
        <c:noMultiLvlLbl val="0"/>
      </c:catAx>
      <c:valAx>
        <c:axId val="1125414000"/>
        <c:scaling>
          <c:orientation val="minMax"/>
          <c:max val="5.000000000000001E-2"/>
          <c:min val="2.5000000000000001E-2"/>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roy" pitchFamily="2" charset="77"/>
                <a:ea typeface="+mn-ea"/>
                <a:cs typeface="+mn-cs"/>
              </a:defRPr>
            </a:pPr>
            <a:endParaRPr lang="en-US"/>
          </a:p>
        </c:txPr>
        <c:crossAx val="112542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600340631313518E-2"/>
          <c:y val="0.35167883554608331"/>
          <c:w val="0.95539965936868643"/>
          <c:h val="0.49260962135173864"/>
        </c:manualLayout>
      </c:layout>
      <c:lineChart>
        <c:grouping val="standard"/>
        <c:varyColors val="0"/>
        <c:ser>
          <c:idx val="0"/>
          <c:order val="0"/>
          <c:tx>
            <c:strRef>
              <c:f>'Pivot Table - by Quarter'!$L$24</c:f>
              <c:strCache>
                <c:ptCount val="1"/>
                <c:pt idx="0">
                  <c:v>Spread over BP</c:v>
                </c:pt>
              </c:strCache>
            </c:strRef>
          </c:tx>
          <c:spPr>
            <a:ln w="22225" cap="rnd" cmpd="sng" algn="ctr">
              <a:solidFill>
                <a:schemeClr val="accent1"/>
              </a:solidFill>
              <a:round/>
            </a:ln>
            <a:effectLst/>
          </c:spPr>
          <c:marker>
            <c:symbol val="none"/>
          </c:marker>
          <c:dLbls>
            <c:dLbl>
              <c:idx val="1"/>
              <c:layout>
                <c:manualLayout>
                  <c:x val="-1.8637590313662758E-2"/>
                  <c:y val="-3.25452569131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52-41DC-B353-7B6E6C95AD64}"/>
                </c:ext>
              </c:extLst>
            </c:dLbl>
            <c:dLbl>
              <c:idx val="2"/>
              <c:layout>
                <c:manualLayout>
                  <c:x val="-1.7472740919058878E-2"/>
                  <c:y val="-4.972134589882133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52-41DC-B353-7B6E6C95AD64}"/>
                </c:ext>
              </c:extLst>
            </c:dLbl>
            <c:dLbl>
              <c:idx val="3"/>
              <c:layout>
                <c:manualLayout>
                  <c:x val="-1.1648493946039224E-2"/>
                  <c:y val="-3.25452569131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52-41DC-B353-7B6E6C95AD64}"/>
                </c:ext>
              </c:extLst>
            </c:dLbl>
            <c:dLbl>
              <c:idx val="4"/>
              <c:layout>
                <c:manualLayout>
                  <c:x val="-8.1539457622274557E-3"/>
                  <c:y val="-2.7121047427664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52-41DC-B353-7B6E6C95AD64}"/>
                </c:ext>
              </c:extLst>
            </c:dLbl>
            <c:spPr>
              <a:solidFill>
                <a:schemeClr val="accent1">
                  <a:lumMod val="40000"/>
                  <a:lumOff val="60000"/>
                </a:schemeClr>
              </a:solidFill>
              <a:ln>
                <a:solidFill>
                  <a:schemeClr val="accent1"/>
                </a:solid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 - by Quarter'!$A$31:$A$39</c:f>
              <c:strCache>
                <c:ptCount val="9"/>
                <c:pt idx="0">
                  <c:v>Q4 2022</c:v>
                </c:pt>
                <c:pt idx="1">
                  <c:v>Q1 2023</c:v>
                </c:pt>
                <c:pt idx="2">
                  <c:v>Q2 2023</c:v>
                </c:pt>
                <c:pt idx="3">
                  <c:v>Q3 2023</c:v>
                </c:pt>
                <c:pt idx="4">
                  <c:v>Q4 2023</c:v>
                </c:pt>
                <c:pt idx="5">
                  <c:v>Q1 2024</c:v>
                </c:pt>
                <c:pt idx="6">
                  <c:v>Q2 2024</c:v>
                </c:pt>
                <c:pt idx="7">
                  <c:v>Q3 2024</c:v>
                </c:pt>
                <c:pt idx="8">
                  <c:v>Q4 2024</c:v>
                </c:pt>
              </c:strCache>
            </c:strRef>
          </c:cat>
          <c:val>
            <c:numRef>
              <c:f>'Pivot Table - by Quarter'!$L$31:$L$39</c:f>
              <c:numCache>
                <c:formatCode>0%</c:formatCode>
                <c:ptCount val="9"/>
                <c:pt idx="0">
                  <c:v>0.19305722958030058</c:v>
                </c:pt>
                <c:pt idx="1">
                  <c:v>8.0294626610117659E-2</c:v>
                </c:pt>
                <c:pt idx="2">
                  <c:v>0.24226847574694088</c:v>
                </c:pt>
                <c:pt idx="3">
                  <c:v>0.1366508942140312</c:v>
                </c:pt>
                <c:pt idx="4">
                  <c:v>9.8948439065843274E-2</c:v>
                </c:pt>
                <c:pt idx="5">
                  <c:v>0.13948742037931483</c:v>
                </c:pt>
                <c:pt idx="6">
                  <c:v>0.10967555830057196</c:v>
                </c:pt>
                <c:pt idx="7">
                  <c:v>-2.4228234154831219E-2</c:v>
                </c:pt>
                <c:pt idx="8">
                  <c:v>0.155432268718245</c:v>
                </c:pt>
              </c:numCache>
            </c:numRef>
          </c:val>
          <c:smooth val="0"/>
          <c:extLst>
            <c:ext xmlns:c16="http://schemas.microsoft.com/office/drawing/2014/chart" uri="{C3380CC4-5D6E-409C-BE32-E72D297353CC}">
              <c16:uniqueId val="{00000004-4652-41DC-B353-7B6E6C95AD64}"/>
            </c:ext>
          </c:extLst>
        </c:ser>
        <c:ser>
          <c:idx val="5"/>
          <c:order val="5"/>
          <c:tx>
            <c:strRef>
              <c:f>'Pivot Table - by Quarter'!$Q$24</c:f>
              <c:strCache>
                <c:ptCount val="1"/>
                <c:pt idx="0">
                  <c:v>Spread over FM</c:v>
                </c:pt>
              </c:strCache>
            </c:strRef>
          </c:tx>
          <c:spPr>
            <a:ln w="22225" cap="rnd" cmpd="sng" algn="ctr">
              <a:solidFill>
                <a:schemeClr val="accent5">
                  <a:lumMod val="60000"/>
                </a:schemeClr>
              </a:solidFill>
              <a:round/>
            </a:ln>
            <a:effectLst/>
          </c:spPr>
          <c:marker>
            <c:symbol val="none"/>
          </c:marker>
          <c:dLbls>
            <c:dLbl>
              <c:idx val="0"/>
              <c:layout>
                <c:manualLayout>
                  <c:x val="-4.6593975784157103E-3"/>
                  <c:y val="8.67873517685271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52-41DC-B353-7B6E6C95AD64}"/>
                </c:ext>
              </c:extLst>
            </c:dLbl>
            <c:dLbl>
              <c:idx val="2"/>
              <c:layout>
                <c:manualLayout>
                  <c:x val="-1.1648493946039265E-2"/>
                  <c:y val="-9.944269179764266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52-41DC-B353-7B6E6C95AD64}"/>
                </c:ext>
              </c:extLst>
            </c:dLbl>
            <c:dLbl>
              <c:idx val="3"/>
              <c:layout>
                <c:manualLayout>
                  <c:x val="-1.04836445514353E-2"/>
                  <c:y val="3.25452569131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52-41DC-B353-7B6E6C95AD64}"/>
                </c:ext>
              </c:extLst>
            </c:dLbl>
            <c:dLbl>
              <c:idx val="4"/>
              <c:layout>
                <c:manualLayout>
                  <c:x val="-8.1539457622274557E-3"/>
                  <c:y val="2.7121047427664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52-41DC-B353-7B6E6C95AD64}"/>
                </c:ext>
              </c:extLst>
            </c:dLbl>
            <c:spPr>
              <a:solidFill>
                <a:schemeClr val="accent2">
                  <a:lumMod val="60000"/>
                  <a:lumOff val="40000"/>
                </a:schemeClr>
              </a:solidFill>
              <a:ln>
                <a:solidFill>
                  <a:schemeClr val="tx2"/>
                </a:solidFill>
              </a:ln>
              <a:effectLst/>
            </c:spPr>
            <c:txPr>
              <a:bodyPr rot="0" spcFirstLastPara="1" vertOverflow="ellipsis" vert="horz" wrap="square" anchor="ctr" anchorCtr="1"/>
              <a:lstStyle/>
              <a:p>
                <a:pPr>
                  <a:defRPr sz="1197" b="0" i="0" u="none" strike="noStrike" kern="1200" baseline="0">
                    <a:solidFill>
                      <a:schemeClr val="bg1"/>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 - by Quarter'!$A$31:$A$39</c:f>
              <c:strCache>
                <c:ptCount val="9"/>
                <c:pt idx="0">
                  <c:v>Q4 2022</c:v>
                </c:pt>
                <c:pt idx="1">
                  <c:v>Q1 2023</c:v>
                </c:pt>
                <c:pt idx="2">
                  <c:v>Q2 2023</c:v>
                </c:pt>
                <c:pt idx="3">
                  <c:v>Q3 2023</c:v>
                </c:pt>
                <c:pt idx="4">
                  <c:v>Q4 2023</c:v>
                </c:pt>
                <c:pt idx="5">
                  <c:v>Q1 2024</c:v>
                </c:pt>
                <c:pt idx="6">
                  <c:v>Q2 2024</c:v>
                </c:pt>
                <c:pt idx="7">
                  <c:v>Q3 2024</c:v>
                </c:pt>
                <c:pt idx="8">
                  <c:v>Q4 2024</c:v>
                </c:pt>
              </c:strCache>
            </c:strRef>
          </c:cat>
          <c:val>
            <c:numRef>
              <c:f>'Pivot Table - by Quarter'!$Q$31:$Q$39</c:f>
              <c:numCache>
                <c:formatCode>0%</c:formatCode>
                <c:ptCount val="9"/>
                <c:pt idx="0">
                  <c:v>0.18405759288661749</c:v>
                </c:pt>
                <c:pt idx="1">
                  <c:v>4.1599482927773712E-2</c:v>
                </c:pt>
                <c:pt idx="2">
                  <c:v>0.15240268836530535</c:v>
                </c:pt>
                <c:pt idx="3">
                  <c:v>0.1056013285235009</c:v>
                </c:pt>
                <c:pt idx="4">
                  <c:v>5.6067123787901574E-2</c:v>
                </c:pt>
                <c:pt idx="5">
                  <c:v>3.9515105311993093E-2</c:v>
                </c:pt>
                <c:pt idx="6">
                  <c:v>6.0891089887214589E-2</c:v>
                </c:pt>
                <c:pt idx="7">
                  <c:v>0</c:v>
                </c:pt>
                <c:pt idx="8">
                  <c:v>-1.5386117573092939E-3</c:v>
                </c:pt>
              </c:numCache>
            </c:numRef>
          </c:val>
          <c:smooth val="0"/>
          <c:extLst>
            <c:ext xmlns:c16="http://schemas.microsoft.com/office/drawing/2014/chart" uri="{C3380CC4-5D6E-409C-BE32-E72D297353CC}">
              <c16:uniqueId val="{00000009-4652-41DC-B353-7B6E6C95AD64}"/>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182739888"/>
        <c:axId val="1189781392"/>
        <c:extLst>
          <c:ext xmlns:c15="http://schemas.microsoft.com/office/drawing/2012/chart" uri="{02D57815-91ED-43cb-92C2-25804820EDAC}">
            <c15:filteredLineSeries>
              <c15:ser>
                <c:idx val="1"/>
                <c:order val="1"/>
                <c:tx>
                  <c:strRef>
                    <c:extLst>
                      <c:ext uri="{02D57815-91ED-43cb-92C2-25804820EDAC}">
                        <c15:formulaRef>
                          <c15:sqref>'Pivot Table - by Quarter'!$M$24</c15:sqref>
                        </c15:formulaRef>
                      </c:ext>
                    </c:extLst>
                    <c:strCache>
                      <c:ptCount val="1"/>
                      <c:pt idx="0">
                        <c:v>DT Actual</c:v>
                      </c:pt>
                    </c:strCache>
                  </c:strRef>
                </c:tx>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strRef>
                    <c:extLst>
                      <c:ext uri="{02D57815-91ED-43cb-92C2-25804820EDAC}">
                        <c15:formulaRef>
                          <c15:sqref>'Pivot Table - by Quarter'!$A$31:$A$39</c15:sqref>
                        </c15:formulaRef>
                      </c:ext>
                    </c:extLst>
                    <c:strCache>
                      <c:ptCount val="9"/>
                      <c:pt idx="0">
                        <c:v>Q4 2022</c:v>
                      </c:pt>
                      <c:pt idx="1">
                        <c:v>Q1 2023</c:v>
                      </c:pt>
                      <c:pt idx="2">
                        <c:v>Q2 2023</c:v>
                      </c:pt>
                      <c:pt idx="3">
                        <c:v>Q3 2023</c:v>
                      </c:pt>
                      <c:pt idx="4">
                        <c:v>Q4 2023</c:v>
                      </c:pt>
                      <c:pt idx="5">
                        <c:v>Q1 2024</c:v>
                      </c:pt>
                      <c:pt idx="6">
                        <c:v>Q2 2024</c:v>
                      </c:pt>
                      <c:pt idx="7">
                        <c:v>Q3 2024</c:v>
                      </c:pt>
                      <c:pt idx="8">
                        <c:v>Q4 2024</c:v>
                      </c:pt>
                    </c:strCache>
                  </c:strRef>
                </c:cat>
                <c:val>
                  <c:numRef>
                    <c:extLst>
                      <c:ext uri="{02D57815-91ED-43cb-92C2-25804820EDAC}">
                        <c15:formulaRef>
                          <c15:sqref>'Pivot Table - by Quarter'!$M$31:$M$39</c15:sqref>
                        </c15:formulaRef>
                      </c:ext>
                    </c:extLst>
                    <c:numCache>
                      <c:formatCode>0.00</c:formatCode>
                      <c:ptCount val="9"/>
                      <c:pt idx="0">
                        <c:v>3.9284750759645939</c:v>
                      </c:pt>
                      <c:pt idx="1">
                        <c:v>4.4781532191994096</c:v>
                      </c:pt>
                      <c:pt idx="2">
                        <c:v>5.1783220177726577</c:v>
                      </c:pt>
                      <c:pt idx="3">
                        <c:v>3.4504896786300727</c:v>
                      </c:pt>
                      <c:pt idx="4">
                        <c:v>9.2913695268767729</c:v>
                      </c:pt>
                      <c:pt idx="5">
                        <c:v>3.7623622729604018</c:v>
                      </c:pt>
                      <c:pt idx="6">
                        <c:v>4.1696229835471215</c:v>
                      </c:pt>
                      <c:pt idx="7">
                        <c:v>0.82000160784628995</c:v>
                      </c:pt>
                      <c:pt idx="8">
                        <c:v>11.99205144771836</c:v>
                      </c:pt>
                    </c:numCache>
                  </c:numRef>
                </c:val>
                <c:smooth val="0"/>
                <c:extLst>
                  <c:ext xmlns:c16="http://schemas.microsoft.com/office/drawing/2014/chart" uri="{C3380CC4-5D6E-409C-BE32-E72D297353CC}">
                    <c16:uniqueId val="{0000000A-4652-41DC-B353-7B6E6C95AD6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'Pivot Table - by Quarter'!$N$24</c15:sqref>
                        </c15:formulaRef>
                      </c:ext>
                    </c:extLst>
                    <c:strCache>
                      <c:ptCount val="1"/>
                      <c:pt idx="0">
                        <c:v>DT BP</c:v>
                      </c:pt>
                    </c:strCache>
                  </c:strRef>
                </c:tx>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'Pivot Table - by Quarter'!$A$31:$A$39</c15:sqref>
                        </c15:formulaRef>
                      </c:ext>
                    </c:extLst>
                    <c:strCache>
                      <c:ptCount val="9"/>
                      <c:pt idx="0">
                        <c:v>Q4 2022</c:v>
                      </c:pt>
                      <c:pt idx="1">
                        <c:v>Q1 2023</c:v>
                      </c:pt>
                      <c:pt idx="2">
                        <c:v>Q2 2023</c:v>
                      </c:pt>
                      <c:pt idx="3">
                        <c:v>Q3 2023</c:v>
                      </c:pt>
                      <c:pt idx="4">
                        <c:v>Q4 2023</c:v>
                      </c:pt>
                      <c:pt idx="5">
                        <c:v>Q1 2024</c:v>
                      </c:pt>
                      <c:pt idx="6">
                        <c:v>Q2 2024</c:v>
                      </c:pt>
                      <c:pt idx="7">
                        <c:v>Q3 2024</c:v>
                      </c:pt>
                      <c:pt idx="8">
                        <c:v>Q4 2024</c:v>
                      </c:pt>
                    </c:strCache>
                  </c:strRef>
                </c:cat>
                <c:val>
                  <c:numRef>
                    <c:extLst xmlns:c15="http://schemas.microsoft.com/office/drawing/2012/chart">
                      <c:ext xmlns:c15="http://schemas.microsoft.com/office/drawing/2012/chart" uri="{02D57815-91ED-43cb-92C2-25804820EDAC}">
                        <c15:formulaRef>
                          <c15:sqref>'Pivot Table - by Quarter'!$N$31:$N$39</c15:sqref>
                        </c15:formulaRef>
                      </c:ext>
                    </c:extLst>
                    <c:numCache>
                      <c:formatCode>0.00</c:formatCode>
                      <c:ptCount val="9"/>
                      <c:pt idx="0">
                        <c:v>4.9261024426875819</c:v>
                      </c:pt>
                      <c:pt idx="1">
                        <c:v>4.773445633213516</c:v>
                      </c:pt>
                      <c:pt idx="2">
                        <c:v>6.4898665432634122</c:v>
                      </c:pt>
                      <c:pt idx="3">
                        <c:v>6.8008796622097112</c:v>
                      </c:pt>
                      <c:pt idx="4">
                        <c:v>8.1180555555555554</c:v>
                      </c:pt>
                      <c:pt idx="5">
                        <c:v>6.8275294908299875</c:v>
                      </c:pt>
                      <c:pt idx="6">
                        <c:v>10.03609536703458</c:v>
                      </c:pt>
                      <c:pt idx="7">
                        <c:v>5.6400032156925795</c:v>
                      </c:pt>
                      <c:pt idx="8">
                        <c:v>7.7341968055534682</c:v>
                      </c:pt>
                    </c:numCache>
                  </c:numRef>
                </c:val>
                <c:smooth val="0"/>
                <c:extLst xmlns:c15="http://schemas.microsoft.com/office/drawing/2012/chart">
                  <c:ext xmlns:c16="http://schemas.microsoft.com/office/drawing/2014/chart" uri="{C3380CC4-5D6E-409C-BE32-E72D297353CC}">
                    <c16:uniqueId val="{0000000B-4652-41DC-B353-7B6E6C95AD6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'Pivot Table - by Quarter'!$O$24</c15:sqref>
                        </c15:formulaRef>
                      </c:ext>
                    </c:extLst>
                    <c:strCache>
                      <c:ptCount val="1"/>
                      <c:pt idx="0">
                        <c:v>Sum of FR (Actual)</c:v>
                      </c:pt>
                    </c:strCache>
                  </c:strRef>
                </c:tx>
                <c:spPr>
                  <a:ln w="22225" cap="rnd" cmpd="sng" algn="ctr">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'Pivot Table - by Quarter'!$A$31:$A$39</c15:sqref>
                        </c15:formulaRef>
                      </c:ext>
                    </c:extLst>
                    <c:strCache>
                      <c:ptCount val="9"/>
                      <c:pt idx="0">
                        <c:v>Q4 2022</c:v>
                      </c:pt>
                      <c:pt idx="1">
                        <c:v>Q1 2023</c:v>
                      </c:pt>
                      <c:pt idx="2">
                        <c:v>Q2 2023</c:v>
                      </c:pt>
                      <c:pt idx="3">
                        <c:v>Q3 2023</c:v>
                      </c:pt>
                      <c:pt idx="4">
                        <c:v>Q4 2023</c:v>
                      </c:pt>
                      <c:pt idx="5">
                        <c:v>Q1 2024</c:v>
                      </c:pt>
                      <c:pt idx="6">
                        <c:v>Q2 2024</c:v>
                      </c:pt>
                      <c:pt idx="7">
                        <c:v>Q3 2024</c:v>
                      </c:pt>
                      <c:pt idx="8">
                        <c:v>Q4 2024</c:v>
                      </c:pt>
                    </c:strCache>
                  </c:strRef>
                </c:cat>
                <c:val>
                  <c:numRef>
                    <c:extLst xmlns:c15="http://schemas.microsoft.com/office/drawing/2012/chart">
                      <c:ext xmlns:c15="http://schemas.microsoft.com/office/drawing/2012/chart" uri="{02D57815-91ED-43cb-92C2-25804820EDAC}">
                        <c15:formulaRef>
                          <c15:sqref>'Pivot Table - by Quarter'!$O$31:$O$39</c15:sqref>
                        </c15:formulaRef>
                      </c:ext>
                    </c:extLst>
                    <c:numCache>
                      <c:formatCode>0.00</c:formatCode>
                      <c:ptCount val="9"/>
                      <c:pt idx="0">
                        <c:v>2.2234201394141992</c:v>
                      </c:pt>
                      <c:pt idx="1">
                        <c:v>2.6900617349537188</c:v>
                      </c:pt>
                      <c:pt idx="2">
                        <c:v>1.7156391223748912</c:v>
                      </c:pt>
                      <c:pt idx="3">
                        <c:v>1.6825676294673786</c:v>
                      </c:pt>
                      <c:pt idx="4">
                        <c:v>1.921755464115636</c:v>
                      </c:pt>
                      <c:pt idx="5">
                        <c:v>1.4498500046642042</c:v>
                      </c:pt>
                      <c:pt idx="6">
                        <c:v>2.1949722122876674</c:v>
                      </c:pt>
                      <c:pt idx="7">
                        <c:v>2.3387480647619254</c:v>
                      </c:pt>
                      <c:pt idx="8">
                        <c:v>3.1858837407901794</c:v>
                      </c:pt>
                    </c:numCache>
                  </c:numRef>
                </c:val>
                <c:smooth val="0"/>
                <c:extLst xmlns:c15="http://schemas.microsoft.com/office/drawing/2012/chart">
                  <c:ext xmlns:c16="http://schemas.microsoft.com/office/drawing/2014/chart" uri="{C3380CC4-5D6E-409C-BE32-E72D297353CC}">
                    <c16:uniqueId val="{0000000C-4652-41DC-B353-7B6E6C95AD6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'Pivot Table - by Quarter'!$P$24</c15:sqref>
                        </c15:formulaRef>
                      </c:ext>
                    </c:extLst>
                    <c:strCache>
                      <c:ptCount val="1"/>
                      <c:pt idx="0">
                        <c:v>Sum of FM Rate PSF</c:v>
                      </c:pt>
                    </c:strCache>
                  </c:strRef>
                </c:tx>
                <c:spPr>
                  <a:ln w="22225" cap="rnd" cmpd="sng" algn="ctr">
                    <a:solidFill>
                      <a:schemeClr val="accent3">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65000"/>
                              <a:lumOff val="35000"/>
                            </a:schemeClr>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'Pivot Table - by Quarter'!$A$31:$A$39</c15:sqref>
                        </c15:formulaRef>
                      </c:ext>
                    </c:extLst>
                    <c:strCache>
                      <c:ptCount val="9"/>
                      <c:pt idx="0">
                        <c:v>Q4 2022</c:v>
                      </c:pt>
                      <c:pt idx="1">
                        <c:v>Q1 2023</c:v>
                      </c:pt>
                      <c:pt idx="2">
                        <c:v>Q2 2023</c:v>
                      </c:pt>
                      <c:pt idx="3">
                        <c:v>Q3 2023</c:v>
                      </c:pt>
                      <c:pt idx="4">
                        <c:v>Q4 2023</c:v>
                      </c:pt>
                      <c:pt idx="5">
                        <c:v>Q1 2024</c:v>
                      </c:pt>
                      <c:pt idx="6">
                        <c:v>Q2 2024</c:v>
                      </c:pt>
                      <c:pt idx="7">
                        <c:v>Q3 2024</c:v>
                      </c:pt>
                      <c:pt idx="8">
                        <c:v>Q4 2024</c:v>
                      </c:pt>
                    </c:strCache>
                  </c:strRef>
                </c:cat>
                <c:val>
                  <c:numRef>
                    <c:extLst xmlns:c15="http://schemas.microsoft.com/office/drawing/2012/chart">
                      <c:ext xmlns:c15="http://schemas.microsoft.com/office/drawing/2012/chart" uri="{02D57815-91ED-43cb-92C2-25804820EDAC}">
                        <c15:formulaRef>
                          <c15:sqref>'Pivot Table - by Quarter'!$P$31:$P$39</c15:sqref>
                        </c15:formulaRef>
                      </c:ext>
                    </c:extLst>
                    <c:numCache>
                      <c:formatCode>0.00</c:formatCode>
                      <c:ptCount val="9"/>
                      <c:pt idx="0">
                        <c:v>6.2080070583759177</c:v>
                      </c:pt>
                      <c:pt idx="1">
                        <c:v>6.9330134165099979</c:v>
                      </c:pt>
                      <c:pt idx="2">
                        <c:v>7.4283414874643716</c:v>
                      </c:pt>
                      <c:pt idx="3">
                        <c:v>6.6819616814999101</c:v>
                      </c:pt>
                      <c:pt idx="4">
                        <c:v>8.970810834746084</c:v>
                      </c:pt>
                      <c:pt idx="5">
                        <c:v>10.28005911960498</c:v>
                      </c:pt>
                      <c:pt idx="6">
                        <c:v>10.551346934432493</c:v>
                      </c:pt>
                      <c:pt idx="7">
                        <c:v>0</c:v>
                      </c:pt>
                      <c:pt idx="8">
                        <c:v>8.1231600831168826</c:v>
                      </c:pt>
                    </c:numCache>
                  </c:numRef>
                </c:val>
                <c:smooth val="0"/>
                <c:extLst xmlns:c15="http://schemas.microsoft.com/office/drawing/2012/chart">
                  <c:ext xmlns:c16="http://schemas.microsoft.com/office/drawing/2014/chart" uri="{C3380CC4-5D6E-409C-BE32-E72D297353CC}">
                    <c16:uniqueId val="{0000000D-4652-41DC-B353-7B6E6C95AD64}"/>
                  </c:ext>
                </c:extLst>
              </c15:ser>
            </c15:filteredLineSeries>
          </c:ext>
        </c:extLst>
      </c:lineChart>
      <c:catAx>
        <c:axId val="11827398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Aptos" panose="020B0004020202020204" pitchFamily="34" charset="0"/>
                <a:ea typeface="+mn-ea"/>
                <a:cs typeface="+mn-cs"/>
              </a:defRPr>
            </a:pPr>
            <a:endParaRPr lang="en-US"/>
          </a:p>
        </c:txPr>
        <c:crossAx val="1189781392"/>
        <c:crosses val="autoZero"/>
        <c:auto val="1"/>
        <c:lblAlgn val="ctr"/>
        <c:lblOffset val="100"/>
        <c:noMultiLvlLbl val="0"/>
      </c:catAx>
      <c:valAx>
        <c:axId val="11897813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Aptos" panose="020B0004020202020204" pitchFamily="34" charset="0"/>
                <a:ea typeface="+mn-ea"/>
                <a:cs typeface="+mn-cs"/>
              </a:defRPr>
            </a:pPr>
            <a:endParaRPr lang="en-US"/>
          </a:p>
        </c:txPr>
        <c:crossAx val="11827398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manualLayout>
          <c:xMode val="edge"/>
          <c:yMode val="edge"/>
          <c:x val="0.36452980395584683"/>
          <c:y val="0.12960999079592805"/>
          <c:w val="0.28792362110035707"/>
          <c:h val="0.1110002541263499"/>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Aptos" panose="020B0004020202020204" pitchFamily="34" charset="0"/>
                <a:ea typeface="+mn-ea"/>
                <a:cs typeface="+mn-cs"/>
              </a:defRPr>
            </a:pPr>
            <a:r>
              <a:rPr lang="en-US" sz="1200" b="1"/>
              <a:t>Leasing Spread over Time</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Aptos" panose="020B0004020202020204" pitchFamily="34" charset="0"/>
              <a:ea typeface="+mn-ea"/>
              <a:cs typeface="+mn-cs"/>
            </a:defRPr>
          </a:pPr>
          <a:endParaRPr lang="en-US"/>
        </a:p>
      </c:txPr>
    </c:title>
    <c:autoTitleDeleted val="0"/>
    <c:plotArea>
      <c:layout/>
      <c:lineChart>
        <c:grouping val="standard"/>
        <c:varyColors val="0"/>
        <c:ser>
          <c:idx val="0"/>
          <c:order val="0"/>
          <c:tx>
            <c:strRef>
              <c:f>'Pivot Table - by Quarter'!$K$24</c:f>
              <c:strCache>
                <c:ptCount val="1"/>
                <c:pt idx="0">
                  <c:v>Increase % over Prior Rate</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anchor="ctr" anchorCtr="1"/>
              <a:lstStyle/>
              <a:p>
                <a:pPr>
                  <a:defRPr sz="1197" b="1" i="0" u="none" strike="noStrike" kern="1200" baseline="0">
                    <a:solidFill>
                      <a:schemeClr val="tx1">
                        <a:lumMod val="50000"/>
                        <a:lumOff val="50000"/>
                      </a:schemeClr>
                    </a:solidFill>
                    <a:latin typeface="Aptos"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 by Quarter'!$A$29:$A$39</c:f>
              <c:strCache>
                <c:ptCount val="11"/>
                <c:pt idx="0">
                  <c:v>Q2 2022</c:v>
                </c:pt>
                <c:pt idx="1">
                  <c:v>Q3 2022</c:v>
                </c:pt>
                <c:pt idx="2">
                  <c:v>Q4 2022</c:v>
                </c:pt>
                <c:pt idx="3">
                  <c:v>Q1 2023</c:v>
                </c:pt>
                <c:pt idx="4">
                  <c:v>Q2 2023</c:v>
                </c:pt>
                <c:pt idx="5">
                  <c:v>Q3 2023</c:v>
                </c:pt>
                <c:pt idx="6">
                  <c:v>Q4 2023</c:v>
                </c:pt>
                <c:pt idx="7">
                  <c:v>Q1 2024</c:v>
                </c:pt>
                <c:pt idx="8">
                  <c:v>Q2 2024</c:v>
                </c:pt>
                <c:pt idx="9">
                  <c:v>Q3 2024</c:v>
                </c:pt>
                <c:pt idx="10">
                  <c:v>Q4 2024</c:v>
                </c:pt>
              </c:strCache>
            </c:strRef>
          </c:cat>
          <c:val>
            <c:numRef>
              <c:f>'Pivot Table - by Quarter'!$K$29:$K$39</c:f>
              <c:numCache>
                <c:formatCode>0%</c:formatCode>
                <c:ptCount val="11"/>
                <c:pt idx="0">
                  <c:v>0.50870152309560601</c:v>
                </c:pt>
                <c:pt idx="1">
                  <c:v>0.30493881987621929</c:v>
                </c:pt>
                <c:pt idx="2">
                  <c:v>0.43444021434202607</c:v>
                </c:pt>
                <c:pt idx="3">
                  <c:v>0.34115382418257889</c:v>
                </c:pt>
                <c:pt idx="4">
                  <c:v>0.39119573300902322</c:v>
                </c:pt>
                <c:pt idx="5">
                  <c:v>0.2889699413298048</c:v>
                </c:pt>
                <c:pt idx="6">
                  <c:v>0.24405613489904243</c:v>
                </c:pt>
                <c:pt idx="7">
                  <c:v>0.24405293727379895</c:v>
                </c:pt>
                <c:pt idx="8">
                  <c:v>0.41975217180122071</c:v>
                </c:pt>
                <c:pt idx="9">
                  <c:v>0.33888432313297767</c:v>
                </c:pt>
                <c:pt idx="10">
                  <c:v>0.41306112754957458</c:v>
                </c:pt>
              </c:numCache>
            </c:numRef>
          </c:val>
          <c:smooth val="0"/>
          <c:extLst>
            <c:ext xmlns:c16="http://schemas.microsoft.com/office/drawing/2014/chart" uri="{C3380CC4-5D6E-409C-BE32-E72D297353CC}">
              <c16:uniqueId val="{00000000-D614-48E3-8845-BE75CE348850}"/>
            </c:ext>
          </c:extLst>
        </c:ser>
        <c:dLbls>
          <c:showLegendKey val="0"/>
          <c:showVal val="1"/>
          <c:showCatName val="0"/>
          <c:showSerName val="0"/>
          <c:showPercent val="0"/>
          <c:showBubbleSize val="0"/>
        </c:dLbls>
        <c:marker val="1"/>
        <c:smooth val="0"/>
        <c:axId val="1182739888"/>
        <c:axId val="1189781392"/>
      </c:lineChart>
      <c:catAx>
        <c:axId val="1182739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4" b="1" i="0" u="none" strike="noStrike" kern="1200" cap="all" spc="120" normalizeH="0" baseline="0">
                <a:solidFill>
                  <a:schemeClr val="tx1">
                    <a:lumMod val="65000"/>
                    <a:lumOff val="35000"/>
                  </a:schemeClr>
                </a:solidFill>
                <a:latin typeface="Aptos" panose="020B0004020202020204" pitchFamily="34" charset="0"/>
                <a:ea typeface="+mn-ea"/>
                <a:cs typeface="+mn-cs"/>
              </a:defRPr>
            </a:pPr>
            <a:endParaRPr lang="en-US"/>
          </a:p>
        </c:txPr>
        <c:crossAx val="1189781392"/>
        <c:crosses val="autoZero"/>
        <c:auto val="1"/>
        <c:lblAlgn val="ctr"/>
        <c:lblOffset val="100"/>
        <c:noMultiLvlLbl val="0"/>
      </c:catAx>
      <c:valAx>
        <c:axId val="1189781392"/>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97"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182739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97"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b="1">
          <a:latin typeface="Aptos" panose="020B0004020202020204" pitchFamily="34" charset="0"/>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Downtime</a:t>
            </a:r>
            <a:r>
              <a:rPr lang="en-US" baseline="0"/>
              <a:t> (mos) Signed Leases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Quarter'!$B$87</c:f>
              <c:strCache>
                <c:ptCount val="1"/>
                <c:pt idx="0">
                  <c:v>DT (mos)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Quarter'!$A$101:$A$110</c:f>
              <c:strCache>
                <c:ptCount val="10"/>
                <c:pt idx="0">
                  <c:v>Q3 2022</c:v>
                </c:pt>
                <c:pt idx="1">
                  <c:v>Q4 2022</c:v>
                </c:pt>
                <c:pt idx="2">
                  <c:v>Q1 2023</c:v>
                </c:pt>
                <c:pt idx="3">
                  <c:v>Q2 2023</c:v>
                </c:pt>
                <c:pt idx="4">
                  <c:v>Q3 2023</c:v>
                </c:pt>
                <c:pt idx="5">
                  <c:v>Q4 2023</c:v>
                </c:pt>
                <c:pt idx="6">
                  <c:v>Q1 2024</c:v>
                </c:pt>
                <c:pt idx="7">
                  <c:v>Q2 2024</c:v>
                </c:pt>
                <c:pt idx="8">
                  <c:v>Q3 2024</c:v>
                </c:pt>
                <c:pt idx="9">
                  <c:v>Q4 2024</c:v>
                </c:pt>
              </c:strCache>
            </c:strRef>
          </c:cat>
          <c:val>
            <c:numRef>
              <c:f>'Pivot Table - by Quarter'!$B$101:$B$110</c:f>
              <c:numCache>
                <c:formatCode>0.00</c:formatCode>
                <c:ptCount val="10"/>
                <c:pt idx="0">
                  <c:v>6.0481453647866754</c:v>
                </c:pt>
                <c:pt idx="1">
                  <c:v>7.2990131490494505</c:v>
                </c:pt>
                <c:pt idx="2">
                  <c:v>4.3485028218124304</c:v>
                </c:pt>
                <c:pt idx="3">
                  <c:v>3.6090370113117682</c:v>
                </c:pt>
                <c:pt idx="4">
                  <c:v>3.6917232168639909</c:v>
                </c:pt>
                <c:pt idx="5">
                  <c:v>10.46932770669196</c:v>
                </c:pt>
                <c:pt idx="6">
                  <c:v>3.59332967823245</c:v>
                </c:pt>
                <c:pt idx="7">
                  <c:v>2.8336077729480951</c:v>
                </c:pt>
                <c:pt idx="8">
                  <c:v>0</c:v>
                </c:pt>
                <c:pt idx="9">
                  <c:v>11.682805298844196</c:v>
                </c:pt>
              </c:numCache>
            </c:numRef>
          </c:val>
          <c:extLst>
            <c:ext xmlns:c16="http://schemas.microsoft.com/office/drawing/2014/chart" uri="{C3380CC4-5D6E-409C-BE32-E72D297353CC}">
              <c16:uniqueId val="{00000000-710A-4FA1-918F-12EFBDD87091}"/>
            </c:ext>
          </c:extLst>
        </c:ser>
        <c:ser>
          <c:idx val="1"/>
          <c:order val="1"/>
          <c:tx>
            <c:strRef>
              <c:f>'Pivot Table - by Quarter'!$C$87</c:f>
              <c:strCache>
                <c:ptCount val="1"/>
                <c:pt idx="0">
                  <c:v>DT BP (mos)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Quarter'!$A$101:$A$110</c:f>
              <c:strCache>
                <c:ptCount val="10"/>
                <c:pt idx="0">
                  <c:v>Q3 2022</c:v>
                </c:pt>
                <c:pt idx="1">
                  <c:v>Q4 2022</c:v>
                </c:pt>
                <c:pt idx="2">
                  <c:v>Q1 2023</c:v>
                </c:pt>
                <c:pt idx="3">
                  <c:v>Q2 2023</c:v>
                </c:pt>
                <c:pt idx="4">
                  <c:v>Q3 2023</c:v>
                </c:pt>
                <c:pt idx="5">
                  <c:v>Q4 2023</c:v>
                </c:pt>
                <c:pt idx="6">
                  <c:v>Q1 2024</c:v>
                </c:pt>
                <c:pt idx="7">
                  <c:v>Q2 2024</c:v>
                </c:pt>
                <c:pt idx="8">
                  <c:v>Q3 2024</c:v>
                </c:pt>
                <c:pt idx="9">
                  <c:v>Q4 2024</c:v>
                </c:pt>
              </c:strCache>
            </c:strRef>
          </c:cat>
          <c:val>
            <c:numRef>
              <c:f>'Pivot Table - by Quarter'!$C$101:$C$110</c:f>
              <c:numCache>
                <c:formatCode>0.00</c:formatCode>
                <c:ptCount val="10"/>
                <c:pt idx="0">
                  <c:v>5.8294284876367826</c:v>
                </c:pt>
                <c:pt idx="1">
                  <c:v>4.3841730081475703</c:v>
                </c:pt>
                <c:pt idx="2">
                  <c:v>4.6709069341097811</c:v>
                </c:pt>
                <c:pt idx="3">
                  <c:v>7.0817245485215317</c:v>
                </c:pt>
                <c:pt idx="4">
                  <c:v>6.6177158533063816</c:v>
                </c:pt>
                <c:pt idx="5">
                  <c:v>9.5697845486749653</c:v>
                </c:pt>
                <c:pt idx="6">
                  <c:v>5.228975456234914</c:v>
                </c:pt>
                <c:pt idx="7">
                  <c:v>3.3040347737151623</c:v>
                </c:pt>
                <c:pt idx="8">
                  <c:v>4</c:v>
                </c:pt>
                <c:pt idx="9">
                  <c:v>7.7773206572883238</c:v>
                </c:pt>
              </c:numCache>
            </c:numRef>
          </c:val>
          <c:extLst>
            <c:ext xmlns:c16="http://schemas.microsoft.com/office/drawing/2014/chart" uri="{C3380CC4-5D6E-409C-BE32-E72D297353CC}">
              <c16:uniqueId val="{00000001-710A-4FA1-918F-12EFBDD87091}"/>
            </c:ext>
          </c:extLst>
        </c:ser>
        <c:dLbls>
          <c:dLblPos val="outEnd"/>
          <c:showLegendKey val="0"/>
          <c:showVal val="1"/>
          <c:showCatName val="0"/>
          <c:showSerName val="0"/>
          <c:showPercent val="0"/>
          <c:showBubbleSize val="0"/>
        </c:dLbls>
        <c:gapWidth val="219"/>
        <c:overlap val="-27"/>
        <c:axId val="1543277328"/>
        <c:axId val="1543285488"/>
      </c:barChart>
      <c:catAx>
        <c:axId val="154327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85488"/>
        <c:crosses val="autoZero"/>
        <c:auto val="1"/>
        <c:lblAlgn val="ctr"/>
        <c:lblOffset val="100"/>
        <c:noMultiLvlLbl val="0"/>
      </c:catAx>
      <c:valAx>
        <c:axId val="154328548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4327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Downtime</a:t>
            </a:r>
            <a:r>
              <a:rPr lang="en-US" baseline="0"/>
              <a:t> (mos) Signed Leases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Quarter'!$B$87</c:f>
              <c:strCache>
                <c:ptCount val="1"/>
                <c:pt idx="0">
                  <c:v>DT (mos)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Quarter'!$A$114:$A$123</c:f>
              <c:strCache>
                <c:ptCount val="10"/>
                <c:pt idx="0">
                  <c:v>Q3 2022</c:v>
                </c:pt>
                <c:pt idx="1">
                  <c:v>Q4 2022</c:v>
                </c:pt>
                <c:pt idx="2">
                  <c:v>Q1 2023</c:v>
                </c:pt>
                <c:pt idx="3">
                  <c:v>Q2 2023</c:v>
                </c:pt>
                <c:pt idx="4">
                  <c:v>Q3 2023</c:v>
                </c:pt>
                <c:pt idx="5">
                  <c:v>Q4 2023</c:v>
                </c:pt>
                <c:pt idx="6">
                  <c:v>Q1 2024</c:v>
                </c:pt>
                <c:pt idx="7">
                  <c:v>Q2 2024</c:v>
                </c:pt>
                <c:pt idx="8">
                  <c:v>Q3 2024</c:v>
                </c:pt>
                <c:pt idx="9">
                  <c:v>Q4 2024</c:v>
                </c:pt>
              </c:strCache>
            </c:strRef>
          </c:cat>
          <c:val>
            <c:numRef>
              <c:f>'Pivot Table - by Quarter'!$B$114:$B$123</c:f>
              <c:numCache>
                <c:formatCode>0.00</c:formatCode>
                <c:ptCount val="10"/>
                <c:pt idx="0">
                  <c:v>3</c:v>
                </c:pt>
                <c:pt idx="1">
                  <c:v>0.81786662968454971</c:v>
                </c:pt>
                <c:pt idx="2">
                  <c:v>6</c:v>
                </c:pt>
                <c:pt idx="3">
                  <c:v>8.3163775360188179</c:v>
                </c:pt>
                <c:pt idx="4">
                  <c:v>2.40625</c:v>
                </c:pt>
                <c:pt idx="5">
                  <c:v>8.415454477139269</c:v>
                </c:pt>
                <c:pt idx="6">
                  <c:v>4.0392749244712993</c:v>
                </c:pt>
                <c:pt idx="7">
                  <c:v>7.981344792719919</c:v>
                </c:pt>
                <c:pt idx="8">
                  <c:v>1</c:v>
                </c:pt>
                <c:pt idx="9">
                  <c:v>12.502449223416965</c:v>
                </c:pt>
              </c:numCache>
            </c:numRef>
          </c:val>
          <c:extLst>
            <c:ext xmlns:c16="http://schemas.microsoft.com/office/drawing/2014/chart" uri="{C3380CC4-5D6E-409C-BE32-E72D297353CC}">
              <c16:uniqueId val="{00000000-26EA-4B94-BE3F-8BE502155CFA}"/>
            </c:ext>
          </c:extLst>
        </c:ser>
        <c:ser>
          <c:idx val="1"/>
          <c:order val="1"/>
          <c:tx>
            <c:strRef>
              <c:f>'Pivot Table - by Quarter'!$C$87</c:f>
              <c:strCache>
                <c:ptCount val="1"/>
                <c:pt idx="0">
                  <c:v>DT BP (mos)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Quarter'!$A$114:$A$123</c:f>
              <c:strCache>
                <c:ptCount val="10"/>
                <c:pt idx="0">
                  <c:v>Q3 2022</c:v>
                </c:pt>
                <c:pt idx="1">
                  <c:v>Q4 2022</c:v>
                </c:pt>
                <c:pt idx="2">
                  <c:v>Q1 2023</c:v>
                </c:pt>
                <c:pt idx="3">
                  <c:v>Q2 2023</c:v>
                </c:pt>
                <c:pt idx="4">
                  <c:v>Q3 2023</c:v>
                </c:pt>
                <c:pt idx="5">
                  <c:v>Q4 2023</c:v>
                </c:pt>
                <c:pt idx="6">
                  <c:v>Q1 2024</c:v>
                </c:pt>
                <c:pt idx="7">
                  <c:v>Q2 2024</c:v>
                </c:pt>
                <c:pt idx="8">
                  <c:v>Q3 2024</c:v>
                </c:pt>
                <c:pt idx="9">
                  <c:v>Q4 2024</c:v>
                </c:pt>
              </c:strCache>
            </c:strRef>
          </c:cat>
          <c:val>
            <c:numRef>
              <c:f>'Pivot Table - by Quarter'!$C$114:$C$123</c:f>
              <c:numCache>
                <c:formatCode>0.00</c:formatCode>
                <c:ptCount val="10"/>
                <c:pt idx="0">
                  <c:v>9</c:v>
                </c:pt>
                <c:pt idx="1">
                  <c:v>6.4939459563255424</c:v>
                </c:pt>
                <c:pt idx="2">
                  <c:v>6</c:v>
                </c:pt>
                <c:pt idx="3">
                  <c:v>6</c:v>
                </c:pt>
                <c:pt idx="4">
                  <c:v>7.59375</c:v>
                </c:pt>
                <c:pt idx="5">
                  <c:v>6</c:v>
                </c:pt>
                <c:pt idx="6">
                  <c:v>5.7184033407598358</c:v>
                </c:pt>
                <c:pt idx="7">
                  <c:v>6.5097826086956525</c:v>
                </c:pt>
                <c:pt idx="8">
                  <c:v>6</c:v>
                </c:pt>
                <c:pt idx="9">
                  <c:v>7.6630227001194742</c:v>
                </c:pt>
              </c:numCache>
            </c:numRef>
          </c:val>
          <c:extLst>
            <c:ext xmlns:c16="http://schemas.microsoft.com/office/drawing/2014/chart" uri="{C3380CC4-5D6E-409C-BE32-E72D297353CC}">
              <c16:uniqueId val="{00000001-26EA-4B94-BE3F-8BE502155CFA}"/>
            </c:ext>
          </c:extLst>
        </c:ser>
        <c:dLbls>
          <c:dLblPos val="outEnd"/>
          <c:showLegendKey val="0"/>
          <c:showVal val="1"/>
          <c:showCatName val="0"/>
          <c:showSerName val="0"/>
          <c:showPercent val="0"/>
          <c:showBubbleSize val="0"/>
        </c:dLbls>
        <c:gapWidth val="219"/>
        <c:overlap val="-27"/>
        <c:axId val="1543277328"/>
        <c:axId val="1543285488"/>
      </c:barChart>
      <c:catAx>
        <c:axId val="154327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85488"/>
        <c:crosses val="autoZero"/>
        <c:auto val="1"/>
        <c:lblAlgn val="ctr"/>
        <c:lblOffset val="100"/>
        <c:noMultiLvlLbl val="0"/>
      </c:catAx>
      <c:valAx>
        <c:axId val="154328548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4327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Quarter'!$D$100</c:f>
              <c:strCache>
                <c:ptCount val="1"/>
                <c:pt idx="0">
                  <c:v># Leases</c:v>
                </c:pt>
              </c:strCache>
            </c:strRef>
          </c:tx>
          <c:spPr>
            <a:solidFill>
              <a:schemeClr val="accent1"/>
            </a:solidFill>
            <a:ln>
              <a:noFill/>
            </a:ln>
            <a:effectLst/>
          </c:spPr>
          <c:invertIfNegative val="0"/>
          <c:cat>
            <c:strRef>
              <c:f>'Pivot Table - by Quarter'!$A$114:$A$123</c:f>
              <c:strCache>
                <c:ptCount val="10"/>
                <c:pt idx="0">
                  <c:v>Q3 2022</c:v>
                </c:pt>
                <c:pt idx="1">
                  <c:v>Q4 2022</c:v>
                </c:pt>
                <c:pt idx="2">
                  <c:v>Q1 2023</c:v>
                </c:pt>
                <c:pt idx="3">
                  <c:v>Q2 2023</c:v>
                </c:pt>
                <c:pt idx="4">
                  <c:v>Q3 2023</c:v>
                </c:pt>
                <c:pt idx="5">
                  <c:v>Q4 2023</c:v>
                </c:pt>
                <c:pt idx="6">
                  <c:v>Q1 2024</c:v>
                </c:pt>
                <c:pt idx="7">
                  <c:v>Q2 2024</c:v>
                </c:pt>
                <c:pt idx="8">
                  <c:v>Q3 2024</c:v>
                </c:pt>
                <c:pt idx="9">
                  <c:v>Q4 2024</c:v>
                </c:pt>
              </c:strCache>
            </c:strRef>
          </c:cat>
          <c:val>
            <c:numRef>
              <c:f>'Pivot Table - by Quarter'!$D$114:$D$123</c:f>
              <c:numCache>
                <c:formatCode>0</c:formatCode>
                <c:ptCount val="10"/>
                <c:pt idx="0">
                  <c:v>1</c:v>
                </c:pt>
                <c:pt idx="1">
                  <c:v>4</c:v>
                </c:pt>
                <c:pt idx="2">
                  <c:v>1</c:v>
                </c:pt>
                <c:pt idx="3">
                  <c:v>2</c:v>
                </c:pt>
                <c:pt idx="4">
                  <c:v>2</c:v>
                </c:pt>
                <c:pt idx="5">
                  <c:v>5</c:v>
                </c:pt>
                <c:pt idx="6">
                  <c:v>6</c:v>
                </c:pt>
                <c:pt idx="7">
                  <c:v>5</c:v>
                </c:pt>
                <c:pt idx="8">
                  <c:v>1</c:v>
                </c:pt>
                <c:pt idx="9">
                  <c:v>3</c:v>
                </c:pt>
              </c:numCache>
            </c:numRef>
          </c:val>
          <c:extLst>
            <c:ext xmlns:c16="http://schemas.microsoft.com/office/drawing/2014/chart" uri="{C3380CC4-5D6E-409C-BE32-E72D297353CC}">
              <c16:uniqueId val="{00000000-759D-4AC1-87EC-23D7BBA76517}"/>
            </c:ext>
          </c:extLst>
        </c:ser>
        <c:dLbls>
          <c:showLegendKey val="0"/>
          <c:showVal val="0"/>
          <c:showCatName val="0"/>
          <c:showSerName val="0"/>
          <c:showPercent val="0"/>
          <c:showBubbleSize val="0"/>
        </c:dLbls>
        <c:gapWidth val="219"/>
        <c:overlap val="-27"/>
        <c:axId val="1080959744"/>
        <c:axId val="1080983744"/>
      </c:barChart>
      <c:catAx>
        <c:axId val="10809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83744"/>
        <c:crosses val="autoZero"/>
        <c:auto val="1"/>
        <c:lblAlgn val="ctr"/>
        <c:lblOffset val="100"/>
        <c:noMultiLvlLbl val="0"/>
      </c:catAx>
      <c:valAx>
        <c:axId val="108098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59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Created over</a:t>
            </a:r>
            <a:r>
              <a:rPr lang="en-US" baseline="0"/>
              <a:t> FM NOI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5"/>
              <c:layout>
                <c:manualLayout>
                  <c:x val="1.9217996278644948E-3"/>
                  <c:y val="-8.92858283336261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35-4F43-8575-5AD43E5D2D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'FM NOI'!$A$28:$A$37</c:f>
              <c:strCache>
                <c:ptCount val="10"/>
                <c:pt idx="0">
                  <c:v>Atlanta</c:v>
                </c:pt>
                <c:pt idx="1">
                  <c:v>Baltimore/DC</c:v>
                </c:pt>
                <c:pt idx="2">
                  <c:v>Chicago</c:v>
                </c:pt>
                <c:pt idx="3">
                  <c:v>Columbus</c:v>
                </c:pt>
                <c:pt idx="4">
                  <c:v>Dallas</c:v>
                </c:pt>
                <c:pt idx="5">
                  <c:v>Greater Philadelphia</c:v>
                </c:pt>
                <c:pt idx="6">
                  <c:v>Memphis</c:v>
                </c:pt>
                <c:pt idx="7">
                  <c:v>North New Jersey</c:v>
                </c:pt>
                <c:pt idx="8">
                  <c:v>San Antonio</c:v>
                </c:pt>
                <c:pt idx="9">
                  <c:v>Jacksonville</c:v>
                </c:pt>
              </c:strCache>
            </c:strRef>
          </c:cat>
          <c:val>
            <c:numRef>
              <c:f>'FM NOI'!$F$28:$F$37</c:f>
              <c:numCache>
                <c:formatCode>"$"#,##0</c:formatCode>
                <c:ptCount val="10"/>
                <c:pt idx="0">
                  <c:v>121898.27000000028</c:v>
                </c:pt>
                <c:pt idx="1">
                  <c:v>270916.50000000006</c:v>
                </c:pt>
                <c:pt idx="2">
                  <c:v>67890.749999999985</c:v>
                </c:pt>
                <c:pt idx="3">
                  <c:v>77303.999999999927</c:v>
                </c:pt>
                <c:pt idx="4">
                  <c:v>312267.60000000003</c:v>
                </c:pt>
                <c:pt idx="5">
                  <c:v>12096.199999999932</c:v>
                </c:pt>
                <c:pt idx="6">
                  <c:v>46962.650000000067</c:v>
                </c:pt>
                <c:pt idx="7">
                  <c:v>54479.16</c:v>
                </c:pt>
                <c:pt idx="8">
                  <c:v>10420.199999999897</c:v>
                </c:pt>
                <c:pt idx="9">
                  <c:v>51480.000000000015</c:v>
                </c:pt>
              </c:numCache>
            </c:numRef>
          </c:val>
          <c:extLst>
            <c:ext xmlns:c16="http://schemas.microsoft.com/office/drawing/2014/chart" uri="{C3380CC4-5D6E-409C-BE32-E72D297353CC}">
              <c16:uniqueId val="{00000000-C235-4F43-8575-5AD43E5D2DA3}"/>
            </c:ext>
          </c:extLst>
        </c:ser>
        <c:dLbls>
          <c:dLblPos val="outEnd"/>
          <c:showLegendKey val="0"/>
          <c:showVal val="1"/>
          <c:showCatName val="0"/>
          <c:showSerName val="0"/>
          <c:showPercent val="0"/>
          <c:showBubbleSize val="0"/>
        </c:dLbls>
        <c:gapWidth val="219"/>
        <c:overlap val="-27"/>
        <c:axId val="576036447"/>
        <c:axId val="155164015"/>
      </c:barChart>
      <c:catAx>
        <c:axId val="57603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4015"/>
        <c:crosses val="autoZero"/>
        <c:auto val="1"/>
        <c:lblAlgn val="ctr"/>
        <c:lblOffset val="100"/>
        <c:noMultiLvlLbl val="0"/>
      </c:catAx>
      <c:valAx>
        <c:axId val="15516401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576036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Leases Executed</a:t>
            </a:r>
            <a:r>
              <a:rPr lang="en-US" baseline="0"/>
              <a:t> (Q4 2022 and Q1 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'FM NOI'!$A$28:$A$37</c:f>
              <c:strCache>
                <c:ptCount val="10"/>
                <c:pt idx="0">
                  <c:v>Atlanta</c:v>
                </c:pt>
                <c:pt idx="1">
                  <c:v>Baltimore/DC</c:v>
                </c:pt>
                <c:pt idx="2">
                  <c:v>Chicago</c:v>
                </c:pt>
                <c:pt idx="3">
                  <c:v>Columbus</c:v>
                </c:pt>
                <c:pt idx="4">
                  <c:v>Dallas</c:v>
                </c:pt>
                <c:pt idx="5">
                  <c:v>Greater Philadelphia</c:v>
                </c:pt>
                <c:pt idx="6">
                  <c:v>Memphis</c:v>
                </c:pt>
                <c:pt idx="7">
                  <c:v>North New Jersey</c:v>
                </c:pt>
                <c:pt idx="8">
                  <c:v>San Antonio</c:v>
                </c:pt>
                <c:pt idx="9">
                  <c:v>Jacksonville</c:v>
                </c:pt>
              </c:strCache>
            </c:strRef>
          </c:cat>
          <c:val>
            <c:numRef>
              <c:f>'FM NOI'!$C$28:$C$37</c:f>
              <c:numCache>
                <c:formatCode>0</c:formatCode>
                <c:ptCount val="10"/>
                <c:pt idx="0">
                  <c:v>11</c:v>
                </c:pt>
                <c:pt idx="1">
                  <c:v>2</c:v>
                </c:pt>
                <c:pt idx="2">
                  <c:v>5</c:v>
                </c:pt>
                <c:pt idx="3">
                  <c:v>4</c:v>
                </c:pt>
                <c:pt idx="4">
                  <c:v>8</c:v>
                </c:pt>
                <c:pt idx="5">
                  <c:v>4</c:v>
                </c:pt>
                <c:pt idx="6">
                  <c:v>6</c:v>
                </c:pt>
                <c:pt idx="7">
                  <c:v>6</c:v>
                </c:pt>
                <c:pt idx="8">
                  <c:v>2</c:v>
                </c:pt>
                <c:pt idx="9">
                  <c:v>1</c:v>
                </c:pt>
              </c:numCache>
            </c:numRef>
          </c:val>
          <c:extLst>
            <c:ext xmlns:c16="http://schemas.microsoft.com/office/drawing/2014/chart" uri="{C3380CC4-5D6E-409C-BE32-E72D297353CC}">
              <c16:uniqueId val="{00000000-BF55-4258-8CFE-897B6C0BB767}"/>
            </c:ext>
          </c:extLst>
        </c:ser>
        <c:dLbls>
          <c:dLblPos val="outEnd"/>
          <c:showLegendKey val="0"/>
          <c:showVal val="1"/>
          <c:showCatName val="0"/>
          <c:showSerName val="0"/>
          <c:showPercent val="0"/>
          <c:showBubbleSize val="0"/>
        </c:dLbls>
        <c:gapWidth val="219"/>
        <c:overlap val="-27"/>
        <c:axId val="800621104"/>
        <c:axId val="789916128"/>
      </c:barChart>
      <c:catAx>
        <c:axId val="80062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16128"/>
        <c:crosses val="autoZero"/>
        <c:auto val="1"/>
        <c:lblAlgn val="ctr"/>
        <c:lblOffset val="100"/>
        <c:noMultiLvlLbl val="0"/>
      </c:catAx>
      <c:valAx>
        <c:axId val="7899161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00621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Rate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Quarter &amp; size'!$D$47</c:f>
              <c:strCache>
                <c:ptCount val="1"/>
                <c:pt idx="0">
                  <c:v>Prior Lease PSF Rate.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size'!$D$48:$D$56</c:f>
              <c:numCache>
                <c:formatCode>0.00</c:formatCode>
                <c:ptCount val="9"/>
                <c:pt idx="1">
                  <c:v>3.6172189349112425</c:v>
                </c:pt>
                <c:pt idx="2">
                  <c:v>2.77994877454553</c:v>
                </c:pt>
                <c:pt idx="3">
                  <c:v>4.6488592364234522</c:v>
                </c:pt>
                <c:pt idx="4">
                  <c:v>5.373240091830934</c:v>
                </c:pt>
                <c:pt idx="5">
                  <c:v>5.0772616679827349</c:v>
                </c:pt>
                <c:pt idx="6">
                  <c:v>5.1136800578857837</c:v>
                </c:pt>
                <c:pt idx="7">
                  <c:v>5.0457697980256784</c:v>
                </c:pt>
                <c:pt idx="8">
                  <c:v>5.1640449835786235</c:v>
                </c:pt>
              </c:numCache>
            </c:numRef>
          </c:val>
          <c:extLst>
            <c:ext xmlns:c16="http://schemas.microsoft.com/office/drawing/2014/chart" uri="{C3380CC4-5D6E-409C-BE32-E72D297353CC}">
              <c16:uniqueId val="{00000000-C245-43C2-B014-A1C747B5E53C}"/>
            </c:ext>
          </c:extLst>
        </c:ser>
        <c:ser>
          <c:idx val="1"/>
          <c:order val="1"/>
          <c:tx>
            <c:strRef>
              <c:f>'Pivot Table - by Quarter &amp; size'!$E$47</c:f>
              <c:strCache>
                <c:ptCount val="1"/>
                <c:pt idx="0">
                  <c:v>BP PSF Rate.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size'!$E$48:$E$56</c:f>
              <c:numCache>
                <c:formatCode>0.00</c:formatCode>
                <c:ptCount val="9"/>
                <c:pt idx="0">
                  <c:v>3.1755550147287508</c:v>
                </c:pt>
                <c:pt idx="1">
                  <c:v>3.8923076923076922</c:v>
                </c:pt>
                <c:pt idx="2">
                  <c:v>4.9112621020262921</c:v>
                </c:pt>
                <c:pt idx="3">
                  <c:v>4.310272580347748</c:v>
                </c:pt>
                <c:pt idx="4">
                  <c:v>7.0891806404989097</c:v>
                </c:pt>
                <c:pt idx="5">
                  <c:v>6.9334917252061752</c:v>
                </c:pt>
                <c:pt idx="6">
                  <c:v>6.1611779484791036</c:v>
                </c:pt>
                <c:pt idx="7">
                  <c:v>6.6707200368568289</c:v>
                </c:pt>
                <c:pt idx="8">
                  <c:v>6.5501921362921589</c:v>
                </c:pt>
              </c:numCache>
            </c:numRef>
          </c:val>
          <c:extLst>
            <c:ext xmlns:c16="http://schemas.microsoft.com/office/drawing/2014/chart" uri="{C3380CC4-5D6E-409C-BE32-E72D297353CC}">
              <c16:uniqueId val="{00000001-C245-43C2-B014-A1C747B5E53C}"/>
            </c:ext>
          </c:extLst>
        </c:ser>
        <c:ser>
          <c:idx val="2"/>
          <c:order val="2"/>
          <c:tx>
            <c:strRef>
              <c:f>'Pivot Table - by Quarter &amp; size'!$F$47</c:f>
              <c:strCache>
                <c:ptCount val="1"/>
                <c:pt idx="0">
                  <c:v>Executed Lease PSF Rate.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size'!$F$48:$F$56</c:f>
              <c:numCache>
                <c:formatCode>0.00</c:formatCode>
                <c:ptCount val="9"/>
                <c:pt idx="0">
                  <c:v>3.3202220058915</c:v>
                </c:pt>
                <c:pt idx="1">
                  <c:v>3.9331360946745564</c:v>
                </c:pt>
                <c:pt idx="2">
                  <c:v>5.3375534100522346</c:v>
                </c:pt>
                <c:pt idx="3">
                  <c:v>4.8950292683103198</c:v>
                </c:pt>
                <c:pt idx="4">
                  <c:v>8.0471251943845932</c:v>
                </c:pt>
                <c:pt idx="5">
                  <c:v>7.4879199788435518</c:v>
                </c:pt>
                <c:pt idx="6">
                  <c:v>7.3506378941637198</c:v>
                </c:pt>
                <c:pt idx="7">
                  <c:v>7.182453795372389</c:v>
                </c:pt>
                <c:pt idx="8">
                  <c:v>8.3091254094498463</c:v>
                </c:pt>
              </c:numCache>
            </c:numRef>
          </c:val>
          <c:extLst>
            <c:ext xmlns:c16="http://schemas.microsoft.com/office/drawing/2014/chart" uri="{C3380CC4-5D6E-409C-BE32-E72D297353CC}">
              <c16:uniqueId val="{00000002-C245-43C2-B014-A1C747B5E53C}"/>
            </c:ext>
          </c:extLst>
        </c:ser>
        <c:dLbls>
          <c:showLegendKey val="0"/>
          <c:showVal val="0"/>
          <c:showCatName val="0"/>
          <c:showSerName val="0"/>
          <c:showPercent val="0"/>
          <c:showBubbleSize val="0"/>
        </c:dLbls>
        <c:gapWidth val="150"/>
        <c:axId val="885199615"/>
        <c:axId val="300563359"/>
      </c:barChart>
      <c:catAx>
        <c:axId val="8851996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0563359"/>
        <c:crosses val="autoZero"/>
        <c:auto val="1"/>
        <c:lblAlgn val="ctr"/>
        <c:lblOffset val="100"/>
        <c:noMultiLvlLbl val="0"/>
      </c:catAx>
      <c:valAx>
        <c:axId val="300563359"/>
        <c:scaling>
          <c:orientation val="minMax"/>
        </c:scaling>
        <c:delete val="1"/>
        <c:axPos val="l"/>
        <c:numFmt formatCode="0.00" sourceLinked="1"/>
        <c:majorTickMark val="none"/>
        <c:minorTickMark val="none"/>
        <c:tickLblPos val="nextTo"/>
        <c:crossAx val="88519961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CTV (in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 - by Quarter &amp; size'!$I$47</c:f>
              <c:strCache>
                <c:ptCount val="1"/>
                <c:pt idx="0">
                  <c:v>CTV (in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size'!$I$48:$I$56</c:f>
              <c:numCache>
                <c:formatCode>0.00</c:formatCode>
                <c:ptCount val="9"/>
                <c:pt idx="0">
                  <c:v>18.078541642298806</c:v>
                </c:pt>
                <c:pt idx="1">
                  <c:v>12.248640977552663</c:v>
                </c:pt>
                <c:pt idx="2">
                  <c:v>10.842862184643206</c:v>
                </c:pt>
                <c:pt idx="3">
                  <c:v>18.166529218791243</c:v>
                </c:pt>
                <c:pt idx="4">
                  <c:v>7.2539018603571623</c:v>
                </c:pt>
                <c:pt idx="5">
                  <c:v>11.916647982396016</c:v>
                </c:pt>
                <c:pt idx="6">
                  <c:v>12.051027028056975</c:v>
                </c:pt>
                <c:pt idx="7">
                  <c:v>8.0578286622378492</c:v>
                </c:pt>
                <c:pt idx="8">
                  <c:v>7.0115633188362176</c:v>
                </c:pt>
              </c:numCache>
            </c:numRef>
          </c:val>
          <c:smooth val="0"/>
          <c:extLst>
            <c:ext xmlns:c16="http://schemas.microsoft.com/office/drawing/2014/chart" uri="{C3380CC4-5D6E-409C-BE32-E72D297353CC}">
              <c16:uniqueId val="{00000000-8145-43C8-9632-E1AE26E72D05}"/>
            </c:ext>
          </c:extLst>
        </c:ser>
        <c:ser>
          <c:idx val="1"/>
          <c:order val="1"/>
          <c:tx>
            <c:strRef>
              <c:f>'Pivot Table - by Quarter &amp; size'!$J$47</c:f>
              <c:strCache>
                <c:ptCount val="1"/>
                <c:pt idx="0">
                  <c:v>CTV BP (in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size'!$J$48:$J$56</c:f>
              <c:numCache>
                <c:formatCode>0.00</c:formatCode>
                <c:ptCount val="9"/>
                <c:pt idx="0">
                  <c:v>13.262287823811269</c:v>
                </c:pt>
                <c:pt idx="1">
                  <c:v>17.319526627218934</c:v>
                </c:pt>
                <c:pt idx="2">
                  <c:v>23.850885579621597</c:v>
                </c:pt>
                <c:pt idx="3">
                  <c:v>22.668814262832683</c:v>
                </c:pt>
                <c:pt idx="4">
                  <c:v>22.182791978373459</c:v>
                </c:pt>
                <c:pt idx="5">
                  <c:v>13.929352150424128</c:v>
                </c:pt>
                <c:pt idx="6">
                  <c:v>13.14521855710003</c:v>
                </c:pt>
                <c:pt idx="7">
                  <c:v>10.440349485636379</c:v>
                </c:pt>
                <c:pt idx="8">
                  <c:v>18.838343466684833</c:v>
                </c:pt>
              </c:numCache>
            </c:numRef>
          </c:val>
          <c:smooth val="0"/>
          <c:extLst>
            <c:ext xmlns:c16="http://schemas.microsoft.com/office/drawing/2014/chart" uri="{C3380CC4-5D6E-409C-BE32-E72D297353CC}">
              <c16:uniqueId val="{00000001-8145-43C8-9632-E1AE26E72D05}"/>
            </c:ext>
          </c:extLst>
        </c:ser>
        <c:dLbls>
          <c:dLblPos val="t"/>
          <c:showLegendKey val="0"/>
          <c:showVal val="1"/>
          <c:showCatName val="0"/>
          <c:showSerName val="0"/>
          <c:showPercent val="0"/>
          <c:showBubbleSize val="0"/>
        </c:dLbls>
        <c:smooth val="0"/>
        <c:axId val="960500415"/>
        <c:axId val="896770799"/>
      </c:lineChart>
      <c:catAx>
        <c:axId val="96050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70799"/>
        <c:crosses val="autoZero"/>
        <c:auto val="1"/>
        <c:lblAlgn val="ctr"/>
        <c:lblOffset val="100"/>
        <c:noMultiLvlLbl val="0"/>
      </c:catAx>
      <c:valAx>
        <c:axId val="896770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00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 Bumps (in %)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 - by Quarter &amp; size'!$G$47</c:f>
              <c:strCache>
                <c:ptCount val="1"/>
                <c:pt idx="0">
                  <c:v>Escalation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size'!$G$48:$G$56</c:f>
              <c:numCache>
                <c:formatCode>0.00</c:formatCode>
                <c:ptCount val="9"/>
                <c:pt idx="0">
                  <c:v>3.7639961060470055</c:v>
                </c:pt>
                <c:pt idx="1">
                  <c:v>3</c:v>
                </c:pt>
                <c:pt idx="2">
                  <c:v>3</c:v>
                </c:pt>
                <c:pt idx="3">
                  <c:v>3.4159381225617276</c:v>
                </c:pt>
                <c:pt idx="4">
                  <c:v>3.5834689453046584</c:v>
                </c:pt>
                <c:pt idx="5">
                  <c:v>3.834175220731542</c:v>
                </c:pt>
                <c:pt idx="6">
                  <c:v>3.7950783243573007</c:v>
                </c:pt>
                <c:pt idx="7">
                  <c:v>3.5041264628276063</c:v>
                </c:pt>
                <c:pt idx="8">
                  <c:v>3.0210203177955277</c:v>
                </c:pt>
              </c:numCache>
            </c:numRef>
          </c:val>
          <c:smooth val="0"/>
          <c:extLst>
            <c:ext xmlns:c16="http://schemas.microsoft.com/office/drawing/2014/chart" uri="{C3380CC4-5D6E-409C-BE32-E72D297353CC}">
              <c16:uniqueId val="{00000000-2B59-4DDB-963F-4E2755D05287}"/>
            </c:ext>
          </c:extLst>
        </c:ser>
        <c:ser>
          <c:idx val="1"/>
          <c:order val="1"/>
          <c:tx>
            <c:strRef>
              <c:f>'Pivot Table - by Quarter &amp; size'!$H$47</c:f>
              <c:strCache>
                <c:ptCount val="1"/>
                <c:pt idx="0">
                  <c:v>Escalation % (BP)</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size'!$H$48:$H$56</c:f>
              <c:numCache>
                <c:formatCode>0.00</c:formatCode>
                <c:ptCount val="9"/>
                <c:pt idx="0">
                  <c:v>3.7022200589150032</c:v>
                </c:pt>
                <c:pt idx="1">
                  <c:v>2.9260355029585798</c:v>
                </c:pt>
                <c:pt idx="2">
                  <c:v>1.5916061285601106</c:v>
                </c:pt>
                <c:pt idx="3">
                  <c:v>2.1902639028993525</c:v>
                </c:pt>
                <c:pt idx="4">
                  <c:v>2.6445886808613146</c:v>
                </c:pt>
                <c:pt idx="5">
                  <c:v>3.323300317124501</c:v>
                </c:pt>
                <c:pt idx="6">
                  <c:v>3.1366346765676352</c:v>
                </c:pt>
                <c:pt idx="7">
                  <c:v>2.9696981119540617</c:v>
                </c:pt>
                <c:pt idx="8">
                  <c:v>3.0521484408263366</c:v>
                </c:pt>
              </c:numCache>
            </c:numRef>
          </c:val>
          <c:smooth val="0"/>
          <c:extLst>
            <c:ext xmlns:c16="http://schemas.microsoft.com/office/drawing/2014/chart" uri="{C3380CC4-5D6E-409C-BE32-E72D297353CC}">
              <c16:uniqueId val="{00000001-2B59-4DDB-963F-4E2755D05287}"/>
            </c:ext>
          </c:extLst>
        </c:ser>
        <c:dLbls>
          <c:dLblPos val="t"/>
          <c:showLegendKey val="0"/>
          <c:showVal val="1"/>
          <c:showCatName val="0"/>
          <c:showSerName val="0"/>
          <c:showPercent val="0"/>
          <c:showBubbleSize val="0"/>
        </c:dLbls>
        <c:smooth val="0"/>
        <c:axId val="960500415"/>
        <c:axId val="896770799"/>
      </c:lineChart>
      <c:catAx>
        <c:axId val="96050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70799"/>
        <c:crosses val="autoZero"/>
        <c:auto val="1"/>
        <c:lblAlgn val="ctr"/>
        <c:lblOffset val="100"/>
        <c:noMultiLvlLbl val="0"/>
      </c:catAx>
      <c:valAx>
        <c:axId val="896770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00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r>
              <a:rPr lang="en-US" sz="1200" b="1" i="0" u="none" strike="noStrike" kern="1200" spc="0" baseline="0" dirty="0">
                <a:solidFill>
                  <a:sysClr val="windowText" lastClr="000000">
                    <a:lumMod val="65000"/>
                    <a:lumOff val="35000"/>
                  </a:sysClr>
                </a:solidFill>
                <a:latin typeface="Gilroy" pitchFamily="2" charset="77"/>
              </a:rPr>
              <a:t>Annual Rent Escalations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ilroy" pitchFamily="2" charset="77"/>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EFA-4FD8-9CEE-A19AE56739D1}"/>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CEFA-4FD8-9CEE-A19AE56739D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 Charts'!$I$48:$J$48</c:f>
              <c:strCache>
                <c:ptCount val="2"/>
                <c:pt idx="0">
                  <c:v>Business Plan</c:v>
                </c:pt>
                <c:pt idx="1">
                  <c:v>Actual</c:v>
                </c:pt>
              </c:strCache>
            </c:strRef>
          </c:cat>
          <c:val>
            <c:numRef>
              <c:f>'IR Charts'!$I$49:$J$49</c:f>
              <c:numCache>
                <c:formatCode>0.00%</c:formatCode>
                <c:ptCount val="2"/>
                <c:pt idx="0">
                  <c:v>2.924962889141328E-2</c:v>
                </c:pt>
                <c:pt idx="1">
                  <c:v>3.887083678888277E-2</c:v>
                </c:pt>
              </c:numCache>
            </c:numRef>
          </c:val>
          <c:extLst>
            <c:ext xmlns:c16="http://schemas.microsoft.com/office/drawing/2014/chart" uri="{C3380CC4-5D6E-409C-BE32-E72D297353CC}">
              <c16:uniqueId val="{00000004-CEFA-4FD8-9CEE-A19AE56739D1}"/>
            </c:ext>
          </c:extLst>
        </c:ser>
        <c:dLbls>
          <c:dLblPos val="outEnd"/>
          <c:showLegendKey val="0"/>
          <c:showVal val="1"/>
          <c:showCatName val="0"/>
          <c:showSerName val="0"/>
          <c:showPercent val="0"/>
          <c:showBubbleSize val="0"/>
        </c:dLbls>
        <c:gapWidth val="50"/>
        <c:overlap val="-27"/>
        <c:axId val="1125429952"/>
        <c:axId val="1125414000"/>
      </c:barChart>
      <c:catAx>
        <c:axId val="112542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ilroy" pitchFamily="2" charset="77"/>
                <a:ea typeface="+mn-ea"/>
                <a:cs typeface="+mn-cs"/>
              </a:defRPr>
            </a:pPr>
            <a:endParaRPr lang="en-US"/>
          </a:p>
        </c:txPr>
        <c:crossAx val="1125414000"/>
        <c:crosses val="autoZero"/>
        <c:auto val="1"/>
        <c:lblAlgn val="ctr"/>
        <c:lblOffset val="100"/>
        <c:noMultiLvlLbl val="0"/>
      </c:catAx>
      <c:valAx>
        <c:axId val="1125414000"/>
        <c:scaling>
          <c:orientation val="minMax"/>
          <c:min val="2.5000000000000001E-2"/>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roy" pitchFamily="2" charset="77"/>
                <a:ea typeface="+mn-ea"/>
                <a:cs typeface="+mn-cs"/>
              </a:defRPr>
            </a:pPr>
            <a:endParaRPr lang="en-US"/>
          </a:p>
        </c:txPr>
        <c:crossAx val="112542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Free Rent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size'!$O$48:$O$56</c:f>
              <c:numCache>
                <c:formatCode>0.00</c:formatCode>
                <c:ptCount val="9"/>
                <c:pt idx="0">
                  <c:v>0.98177005828963271</c:v>
                </c:pt>
                <c:pt idx="1">
                  <c:v>0</c:v>
                </c:pt>
                <c:pt idx="2">
                  <c:v>1.5</c:v>
                </c:pt>
                <c:pt idx="3">
                  <c:v>2.1973804197930176</c:v>
                </c:pt>
                <c:pt idx="4">
                  <c:v>1.5841821526946891</c:v>
                </c:pt>
                <c:pt idx="5">
                  <c:v>2.5144479056167519</c:v>
                </c:pt>
                <c:pt idx="6">
                  <c:v>2.2234201394141992</c:v>
                </c:pt>
                <c:pt idx="7">
                  <c:v>2.6900617349537184</c:v>
                </c:pt>
                <c:pt idx="8">
                  <c:v>1.6033626838716195</c:v>
                </c:pt>
              </c:numCache>
            </c:numRef>
          </c:val>
          <c:smooth val="0"/>
          <c:extLst>
            <c:ext xmlns:c16="http://schemas.microsoft.com/office/drawing/2014/chart" uri="{C3380CC4-5D6E-409C-BE32-E72D297353CC}">
              <c16:uniqueId val="{00000000-976A-43C3-8C10-041F528CE06D}"/>
            </c:ext>
          </c:extLst>
        </c:ser>
        <c:dLbls>
          <c:dLblPos val="t"/>
          <c:showLegendKey val="0"/>
          <c:showVal val="1"/>
          <c:showCatName val="0"/>
          <c:showSerName val="0"/>
          <c:showPercent val="0"/>
          <c:showBubbleSize val="0"/>
        </c:dLbls>
        <c:smooth val="0"/>
        <c:axId val="2022838527"/>
        <c:axId val="2022842367"/>
      </c:lineChart>
      <c:catAx>
        <c:axId val="202283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42367"/>
        <c:crosses val="autoZero"/>
        <c:auto val="1"/>
        <c:lblAlgn val="ctr"/>
        <c:lblOffset val="100"/>
        <c:noMultiLvlLbl val="0"/>
      </c:catAx>
      <c:valAx>
        <c:axId val="2022842367"/>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38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Leasing Spread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 - by Quarter &amp; size'!$B$59</c:f>
              <c:strCache>
                <c:ptCount val="1"/>
                <c:pt idx="0">
                  <c:v>New Leases</c:v>
                </c:pt>
              </c:strCache>
            </c:strRef>
          </c:tx>
          <c:spPr>
            <a:ln w="28575" cap="rnd">
              <a:solidFill>
                <a:schemeClr val="accent1"/>
              </a:solidFill>
              <a:round/>
            </a:ln>
            <a:effectLst/>
          </c:spPr>
          <c:marker>
            <c:symbol val="none"/>
          </c:marker>
          <c:cat>
            <c:strRef>
              <c:f>'Pivot Table - by Quarter &amp; size'!$A$60:$A$68</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size'!$B$60:$B$68</c:f>
              <c:numCache>
                <c:formatCode>0%</c:formatCode>
                <c:ptCount val="9"/>
                <c:pt idx="1">
                  <c:v>8.882521489971329E-2</c:v>
                </c:pt>
                <c:pt idx="2">
                  <c:v>0.33709004574331303</c:v>
                </c:pt>
                <c:pt idx="3">
                  <c:v>1.057092814792937E-2</c:v>
                </c:pt>
                <c:pt idx="4">
                  <c:v>0.55459317197829261</c:v>
                </c:pt>
                <c:pt idx="5">
                  <c:v>0.45413491764224645</c:v>
                </c:pt>
                <c:pt idx="6">
                  <c:v>0.39708603808687237</c:v>
                </c:pt>
                <c:pt idx="7">
                  <c:v>0.3543160145416413</c:v>
                </c:pt>
                <c:pt idx="8">
                  <c:v>0.40241843817539791</c:v>
                </c:pt>
              </c:numCache>
            </c:numRef>
          </c:val>
          <c:smooth val="0"/>
          <c:extLst>
            <c:ext xmlns:c16="http://schemas.microsoft.com/office/drawing/2014/chart" uri="{C3380CC4-5D6E-409C-BE32-E72D297353CC}">
              <c16:uniqueId val="{00000000-1B1A-4618-BCF8-62DB53BB97B7}"/>
            </c:ext>
          </c:extLst>
        </c:ser>
        <c:ser>
          <c:idx val="1"/>
          <c:order val="1"/>
          <c:tx>
            <c:strRef>
              <c:f>'Pivot Table - by Quarter &amp; size'!$C$59</c:f>
              <c:strCache>
                <c:ptCount val="1"/>
                <c:pt idx="0">
                  <c:v>Renewals</c:v>
                </c:pt>
              </c:strCache>
            </c:strRef>
          </c:tx>
          <c:spPr>
            <a:ln w="28575" cap="rnd">
              <a:solidFill>
                <a:schemeClr val="accent2"/>
              </a:solidFill>
              <a:round/>
            </a:ln>
            <a:effectLst/>
          </c:spPr>
          <c:marker>
            <c:symbol val="none"/>
          </c:marker>
          <c:cat>
            <c:strRef>
              <c:f>'Pivot Table - by Quarter &amp; size'!$A$60:$A$68</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size'!$C$60:$C$68</c:f>
              <c:numCache>
                <c:formatCode>0%</c:formatCode>
                <c:ptCount val="9"/>
                <c:pt idx="1">
                  <c:v>8.0459770114942764E-2</c:v>
                </c:pt>
                <c:pt idx="3">
                  <c:v>6.7847312062248921E-2</c:v>
                </c:pt>
                <c:pt idx="4">
                  <c:v>0.48883446117358309</c:v>
                </c:pt>
                <c:pt idx="5">
                  <c:v>0.23165826499926512</c:v>
                </c:pt>
                <c:pt idx="6">
                  <c:v>0.46624956309869381</c:v>
                </c:pt>
                <c:pt idx="7">
                  <c:v>0.33</c:v>
                </c:pt>
                <c:pt idx="8">
                  <c:v>0.38548409693420482</c:v>
                </c:pt>
              </c:numCache>
            </c:numRef>
          </c:val>
          <c:smooth val="0"/>
          <c:extLst>
            <c:ext xmlns:c16="http://schemas.microsoft.com/office/drawing/2014/chart" uri="{C3380CC4-5D6E-409C-BE32-E72D297353CC}">
              <c16:uniqueId val="{00000001-1B1A-4618-BCF8-62DB53BB97B7}"/>
            </c:ext>
          </c:extLst>
        </c:ser>
        <c:dLbls>
          <c:showLegendKey val="0"/>
          <c:showVal val="0"/>
          <c:showCatName val="0"/>
          <c:showSerName val="0"/>
          <c:showPercent val="0"/>
          <c:showBubbleSize val="0"/>
        </c:dLbls>
        <c:smooth val="0"/>
        <c:axId val="392486416"/>
        <c:axId val="392479696"/>
      </c:lineChart>
      <c:catAx>
        <c:axId val="3924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479696"/>
        <c:crosses val="autoZero"/>
        <c:auto val="1"/>
        <c:lblAlgn val="ctr"/>
        <c:lblOffset val="100"/>
        <c:noMultiLvlLbl val="0"/>
      </c:catAx>
      <c:valAx>
        <c:axId val="39247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48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Downtime - New</a:t>
            </a:r>
            <a:r>
              <a:rPr lang="en-US" baseline="0"/>
              <a:t> Leases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Quarter &amp; size'!$M$47</c:f>
              <c:strCache>
                <c:ptCount val="1"/>
                <c:pt idx="0">
                  <c:v>DT Actual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size'!$M$48:$M$56</c:f>
              <c:numCache>
                <c:formatCode>0.00</c:formatCode>
                <c:ptCount val="9"/>
                <c:pt idx="0">
                  <c:v>0</c:v>
                </c:pt>
                <c:pt idx="1">
                  <c:v>0</c:v>
                </c:pt>
                <c:pt idx="2">
                  <c:v>3.9336385975748951</c:v>
                </c:pt>
                <c:pt idx="3">
                  <c:v>1.4097126849366377</c:v>
                </c:pt>
                <c:pt idx="4">
                  <c:v>2.2616685579164089</c:v>
                </c:pt>
                <c:pt idx="5">
                  <c:v>5.4498411435698744</c:v>
                </c:pt>
                <c:pt idx="6">
                  <c:v>3.9284750759645939</c:v>
                </c:pt>
                <c:pt idx="7">
                  <c:v>3.8901310727163381</c:v>
                </c:pt>
                <c:pt idx="8">
                  <c:v>5.0639400709298297</c:v>
                </c:pt>
              </c:numCache>
            </c:numRef>
          </c:val>
          <c:extLst>
            <c:ext xmlns:c16="http://schemas.microsoft.com/office/drawing/2014/chart" uri="{C3380CC4-5D6E-409C-BE32-E72D297353CC}">
              <c16:uniqueId val="{00000000-CC63-4A90-8D86-F8A30E075416}"/>
            </c:ext>
          </c:extLst>
        </c:ser>
        <c:ser>
          <c:idx val="1"/>
          <c:order val="1"/>
          <c:tx>
            <c:strRef>
              <c:f>'Pivot Table - by Quarter &amp; size'!$N$47</c:f>
              <c:strCache>
                <c:ptCount val="1"/>
                <c:pt idx="0">
                  <c:v>DT BP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size'!$N$48:$N$56</c:f>
              <c:numCache>
                <c:formatCode>0.00</c:formatCode>
                <c:ptCount val="9"/>
                <c:pt idx="0">
                  <c:v>5.9833398232549904</c:v>
                </c:pt>
                <c:pt idx="1">
                  <c:v>0</c:v>
                </c:pt>
                <c:pt idx="2">
                  <c:v>7.2208697345275326</c:v>
                </c:pt>
                <c:pt idx="3">
                  <c:v>9.6554184093888509</c:v>
                </c:pt>
                <c:pt idx="4">
                  <c:v>6.33609462590627</c:v>
                </c:pt>
                <c:pt idx="5">
                  <c:v>6.4517630853994481</c:v>
                </c:pt>
                <c:pt idx="6">
                  <c:v>4.9261024426875819</c:v>
                </c:pt>
                <c:pt idx="7">
                  <c:v>4.8150120935655929</c:v>
                </c:pt>
                <c:pt idx="8">
                  <c:v>6.5580585724081484</c:v>
                </c:pt>
              </c:numCache>
            </c:numRef>
          </c:val>
          <c:extLst>
            <c:ext xmlns:c16="http://schemas.microsoft.com/office/drawing/2014/chart" uri="{C3380CC4-5D6E-409C-BE32-E72D297353CC}">
              <c16:uniqueId val="{00000001-CC63-4A90-8D86-F8A30E075416}"/>
            </c:ext>
          </c:extLst>
        </c:ser>
        <c:dLbls>
          <c:showLegendKey val="0"/>
          <c:showVal val="1"/>
          <c:showCatName val="0"/>
          <c:showSerName val="0"/>
          <c:showPercent val="0"/>
          <c:showBubbleSize val="0"/>
        </c:dLbls>
        <c:gapWidth val="150"/>
        <c:axId val="960500415"/>
        <c:axId val="896770799"/>
      </c:barChart>
      <c:catAx>
        <c:axId val="96050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70799"/>
        <c:crosses val="autoZero"/>
        <c:auto val="1"/>
        <c:lblAlgn val="ctr"/>
        <c:lblOffset val="100"/>
        <c:noMultiLvlLbl val="0"/>
      </c:catAx>
      <c:valAx>
        <c:axId val="896770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00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Downtime by Fund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Quarter &amp; size'!$B$77</c:f>
              <c:strCache>
                <c:ptCount val="1"/>
                <c:pt idx="0">
                  <c:v>Fund 2</c:v>
                </c:pt>
              </c:strCache>
            </c:strRef>
          </c:tx>
          <c:spPr>
            <a:solidFill>
              <a:schemeClr val="accent1"/>
            </a:solidFill>
            <a:ln>
              <a:noFill/>
            </a:ln>
            <a:effectLst/>
          </c:spPr>
          <c:invertIfNegative val="0"/>
          <c:cat>
            <c:strRef>
              <c:f>'Pivot Table - by Quarter &amp; size'!$A$78:$A$86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size'!$B$78:$B$86</c:f>
              <c:numCache>
                <c:formatCode>0.00</c:formatCode>
                <c:ptCount val="9"/>
                <c:pt idx="0">
                  <c:v>0</c:v>
                </c:pt>
                <c:pt idx="1">
                  <c:v>0</c:v>
                </c:pt>
                <c:pt idx="2">
                  <c:v>3.9336385975748951</c:v>
                </c:pt>
                <c:pt idx="3">
                  <c:v>1.4097126849366377</c:v>
                </c:pt>
                <c:pt idx="4">
                  <c:v>2.2616685579164089</c:v>
                </c:pt>
                <c:pt idx="5">
                  <c:v>6.0481453647866754</c:v>
                </c:pt>
                <c:pt idx="6">
                  <c:v>5.4323061450785222</c:v>
                </c:pt>
                <c:pt idx="7">
                  <c:v>4.2368957473784494</c:v>
                </c:pt>
                <c:pt idx="8">
                  <c:v>2.3880847746912335</c:v>
                </c:pt>
              </c:numCache>
            </c:numRef>
          </c:val>
          <c:extLst>
            <c:ext xmlns:c16="http://schemas.microsoft.com/office/drawing/2014/chart" uri="{C3380CC4-5D6E-409C-BE32-E72D297353CC}">
              <c16:uniqueId val="{00000000-CF95-42E1-9454-E6D925C7A43C}"/>
            </c:ext>
          </c:extLst>
        </c:ser>
        <c:ser>
          <c:idx val="2"/>
          <c:order val="2"/>
          <c:tx>
            <c:strRef>
              <c:f>'Pivot Table - by Quarter &amp; size'!$D$77</c:f>
              <c:strCache>
                <c:ptCount val="1"/>
                <c:pt idx="0">
                  <c:v>Fund 2 BP</c:v>
                </c:pt>
              </c:strCache>
            </c:strRef>
          </c:tx>
          <c:spPr>
            <a:solidFill>
              <a:schemeClr val="accent3"/>
            </a:solidFill>
            <a:ln>
              <a:noFill/>
            </a:ln>
            <a:effectLst/>
          </c:spPr>
          <c:invertIfNegative val="0"/>
          <c:cat>
            <c:strRef>
              <c:f>'Pivot Table - by Quarter &amp; size'!$A$78:$A$86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size'!$D$78:$D$86</c:f>
              <c:numCache>
                <c:formatCode>0.00</c:formatCode>
                <c:ptCount val="9"/>
                <c:pt idx="0">
                  <c:v>5.9833398232549904</c:v>
                </c:pt>
                <c:pt idx="1">
                  <c:v>0</c:v>
                </c:pt>
                <c:pt idx="2">
                  <c:v>7.2208697345275326</c:v>
                </c:pt>
                <c:pt idx="3">
                  <c:v>9.6554184093888509</c:v>
                </c:pt>
                <c:pt idx="4">
                  <c:v>6.3360946259062709</c:v>
                </c:pt>
                <c:pt idx="5">
                  <c:v>5.8294284876367835</c:v>
                </c:pt>
                <c:pt idx="6">
                  <c:v>4.1681247582454422</c:v>
                </c:pt>
                <c:pt idx="7">
                  <c:v>4.5790006934764182</c:v>
                </c:pt>
                <c:pt idx="8">
                  <c:v>7.0171862274724823</c:v>
                </c:pt>
              </c:numCache>
            </c:numRef>
          </c:val>
          <c:extLst>
            <c:ext xmlns:c16="http://schemas.microsoft.com/office/drawing/2014/chart" uri="{C3380CC4-5D6E-409C-BE32-E72D297353CC}">
              <c16:uniqueId val="{00000001-CF95-42E1-9454-E6D925C7A43C}"/>
            </c:ext>
          </c:extLst>
        </c:ser>
        <c:dLbls>
          <c:showLegendKey val="0"/>
          <c:showVal val="0"/>
          <c:showCatName val="0"/>
          <c:showSerName val="0"/>
          <c:showPercent val="0"/>
          <c:showBubbleSize val="0"/>
        </c:dLbls>
        <c:gapWidth val="219"/>
        <c:overlap val="-27"/>
        <c:axId val="502925967"/>
        <c:axId val="502933647"/>
        <c:extLst>
          <c:ext xmlns:c15="http://schemas.microsoft.com/office/drawing/2012/chart" uri="{02D57815-91ED-43cb-92C2-25804820EDAC}">
            <c15:filteredBarSeries>
              <c15:ser>
                <c:idx val="1"/>
                <c:order val="1"/>
                <c:tx>
                  <c:strRef>
                    <c:extLst>
                      <c:ext uri="{02D57815-91ED-43cb-92C2-25804820EDAC}">
                        <c15:formulaRef>
                          <c15:sqref>'Pivot Table - by Quarter &amp; size'!$C$77</c15:sqref>
                        </c15:formulaRef>
                      </c:ext>
                    </c:extLst>
                    <c:strCache>
                      <c:ptCount val="1"/>
                      <c:pt idx="0">
                        <c:v>Fund 3</c:v>
                      </c:pt>
                    </c:strCache>
                  </c:strRef>
                </c:tx>
                <c:spPr>
                  <a:solidFill>
                    <a:schemeClr val="accent2"/>
                  </a:solidFill>
                  <a:ln>
                    <a:noFill/>
                  </a:ln>
                  <a:effectLst/>
                </c:spPr>
                <c:invertIfNegative val="0"/>
                <c:cat>
                  <c:strRef>
                    <c:extLst>
                      <c:ext uri="{02D57815-91ED-43cb-92C2-25804820EDAC}">
                        <c15:formulaRef>
                          <c15:sqref>'Pivot Table - by Quarter &amp; size'!$A$78:$A$86</c15:sqref>
                        </c15:formulaRef>
                      </c:ext>
                    </c:extLst>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extLst>
                      <c:ext uri="{02D57815-91ED-43cb-92C2-25804820EDAC}">
                        <c15:formulaRef>
                          <c15:sqref>'Pivot Table - by Quarter &amp; size'!$C$78:$C$86</c15:sqref>
                        </c15:formulaRef>
                      </c:ext>
                    </c:extLst>
                    <c:numCache>
                      <c:formatCode>0%</c:formatCode>
                      <c:ptCount val="9"/>
                      <c:pt idx="5" formatCode="0.00">
                        <c:v>3</c:v>
                      </c:pt>
                      <c:pt idx="6" formatCode="0.00">
                        <c:v>0.81786662968454971</c:v>
                      </c:pt>
                      <c:pt idx="7" formatCode="0.00">
                        <c:v>6</c:v>
                      </c:pt>
                      <c:pt idx="8" formatCode="0.00">
                        <c:v>8.3163775360188179</c:v>
                      </c:pt>
                    </c:numCache>
                  </c:numRef>
                </c:val>
                <c:extLst>
                  <c:ext xmlns:c16="http://schemas.microsoft.com/office/drawing/2014/chart" uri="{C3380CC4-5D6E-409C-BE32-E72D297353CC}">
                    <c16:uniqueId val="{00000002-CF95-42E1-9454-E6D925C7A43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'Pivot Table - by Quarter &amp; size'!$E$77</c15:sqref>
                        </c15:formulaRef>
                      </c:ext>
                    </c:extLst>
                    <c:strCache>
                      <c:ptCount val="1"/>
                      <c:pt idx="0">
                        <c:v>Fund 3 BP</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'Pivot Table - by Quarter &amp; size'!$A$78:$A$86</c15:sqref>
                        </c15:formulaRef>
                      </c:ext>
                    </c:extLst>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extLst xmlns:c15="http://schemas.microsoft.com/office/drawing/2012/chart">
                      <c:ext xmlns:c15="http://schemas.microsoft.com/office/drawing/2012/chart" uri="{02D57815-91ED-43cb-92C2-25804820EDAC}">
                        <c15:formulaRef>
                          <c15:sqref>'Pivot Table - by Quarter &amp; size'!$E$78:$E$86</c15:sqref>
                        </c15:formulaRef>
                      </c:ext>
                    </c:extLst>
                    <c:numCache>
                      <c:formatCode>General</c:formatCode>
                      <c:ptCount val="9"/>
                      <c:pt idx="5" formatCode="0.00">
                        <c:v>9</c:v>
                      </c:pt>
                      <c:pt idx="6" formatCode="0.00">
                        <c:v>6.4939459563255424</c:v>
                      </c:pt>
                      <c:pt idx="7" formatCode="0.00">
                        <c:v>6</c:v>
                      </c:pt>
                      <c:pt idx="8" formatCode="0.00">
                        <c:v>6</c:v>
                      </c:pt>
                    </c:numCache>
                  </c:numRef>
                </c:val>
                <c:extLst xmlns:c15="http://schemas.microsoft.com/office/drawing/2012/chart">
                  <c:ext xmlns:c16="http://schemas.microsoft.com/office/drawing/2014/chart" uri="{C3380CC4-5D6E-409C-BE32-E72D297353CC}">
                    <c16:uniqueId val="{00000003-CF95-42E1-9454-E6D925C7A43C}"/>
                  </c:ext>
                </c:extLst>
              </c15:ser>
            </c15:filteredBarSeries>
          </c:ext>
        </c:extLst>
      </c:barChart>
      <c:catAx>
        <c:axId val="50292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33647"/>
        <c:crosses val="autoZero"/>
        <c:auto val="1"/>
        <c:lblAlgn val="ctr"/>
        <c:lblOffset val="100"/>
        <c:noMultiLvlLbl val="0"/>
      </c:catAx>
      <c:valAx>
        <c:axId val="502933647"/>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2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 - by Quarter &amp; size'!$P$47</c:f>
              <c:strCache>
                <c:ptCount val="1"/>
                <c:pt idx="0">
                  <c:v>DT Variance</c:v>
                </c:pt>
              </c:strCache>
            </c:strRef>
          </c:tx>
          <c:spPr>
            <a:ln w="28575" cap="rnd">
              <a:solidFill>
                <a:schemeClr val="accent1"/>
              </a:solidFill>
              <a:round/>
            </a:ln>
            <a:effectLst/>
          </c:spPr>
          <c:marker>
            <c:symbol val="none"/>
          </c:marker>
          <c:cat>
            <c:strRef>
              <c:f>'Pivot Table - by Quarter &amp; size'!$A$48:$A$56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size'!$P$48:$P$56</c:f>
              <c:numCache>
                <c:formatCode>0.00</c:formatCode>
                <c:ptCount val="9"/>
                <c:pt idx="0">
                  <c:v>5.9833398232549904</c:v>
                </c:pt>
                <c:pt idx="1">
                  <c:v>0</c:v>
                </c:pt>
                <c:pt idx="2">
                  <c:v>3.2872311369526375</c:v>
                </c:pt>
                <c:pt idx="3">
                  <c:v>8.2457057244522129</c:v>
                </c:pt>
                <c:pt idx="4">
                  <c:v>4.0744260679898616</c:v>
                </c:pt>
                <c:pt idx="5">
                  <c:v>1.0019219418295737</c:v>
                </c:pt>
                <c:pt idx="6">
                  <c:v>0.99762736672298802</c:v>
                </c:pt>
                <c:pt idx="7">
                  <c:v>0.92488102084925483</c:v>
                </c:pt>
                <c:pt idx="8">
                  <c:v>1.4941185014783187</c:v>
                </c:pt>
              </c:numCache>
            </c:numRef>
          </c:val>
          <c:smooth val="0"/>
          <c:extLst>
            <c:ext xmlns:c16="http://schemas.microsoft.com/office/drawing/2014/chart" uri="{C3380CC4-5D6E-409C-BE32-E72D297353CC}">
              <c16:uniqueId val="{00000000-11E4-4233-BA15-4C053A926D93}"/>
            </c:ext>
          </c:extLst>
        </c:ser>
        <c:dLbls>
          <c:showLegendKey val="0"/>
          <c:showVal val="0"/>
          <c:showCatName val="0"/>
          <c:showSerName val="0"/>
          <c:showPercent val="0"/>
          <c:showBubbleSize val="0"/>
        </c:dLbls>
        <c:smooth val="0"/>
        <c:axId val="2019886351"/>
        <c:axId val="2019886831"/>
      </c:lineChart>
      <c:catAx>
        <c:axId val="201988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86831"/>
        <c:crosses val="autoZero"/>
        <c:auto val="1"/>
        <c:lblAlgn val="ctr"/>
        <c:lblOffset val="100"/>
        <c:noMultiLvlLbl val="0"/>
      </c:catAx>
      <c:valAx>
        <c:axId val="2019886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86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 - by Quarter &amp; size'!$F$77</c:f>
              <c:strCache>
                <c:ptCount val="1"/>
                <c:pt idx="0">
                  <c:v>DT Variance : Fund 2</c:v>
                </c:pt>
              </c:strCache>
            </c:strRef>
          </c:tx>
          <c:spPr>
            <a:ln w="28575" cap="rnd">
              <a:solidFill>
                <a:schemeClr val="accent1"/>
              </a:solidFill>
              <a:round/>
            </a:ln>
            <a:effectLst/>
          </c:spPr>
          <c:marker>
            <c:symbol val="none"/>
          </c:marker>
          <c:cat>
            <c:strRef>
              <c:f>'Pivot Table - by Quarter &amp; size'!$A$78:$A$86</c:f>
              <c:strCache>
                <c:ptCount val="9"/>
                <c:pt idx="0">
                  <c:v>Q2 2021</c:v>
                </c:pt>
                <c:pt idx="1">
                  <c:v>Q3 2021</c:v>
                </c:pt>
                <c:pt idx="2">
                  <c:v>Q4 2021</c:v>
                </c:pt>
                <c:pt idx="3">
                  <c:v>Q1 2022</c:v>
                </c:pt>
                <c:pt idx="4">
                  <c:v>Q2 2022</c:v>
                </c:pt>
                <c:pt idx="5">
                  <c:v>Q3 2022</c:v>
                </c:pt>
                <c:pt idx="6">
                  <c:v>Q4 2022</c:v>
                </c:pt>
                <c:pt idx="7">
                  <c:v>Q1 2023</c:v>
                </c:pt>
                <c:pt idx="8">
                  <c:v>Q2 2023</c:v>
                </c:pt>
              </c:strCache>
            </c:strRef>
          </c:cat>
          <c:val>
            <c:numRef>
              <c:f>'Pivot Table - by Quarter &amp; size'!$F$78:$F$86</c:f>
              <c:numCache>
                <c:formatCode>0.00</c:formatCode>
                <c:ptCount val="9"/>
                <c:pt idx="0">
                  <c:v>5.9833398232549904</c:v>
                </c:pt>
                <c:pt idx="1">
                  <c:v>0</c:v>
                </c:pt>
                <c:pt idx="2">
                  <c:v>3.2872311369526375</c:v>
                </c:pt>
                <c:pt idx="3">
                  <c:v>8.2457057244522129</c:v>
                </c:pt>
                <c:pt idx="4">
                  <c:v>4.0744260679898616</c:v>
                </c:pt>
                <c:pt idx="5">
                  <c:v>-0.21871687714989196</c:v>
                </c:pt>
                <c:pt idx="6">
                  <c:v>-1.26418138683308</c:v>
                </c:pt>
                <c:pt idx="7">
                  <c:v>0.34210494609796882</c:v>
                </c:pt>
                <c:pt idx="8">
                  <c:v>4.6291014527812493</c:v>
                </c:pt>
              </c:numCache>
            </c:numRef>
          </c:val>
          <c:smooth val="0"/>
          <c:extLst>
            <c:ext xmlns:c16="http://schemas.microsoft.com/office/drawing/2014/chart" uri="{C3380CC4-5D6E-409C-BE32-E72D297353CC}">
              <c16:uniqueId val="{00000000-E8F2-4AB1-AA53-851252305B85}"/>
            </c:ext>
          </c:extLst>
        </c:ser>
        <c:dLbls>
          <c:showLegendKey val="0"/>
          <c:showVal val="0"/>
          <c:showCatName val="0"/>
          <c:showSerName val="0"/>
          <c:showPercent val="0"/>
          <c:showBubbleSize val="0"/>
        </c:dLbls>
        <c:smooth val="0"/>
        <c:axId val="2019886351"/>
        <c:axId val="2019886831"/>
      </c:lineChart>
      <c:catAx>
        <c:axId val="201988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86831"/>
        <c:crosses val="autoZero"/>
        <c:auto val="1"/>
        <c:lblAlgn val="ctr"/>
        <c:lblOffset val="100"/>
        <c:noMultiLvlLbl val="0"/>
      </c:catAx>
      <c:valAx>
        <c:axId val="2019886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86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 2 DT with Vacant Spaces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 - by Quarter &amp; size'!$B$115</c:f>
              <c:strCache>
                <c:ptCount val="1"/>
                <c:pt idx="0">
                  <c:v>DT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 &amp; size'!$A$116:$A$118</c:f>
              <c:strCache>
                <c:ptCount val="3"/>
                <c:pt idx="0">
                  <c:v>Historical Average</c:v>
                </c:pt>
                <c:pt idx="1">
                  <c:v>DT : Q2 Vacancies</c:v>
                </c:pt>
                <c:pt idx="2">
                  <c:v>Historical DT with Q2 Vacancies</c:v>
                </c:pt>
              </c:strCache>
            </c:strRef>
          </c:cat>
          <c:val>
            <c:numRef>
              <c:f>'Pivot Table - by Quarter &amp; size'!$B$116:$B$118</c:f>
              <c:numCache>
                <c:formatCode>_(* #,##0.0_);_(* \(#,##0.0\);_(* "-"??_);_(@_)</c:formatCode>
                <c:ptCount val="3"/>
                <c:pt idx="0">
                  <c:v>2.9834892169105531</c:v>
                </c:pt>
                <c:pt idx="1">
                  <c:v>5.57</c:v>
                </c:pt>
                <c:pt idx="2">
                  <c:v>3.3338621933159862</c:v>
                </c:pt>
              </c:numCache>
            </c:numRef>
          </c:val>
          <c:extLst>
            <c:ext xmlns:c16="http://schemas.microsoft.com/office/drawing/2014/chart" uri="{C3380CC4-5D6E-409C-BE32-E72D297353CC}">
              <c16:uniqueId val="{00000000-8D1E-4634-91A4-8C60BA7A9BD8}"/>
            </c:ext>
          </c:extLst>
        </c:ser>
        <c:ser>
          <c:idx val="1"/>
          <c:order val="1"/>
          <c:tx>
            <c:strRef>
              <c:f>'Pivot Table - by Quarter &amp; size'!$C$115</c:f>
              <c:strCache>
                <c:ptCount val="1"/>
                <c:pt idx="0">
                  <c:v>DT BP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by Quarter &amp; size'!$A$116:$A$118</c:f>
              <c:strCache>
                <c:ptCount val="3"/>
                <c:pt idx="0">
                  <c:v>Historical Average</c:v>
                </c:pt>
                <c:pt idx="1">
                  <c:v>DT : Q2 Vacancies</c:v>
                </c:pt>
                <c:pt idx="2">
                  <c:v>Historical DT with Q2 Vacancies</c:v>
                </c:pt>
              </c:strCache>
            </c:strRef>
          </c:cat>
          <c:val>
            <c:numRef>
              <c:f>'Pivot Table - by Quarter &amp; size'!$C$116:$C$118</c:f>
              <c:numCache>
                <c:formatCode>_(* #,##0.0_);_(* \(#,##0.0\);_(* "-"??_);_(@_)</c:formatCode>
                <c:ptCount val="3"/>
                <c:pt idx="0">
                  <c:v>5.888010436144719</c:v>
                </c:pt>
                <c:pt idx="1">
                  <c:v>8.41</c:v>
                </c:pt>
                <c:pt idx="2">
                  <c:v>6.2296432627807468</c:v>
                </c:pt>
              </c:numCache>
            </c:numRef>
          </c:val>
          <c:extLst>
            <c:ext xmlns:c16="http://schemas.microsoft.com/office/drawing/2014/chart" uri="{C3380CC4-5D6E-409C-BE32-E72D297353CC}">
              <c16:uniqueId val="{00000001-8D1E-4634-91A4-8C60BA7A9BD8}"/>
            </c:ext>
          </c:extLst>
        </c:ser>
        <c:dLbls>
          <c:dLblPos val="outEnd"/>
          <c:showLegendKey val="0"/>
          <c:showVal val="1"/>
          <c:showCatName val="0"/>
          <c:showSerName val="0"/>
          <c:showPercent val="0"/>
          <c:showBubbleSize val="0"/>
        </c:dLbls>
        <c:gapWidth val="219"/>
        <c:overlap val="-27"/>
        <c:axId val="148239743"/>
        <c:axId val="148233023"/>
      </c:barChart>
      <c:catAx>
        <c:axId val="14823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33023"/>
        <c:crosses val="autoZero"/>
        <c:auto val="1"/>
        <c:lblAlgn val="ctr"/>
        <c:lblOffset val="100"/>
        <c:noMultiLvlLbl val="0"/>
      </c:catAx>
      <c:valAx>
        <c:axId val="148233023"/>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39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[Q4 24 Leasing Performance_v1.xlsx]Leasing Activity - Mkt Breakdwn!PivotTable20</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'Leasing Activity - Mkt Breakdwn'!$B$3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'Leasing Activity - Mkt Breakdwn'!$A$4:$A$19</c:f>
              <c:strCache>
                <c:ptCount val="15"/>
                <c:pt idx="0">
                  <c:v>Jacksonville</c:v>
                </c:pt>
                <c:pt idx="1">
                  <c:v>Houston</c:v>
                </c:pt>
                <c:pt idx="2">
                  <c:v>Tampa</c:v>
                </c:pt>
                <c:pt idx="3">
                  <c:v>Charlotte</c:v>
                </c:pt>
                <c:pt idx="4">
                  <c:v>Columbus</c:v>
                </c:pt>
                <c:pt idx="5">
                  <c:v>Baltimore/DC</c:v>
                </c:pt>
                <c:pt idx="6">
                  <c:v>San Antonio</c:v>
                </c:pt>
                <c:pt idx="7">
                  <c:v>Cincinnati</c:v>
                </c:pt>
                <c:pt idx="8">
                  <c:v>Memphis</c:v>
                </c:pt>
                <c:pt idx="9">
                  <c:v>Miami</c:v>
                </c:pt>
                <c:pt idx="10">
                  <c:v>Chicago</c:v>
                </c:pt>
                <c:pt idx="11">
                  <c:v>Dallas</c:v>
                </c:pt>
                <c:pt idx="12">
                  <c:v>Greater Philadelphia</c:v>
                </c:pt>
                <c:pt idx="13">
                  <c:v>Atlanta</c:v>
                </c:pt>
                <c:pt idx="14">
                  <c:v>North New Jersey</c:v>
                </c:pt>
              </c:strCache>
            </c:strRef>
          </c:cat>
          <c:val>
            <c:numRef>
              <c:f>'Leasing Activity - Mkt Breakdwn'!$B$4:$B$19</c:f>
              <c:numCache>
                <c:formatCode>0%</c:formatCode>
                <c:ptCount val="15"/>
                <c:pt idx="0">
                  <c:v>2.5569792451785433E-3</c:v>
                </c:pt>
                <c:pt idx="1">
                  <c:v>5.0733753147001719E-3</c:v>
                </c:pt>
                <c:pt idx="2">
                  <c:v>1.3513803733397384E-2</c:v>
                </c:pt>
                <c:pt idx="3">
                  <c:v>1.6744226901028784E-2</c:v>
                </c:pt>
                <c:pt idx="4">
                  <c:v>1.8846176443706366E-2</c:v>
                </c:pt>
                <c:pt idx="5">
                  <c:v>2.4506349527786558E-2</c:v>
                </c:pt>
                <c:pt idx="6">
                  <c:v>2.9194332414464983E-2</c:v>
                </c:pt>
                <c:pt idx="7">
                  <c:v>3.2176779465040245E-2</c:v>
                </c:pt>
                <c:pt idx="8">
                  <c:v>3.2503699196678837E-2</c:v>
                </c:pt>
                <c:pt idx="9">
                  <c:v>5.3301576202790558E-2</c:v>
                </c:pt>
                <c:pt idx="10">
                  <c:v>0.10394252933912281</c:v>
                </c:pt>
                <c:pt idx="11">
                  <c:v>0.11422097389642324</c:v>
                </c:pt>
                <c:pt idx="12">
                  <c:v>0.17061274938079685</c:v>
                </c:pt>
                <c:pt idx="13">
                  <c:v>0.17837742836969128</c:v>
                </c:pt>
                <c:pt idx="14">
                  <c:v>0.20442902056919326</c:v>
                </c:pt>
              </c:numCache>
            </c:numRef>
          </c:val>
          <c:extLst>
            <c:ext xmlns:c16="http://schemas.microsoft.com/office/drawing/2014/chart" uri="{C3380CC4-5D6E-409C-BE32-E72D297353CC}">
              <c16:uniqueId val="{00000000-F469-4666-ABEF-07B6DBEF38E9}"/>
            </c:ext>
          </c:extLst>
        </c:ser>
        <c:dLbls>
          <c:dLblPos val="inEnd"/>
          <c:showLegendKey val="0"/>
          <c:showVal val="1"/>
          <c:showCatName val="0"/>
          <c:showSerName val="0"/>
          <c:showPercent val="0"/>
          <c:showBubbleSize val="0"/>
        </c:dLbls>
        <c:gapWidth val="65"/>
        <c:axId val="1374009584"/>
        <c:axId val="1229234368"/>
      </c:barChart>
      <c:catAx>
        <c:axId val="1374009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9234368"/>
        <c:crosses val="autoZero"/>
        <c:auto val="1"/>
        <c:lblAlgn val="ctr"/>
        <c:lblOffset val="100"/>
        <c:noMultiLvlLbl val="0"/>
      </c:catAx>
      <c:valAx>
        <c:axId val="12292343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40095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'IR Charts'!$K$27</c:f>
              <c:strCache>
                <c:ptCount val="1"/>
                <c:pt idx="0">
                  <c:v>Downtime (Months)</c:v>
                </c:pt>
              </c:strCache>
            </c:strRef>
          </c:tx>
          <c:spPr>
            <a:solidFill>
              <a:schemeClr val="accent2"/>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E8D4-3A45-8383-9C4D395F003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0-E8D4-3A45-8383-9C4D395F003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'IR Charts'!$K$28:$K$35</c:f>
              <c:numCache>
                <c:formatCode>0.00</c:formatCode>
                <c:ptCount val="8"/>
                <c:pt idx="0">
                  <c:v>6.1327876190499078</c:v>
                </c:pt>
                <c:pt idx="1">
                  <c:v>4.1293329222965376</c:v>
                </c:pt>
                <c:pt idx="2">
                  <c:v>8.8753015073990049</c:v>
                </c:pt>
                <c:pt idx="3">
                  <c:v>4.36523208300357</c:v>
                </c:pt>
                <c:pt idx="4">
                  <c:v>6.6646557271557274</c:v>
                </c:pt>
                <c:pt idx="5">
                  <c:v>4.7010744135441218</c:v>
                </c:pt>
                <c:pt idx="6">
                  <c:v>4.5591082016866249</c:v>
                </c:pt>
                <c:pt idx="7">
                  <c:v>1.8651138126041966</c:v>
                </c:pt>
              </c:numCache>
            </c:numRef>
          </c:val>
          <c:extLst>
            <c:ext xmlns:c16="http://schemas.microsoft.com/office/drawing/2014/chart" uri="{C3380CC4-5D6E-409C-BE32-E72D297353CC}">
              <c16:uniqueId val="{00000000-A345-4E98-A81B-C64BB6E5AB02}"/>
            </c:ext>
          </c:extLst>
        </c:ser>
        <c:dLbls>
          <c:dLblPos val="outEnd"/>
          <c:showLegendKey val="0"/>
          <c:showVal val="1"/>
          <c:showCatName val="0"/>
          <c:showSerName val="0"/>
          <c:showPercent val="0"/>
          <c:showBubbleSize val="0"/>
        </c:dLbls>
        <c:gapWidth val="60"/>
        <c:axId val="1113343072"/>
        <c:axId val="1113344784"/>
      </c:barChart>
      <c:catAx>
        <c:axId val="1113343072"/>
        <c:scaling>
          <c:orientation val="minMax"/>
        </c:scaling>
        <c:delete val="1"/>
        <c:axPos val="l"/>
        <c:majorTickMark val="none"/>
        <c:minorTickMark val="none"/>
        <c:tickLblPos val="nextTo"/>
        <c:crossAx val="1113344784"/>
        <c:crosses val="autoZero"/>
        <c:auto val="1"/>
        <c:lblAlgn val="ctr"/>
        <c:lblOffset val="100"/>
        <c:noMultiLvlLbl val="0"/>
      </c:catAx>
      <c:valAx>
        <c:axId val="1113344784"/>
        <c:scaling>
          <c:orientation val="minMax"/>
        </c:scaling>
        <c:delete val="1"/>
        <c:axPos val="b"/>
        <c:numFmt formatCode="0.00" sourceLinked="1"/>
        <c:majorTickMark val="none"/>
        <c:minorTickMark val="none"/>
        <c:tickLblPos val="nextTo"/>
        <c:crossAx val="111334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'IR Charts'!$L$27</c:f>
              <c:strCache>
                <c:ptCount val="1"/>
                <c:pt idx="0">
                  <c:v>Contractual Rent Escalations</c:v>
                </c:pt>
              </c:strCache>
            </c:strRef>
          </c:tx>
          <c:spPr>
            <a:solidFill>
              <a:schemeClr val="accent2"/>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D992-4447-9E0B-526C5910D4F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0-D992-4447-9E0B-526C5910D4F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ilroy"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'IR Charts'!$L$28:$L$35</c:f>
              <c:numCache>
                <c:formatCode>0.0%</c:formatCode>
                <c:ptCount val="8"/>
                <c:pt idx="0">
                  <c:v>2.9218664656565897E-2</c:v>
                </c:pt>
                <c:pt idx="1">
                  <c:v>3.5521791389107889E-2</c:v>
                </c:pt>
                <c:pt idx="2">
                  <c:v>3.8611308137886102E-2</c:v>
                </c:pt>
                <c:pt idx="3">
                  <c:v>3.5901161938976509E-2</c:v>
                </c:pt>
                <c:pt idx="4">
                  <c:v>3.392593452341474E-2</c:v>
                </c:pt>
                <c:pt idx="5">
                  <c:v>3.3406647895932368E-2</c:v>
                </c:pt>
                <c:pt idx="6">
                  <c:v>3.8116792309151284E-2</c:v>
                </c:pt>
                <c:pt idx="7">
                  <c:v>3.5382109846660847E-2</c:v>
                </c:pt>
              </c:numCache>
            </c:numRef>
          </c:val>
          <c:extLst>
            <c:ext xmlns:c16="http://schemas.microsoft.com/office/drawing/2014/chart" uri="{C3380CC4-5D6E-409C-BE32-E72D297353CC}">
              <c16:uniqueId val="{00000000-A345-4E98-A81B-C64BB6E5AB02}"/>
            </c:ext>
          </c:extLst>
        </c:ser>
        <c:dLbls>
          <c:dLblPos val="outEnd"/>
          <c:showLegendKey val="0"/>
          <c:showVal val="1"/>
          <c:showCatName val="0"/>
          <c:showSerName val="0"/>
          <c:showPercent val="0"/>
          <c:showBubbleSize val="0"/>
        </c:dLbls>
        <c:gapWidth val="60"/>
        <c:axId val="1113343072"/>
        <c:axId val="1113344784"/>
      </c:barChart>
      <c:catAx>
        <c:axId val="1113343072"/>
        <c:scaling>
          <c:orientation val="minMax"/>
        </c:scaling>
        <c:delete val="1"/>
        <c:axPos val="l"/>
        <c:majorTickMark val="none"/>
        <c:minorTickMark val="none"/>
        <c:tickLblPos val="nextTo"/>
        <c:crossAx val="1113344784"/>
        <c:crosses val="autoZero"/>
        <c:auto val="1"/>
        <c:lblAlgn val="ctr"/>
        <c:lblOffset val="100"/>
        <c:noMultiLvlLbl val="0"/>
      </c:catAx>
      <c:valAx>
        <c:axId val="1113344784"/>
        <c:scaling>
          <c:orientation val="minMax"/>
        </c:scaling>
        <c:delete val="1"/>
        <c:axPos val="b"/>
        <c:numFmt formatCode="0.0%" sourceLinked="1"/>
        <c:majorTickMark val="none"/>
        <c:minorTickMark val="none"/>
        <c:tickLblPos val="nextTo"/>
        <c:crossAx val="111334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latin typeface="Gilroy" pitchFamily="2" charset="77"/>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rtl="0">
              <a:defRPr sz="1000">
                <a:latin typeface="Aptos" panose="020B0004020202020204" pitchFamily="34" charset="0"/>
                <a:ea typeface="Aptos" panose="020B0004020202020204" pitchFamily="34" charset="0"/>
                <a:cs typeface="Aptos" panose="020B0004020202020204" pitchFamily="34" charset="0"/>
              </a:defRPr>
            </a:pPr>
            <a:r>
              <a:rPr lang="en-US" sz="1000" b="0" i="0" baseline="0">
                <a:effectLst/>
                <a:latin typeface="Aptos" panose="020B0004020202020204" pitchFamily="34" charset="0"/>
              </a:rPr>
              <a:t>Downtime (mos) for New Leases since Inception : </a:t>
            </a:r>
            <a:r>
              <a:rPr lang="en-US" sz="1000" b="1" i="0" baseline="0">
                <a:effectLst/>
                <a:latin typeface="Aptos" panose="020B0004020202020204" pitchFamily="34" charset="0"/>
              </a:rPr>
              <a:t>Distribution</a:t>
            </a:r>
            <a:endParaRPr lang="en-US" sz="1000">
              <a:effectLst/>
              <a:latin typeface="Aptos" panose="020B0004020202020204" pitchFamily="34" charset="0"/>
            </a:endParaRPr>
          </a:p>
        </cx:rich>
      </cx:tx>
    </cx:title>
    <cx:plotArea>
      <cx:plotAreaRegion>
        <cx:series layoutId="clusteredColumn" uniqueId="{DD52BE20-E731-47E7-8FCD-3535CB866769}">
          <cx:dataLabels>
            <cx:txPr>
              <a:bodyPr vertOverflow="overflow" horzOverflow="overflow" wrap="square" lIns="0" tIns="0" rIns="0" bIns="0"/>
              <a:lstStyle/>
              <a:p>
                <a:pPr algn="ctr" rtl="0">
                  <a:defRPr sz="900" b="0" i="0">
                    <a:solidFill>
                      <a:srgbClr val="595959"/>
                    </a:solidFill>
                    <a:latin typeface="Aptos" panose="020B0004020202020204" pitchFamily="34" charset="0"/>
                    <a:ea typeface="Aptos" panose="020B0004020202020204" pitchFamily="34" charset="0"/>
                    <a:cs typeface="Aptos" panose="020B0004020202020204" pitchFamily="34" charset="0"/>
                  </a:defRPr>
                </a:pPr>
                <a:endParaRPr lang="en-US">
                  <a:latin typeface="Aptos" panose="020B0004020202020204" pitchFamily="34" charset="0"/>
                </a:endParaRPr>
              </a:p>
            </cx:txPr>
            <cx:visibility seriesName="0" categoryName="0" value="1"/>
          </cx:dataLabels>
          <cx:dataId val="0"/>
          <cx:layoutPr>
            <cx:binning intervalClosed="r">
              <cx:binSize val="3"/>
            </cx:binning>
          </cx:layoutPr>
        </cx:series>
      </cx:plotAreaRegion>
      <cx:axis id="0">
        <cx:catScaling gapWidth="0"/>
        <cx:tickLabels/>
        <cx:txPr>
          <a:bodyPr vertOverflow="overflow" horzOverflow="overflow" wrap="square" lIns="0" tIns="0" rIns="0" bIns="0"/>
          <a:lstStyle/>
          <a:p>
            <a:pPr algn="ctr" rtl="0">
              <a:defRPr sz="900" b="0" i="0">
                <a:solidFill>
                  <a:srgbClr val="595959"/>
                </a:solidFill>
                <a:latin typeface="Aptos" panose="020B0004020202020204" pitchFamily="34" charset="0"/>
                <a:ea typeface="Aptos" panose="020B0004020202020204" pitchFamily="34" charset="0"/>
                <a:cs typeface="Aptos" panose="020B0004020202020204" pitchFamily="34" charset="0"/>
              </a:defRPr>
            </a:pPr>
            <a:endParaRPr lang="en-US">
              <a:latin typeface="Aptos" panose="020B0004020202020204" pitchFamily="34" charset="0"/>
            </a:endParaRPr>
          </a:p>
        </cx:txPr>
      </cx:axis>
      <cx:axis id="1" hidden="1">
        <cx:valScaling/>
        <cx:majorGridlines/>
        <cx:tickLabels/>
        <cx:txPr>
          <a:bodyPr vertOverflow="overflow" horzOverflow="overflow" wrap="square" lIns="0" tIns="0" rIns="0" bIns="0"/>
          <a:lstStyle/>
          <a:p>
            <a:pPr algn="ctr" rtl="0">
              <a:defRPr sz="900" b="0" i="0">
                <a:solidFill>
                  <a:srgbClr val="595959"/>
                </a:solidFill>
                <a:latin typeface="Aptos" panose="020B0004020202020204" pitchFamily="34" charset="0"/>
                <a:ea typeface="Aptos" panose="020B0004020202020204" pitchFamily="34" charset="0"/>
                <a:cs typeface="Aptos" panose="020B0004020202020204" pitchFamily="34" charset="0"/>
              </a:defRPr>
            </a:pPr>
            <a:endParaRPr lang="en-US">
              <a:latin typeface="Aptos" panose="020B0004020202020204" pitchFamily="34" charset="0"/>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How many quarters ago?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How many quarters ago?</a:t>
          </a:r>
        </a:p>
      </cx:txPr>
    </cx:title>
    <cx:plotArea>
      <cx:plotAreaRegion>
        <cx:series layoutId="clusteredColumn" uniqueId="{D4D5D478-ACC6-45DB-A21F-86B0C36E9C7F}">
          <cx:dataId val="0"/>
          <cx:layoutPr>
            <cx:binning intervalClosed="r">
              <cx:binSize val="1"/>
            </cx:binning>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Lease Term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Lease Term Distribution</a:t>
          </a:r>
        </a:p>
      </cx:txPr>
    </cx:title>
    <cx:plotArea>
      <cx:plotAreaRegion>
        <cx:series layoutId="clusteredColumn" uniqueId="{5F4C4410-958D-4232-9178-F4E39A3CA7D6}">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binning intervalClosed="r" underflow="24" overflow="60">
              <cx:binSize val="12"/>
            </cx:binning>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withinLinear" id="19">
  <a:schemeClr val="accent6"/>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1197"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65000"/>
        <a:lumOff val="3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862"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1197" kern="1200" spc="20" baseline="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064"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50000"/>
        <a:lumOff val="50000"/>
      </a:schemeClr>
    </cs:fontRef>
    <cs:defRPr sz="1197"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064"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18" Type="http://schemas.openxmlformats.org/officeDocument/2006/relationships/chart" Target="../charts/chart33.xml"/><Relationship Id="rId26" Type="http://schemas.openxmlformats.org/officeDocument/2006/relationships/chart" Target="../charts/chart41.xml"/><Relationship Id="rId3" Type="http://schemas.openxmlformats.org/officeDocument/2006/relationships/chart" Target="../charts/chart18.xml"/><Relationship Id="rId21" Type="http://schemas.openxmlformats.org/officeDocument/2006/relationships/chart" Target="../charts/chart36.xml"/><Relationship Id="rId7" Type="http://schemas.openxmlformats.org/officeDocument/2006/relationships/chart" Target="../charts/chart22.xml"/><Relationship Id="rId12" Type="http://schemas.openxmlformats.org/officeDocument/2006/relationships/chart" Target="../charts/chart27.xml"/><Relationship Id="rId17" Type="http://schemas.openxmlformats.org/officeDocument/2006/relationships/chart" Target="../charts/chart32.xml"/><Relationship Id="rId25" Type="http://schemas.openxmlformats.org/officeDocument/2006/relationships/chart" Target="../charts/chart40.xml"/><Relationship Id="rId2" Type="http://schemas.openxmlformats.org/officeDocument/2006/relationships/chart" Target="../charts/chart17.xml"/><Relationship Id="rId16" Type="http://schemas.openxmlformats.org/officeDocument/2006/relationships/chart" Target="../charts/chart31.xml"/><Relationship Id="rId20" Type="http://schemas.openxmlformats.org/officeDocument/2006/relationships/chart" Target="../charts/chart35.xml"/><Relationship Id="rId29" Type="http://schemas.openxmlformats.org/officeDocument/2006/relationships/chart" Target="../charts/chart43.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24" Type="http://schemas.openxmlformats.org/officeDocument/2006/relationships/chart" Target="../charts/chart39.xml"/><Relationship Id="rId5" Type="http://schemas.openxmlformats.org/officeDocument/2006/relationships/chart" Target="../charts/chart20.xml"/><Relationship Id="rId15" Type="http://schemas.openxmlformats.org/officeDocument/2006/relationships/chart" Target="../charts/chart30.xml"/><Relationship Id="rId23" Type="http://schemas.openxmlformats.org/officeDocument/2006/relationships/chart" Target="../charts/chart38.xml"/><Relationship Id="rId28" Type="http://schemas.microsoft.com/office/2014/relationships/chartEx" Target="../charts/chartEx3.xml"/><Relationship Id="rId10" Type="http://schemas.openxmlformats.org/officeDocument/2006/relationships/chart" Target="../charts/chart25.xml"/><Relationship Id="rId19" Type="http://schemas.openxmlformats.org/officeDocument/2006/relationships/chart" Target="../charts/chart34.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 Id="rId22" Type="http://schemas.openxmlformats.org/officeDocument/2006/relationships/chart" Target="../charts/chart37.xml"/><Relationship Id="rId27" Type="http://schemas.openxmlformats.org/officeDocument/2006/relationships/chart" Target="../charts/chart42.xml"/><Relationship Id="rId30"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52.xml"/><Relationship Id="rId3" Type="http://schemas.openxmlformats.org/officeDocument/2006/relationships/chart" Target="../charts/chart47.xml"/><Relationship Id="rId7" Type="http://schemas.openxmlformats.org/officeDocument/2006/relationships/chart" Target="../charts/chart51.xml"/><Relationship Id="rId2" Type="http://schemas.openxmlformats.org/officeDocument/2006/relationships/chart" Target="../charts/chart46.xml"/><Relationship Id="rId1" Type="http://schemas.openxmlformats.org/officeDocument/2006/relationships/chart" Target="../charts/chart45.xml"/><Relationship Id="rId6" Type="http://schemas.openxmlformats.org/officeDocument/2006/relationships/chart" Target="../charts/chart50.xml"/><Relationship Id="rId5" Type="http://schemas.openxmlformats.org/officeDocument/2006/relationships/chart" Target="../charts/chart49.xml"/><Relationship Id="rId4" Type="http://schemas.openxmlformats.org/officeDocument/2006/relationships/chart" Target="../charts/chart4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64.xml"/><Relationship Id="rId3" Type="http://schemas.openxmlformats.org/officeDocument/2006/relationships/chart" Target="../charts/chart59.xml"/><Relationship Id="rId7" Type="http://schemas.openxmlformats.org/officeDocument/2006/relationships/chart" Target="../charts/chart63.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chart" Target="../charts/chart6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74.xml"/><Relationship Id="rId3" Type="http://schemas.openxmlformats.org/officeDocument/2006/relationships/chart" Target="../charts/chart69.xml"/><Relationship Id="rId7" Type="http://schemas.openxmlformats.org/officeDocument/2006/relationships/chart" Target="../charts/chart73.xml"/><Relationship Id="rId2" Type="http://schemas.openxmlformats.org/officeDocument/2006/relationships/chart" Target="../charts/chart68.xml"/><Relationship Id="rId1" Type="http://schemas.openxmlformats.org/officeDocument/2006/relationships/chart" Target="../charts/chart67.xml"/><Relationship Id="rId6" Type="http://schemas.openxmlformats.org/officeDocument/2006/relationships/chart" Target="../charts/chart72.xml"/><Relationship Id="rId5" Type="http://schemas.openxmlformats.org/officeDocument/2006/relationships/chart" Target="../charts/chart71.xml"/><Relationship Id="rId10" Type="http://schemas.openxmlformats.org/officeDocument/2006/relationships/chart" Target="../charts/chart76.xml"/><Relationship Id="rId4" Type="http://schemas.openxmlformats.org/officeDocument/2006/relationships/chart" Target="../charts/chart70.xml"/><Relationship Id="rId9" Type="http://schemas.openxmlformats.org/officeDocument/2006/relationships/chart" Target="../charts/chart7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7.xml"/></Relationships>
</file>

<file path=xl/drawings/drawing1.xml><?xml version="1.0" encoding="utf-8"?>
<xdr:wsDr xmlns:xdr="http://schemas.openxmlformats.org/drawingml/2006/spreadsheetDrawing" xmlns:a="http://schemas.openxmlformats.org/drawingml/2006/main">
  <xdr:twoCellAnchor>
    <xdr:from>
      <xdr:col>13</xdr:col>
      <xdr:colOff>727307</xdr:colOff>
      <xdr:row>21</xdr:row>
      <xdr:rowOff>27218</xdr:rowOff>
    </xdr:from>
    <xdr:to>
      <xdr:col>18</xdr:col>
      <xdr:colOff>271618</xdr:colOff>
      <xdr:row>35</xdr:row>
      <xdr:rowOff>22108</xdr:rowOff>
    </xdr:to>
    <xdr:graphicFrame macro="">
      <xdr:nvGraphicFramePr>
        <xdr:cNvPr id="15" name="Chart 3">
          <a:extLst>
            <a:ext uri="{FF2B5EF4-FFF2-40B4-BE49-F238E27FC236}">
              <a16:creationId xmlns:a16="http://schemas.microsoft.com/office/drawing/2014/main" id="{5D31A191-077F-41BE-A4D2-BDECD2894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86472</xdr:colOff>
      <xdr:row>63</xdr:row>
      <xdr:rowOff>0</xdr:rowOff>
    </xdr:from>
    <xdr:to>
      <xdr:col>10</xdr:col>
      <xdr:colOff>57185</xdr:colOff>
      <xdr:row>80</xdr:row>
      <xdr:rowOff>12696</xdr:rowOff>
    </xdr:to>
    <xdr:graphicFrame macro="">
      <xdr:nvGraphicFramePr>
        <xdr:cNvPr id="28" name="Chart 4">
          <a:extLst>
            <a:ext uri="{FF2B5EF4-FFF2-40B4-BE49-F238E27FC236}">
              <a16:creationId xmlns:a16="http://schemas.microsoft.com/office/drawing/2014/main" id="{A640A8F8-73BE-4BF7-A4AE-84B8AA0E1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86472</xdr:colOff>
      <xdr:row>63</xdr:row>
      <xdr:rowOff>0</xdr:rowOff>
    </xdr:from>
    <xdr:to>
      <xdr:col>16</xdr:col>
      <xdr:colOff>57185</xdr:colOff>
      <xdr:row>80</xdr:row>
      <xdr:rowOff>12696</xdr:rowOff>
    </xdr:to>
    <xdr:graphicFrame macro="">
      <xdr:nvGraphicFramePr>
        <xdr:cNvPr id="26" name="Chart 6">
          <a:extLst>
            <a:ext uri="{FF2B5EF4-FFF2-40B4-BE49-F238E27FC236}">
              <a16:creationId xmlns:a16="http://schemas.microsoft.com/office/drawing/2014/main" id="{67928003-C45B-4FDB-AF2D-048B63248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86472</xdr:colOff>
      <xdr:row>63</xdr:row>
      <xdr:rowOff>0</xdr:rowOff>
    </xdr:from>
    <xdr:to>
      <xdr:col>7</xdr:col>
      <xdr:colOff>57185</xdr:colOff>
      <xdr:row>80</xdr:row>
      <xdr:rowOff>12696</xdr:rowOff>
    </xdr:to>
    <xdr:graphicFrame macro="">
      <xdr:nvGraphicFramePr>
        <xdr:cNvPr id="25" name="Chart 7">
          <a:extLst>
            <a:ext uri="{FF2B5EF4-FFF2-40B4-BE49-F238E27FC236}">
              <a16:creationId xmlns:a16="http://schemas.microsoft.com/office/drawing/2014/main" id="{F1DBAB3E-4CD6-40DF-A8DC-EC12E4991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97677</xdr:colOff>
      <xdr:row>80</xdr:row>
      <xdr:rowOff>190500</xdr:rowOff>
    </xdr:from>
    <xdr:to>
      <xdr:col>7</xdr:col>
      <xdr:colOff>74740</xdr:colOff>
      <xdr:row>98</xdr:row>
      <xdr:rowOff>1490</xdr:rowOff>
    </xdr:to>
    <xdr:graphicFrame macro="">
      <xdr:nvGraphicFramePr>
        <xdr:cNvPr id="9" name="Chart 8">
          <a:extLst>
            <a:ext uri="{FF2B5EF4-FFF2-40B4-BE49-F238E27FC236}">
              <a16:creationId xmlns:a16="http://schemas.microsoft.com/office/drawing/2014/main" id="{705C2740-D013-4838-8C07-8DAFFDFDE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115234</xdr:colOff>
      <xdr:row>80</xdr:row>
      <xdr:rowOff>190500</xdr:rowOff>
    </xdr:from>
    <xdr:to>
      <xdr:col>10</xdr:col>
      <xdr:colOff>82772</xdr:colOff>
      <xdr:row>98</xdr:row>
      <xdr:rowOff>1490</xdr:rowOff>
    </xdr:to>
    <xdr:graphicFrame macro="">
      <xdr:nvGraphicFramePr>
        <xdr:cNvPr id="10" name="Chart 9">
          <a:extLst>
            <a:ext uri="{FF2B5EF4-FFF2-40B4-BE49-F238E27FC236}">
              <a16:creationId xmlns:a16="http://schemas.microsoft.com/office/drawing/2014/main" id="{9114E7A2-2999-4CB9-9083-B59F43579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123265</xdr:colOff>
      <xdr:row>81</xdr:row>
      <xdr:rowOff>0</xdr:rowOff>
    </xdr:from>
    <xdr:to>
      <xdr:col>16</xdr:col>
      <xdr:colOff>97153</xdr:colOff>
      <xdr:row>98</xdr:row>
      <xdr:rowOff>12696</xdr:rowOff>
    </xdr:to>
    <xdr:graphicFrame macro="">
      <xdr:nvGraphicFramePr>
        <xdr:cNvPr id="22" name="Chart 11">
          <a:extLst>
            <a:ext uri="{FF2B5EF4-FFF2-40B4-BE49-F238E27FC236}">
              <a16:creationId xmlns:a16="http://schemas.microsoft.com/office/drawing/2014/main" id="{FD46726A-A7D7-4006-9F66-AFA38CEE3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235323</xdr:colOff>
      <xdr:row>60</xdr:row>
      <xdr:rowOff>116916</xdr:rowOff>
    </xdr:from>
    <xdr:to>
      <xdr:col>8</xdr:col>
      <xdr:colOff>595595</xdr:colOff>
      <xdr:row>62</xdr:row>
      <xdr:rowOff>137646</xdr:rowOff>
    </xdr:to>
    <xdr:sp macro="" textlink="">
      <xdr:nvSpPr>
        <xdr:cNvPr id="24" name="TextBox 6">
          <a:extLst>
            <a:ext uri="{FF2B5EF4-FFF2-40B4-BE49-F238E27FC236}">
              <a16:creationId xmlns:a16="http://schemas.microsoft.com/office/drawing/2014/main" id="{47AD7217-CF53-4978-8E16-BEA9ADE8208D}"/>
            </a:ext>
          </a:extLst>
        </xdr:cNvPr>
        <xdr:cNvSpPr txBox="1"/>
      </xdr:nvSpPr>
      <xdr:spPr>
        <a:xfrm>
          <a:off x="4426323" y="5247716"/>
          <a:ext cx="2874872" cy="427130"/>
        </a:xfrm>
        <a:prstGeom prst="rect">
          <a:avLst/>
        </a:prstGeom>
        <a:solidFill>
          <a:schemeClr val="accent1"/>
        </a:solidFill>
      </xdr:spPr>
      <xdr:txBody>
        <a:bodyPr wrap="square">
          <a:noAutofit/>
        </a:bodyPr>
        <a:lstStyle>
          <a:defPPr>
            <a:defRPr lang="en-US"/>
          </a:defPPr>
          <a:lvl1pPr marL="0" algn="l" defTabSz="914309" rtl="0" eaLnBrk="1" latinLnBrk="0" hangingPunct="1">
            <a:defRPr sz="1800" kern="1200">
              <a:solidFill>
                <a:schemeClr val="tx1"/>
              </a:solidFill>
              <a:latin typeface="+mn-lt"/>
              <a:ea typeface="+mn-ea"/>
              <a:cs typeface="+mn-cs"/>
            </a:defRPr>
          </a:lvl1pPr>
          <a:lvl2pPr marL="457154" algn="l" defTabSz="914309" rtl="0" eaLnBrk="1" latinLnBrk="0" hangingPunct="1">
            <a:defRPr sz="1800" kern="1200">
              <a:solidFill>
                <a:schemeClr val="tx1"/>
              </a:solidFill>
              <a:latin typeface="+mn-lt"/>
              <a:ea typeface="+mn-ea"/>
              <a:cs typeface="+mn-cs"/>
            </a:defRPr>
          </a:lvl2pPr>
          <a:lvl3pPr marL="914309" algn="l" defTabSz="914309" rtl="0" eaLnBrk="1" latinLnBrk="0" hangingPunct="1">
            <a:defRPr sz="1800" kern="1200">
              <a:solidFill>
                <a:schemeClr val="tx1"/>
              </a:solidFill>
              <a:latin typeface="+mn-lt"/>
              <a:ea typeface="+mn-ea"/>
              <a:cs typeface="+mn-cs"/>
            </a:defRPr>
          </a:lvl3pPr>
          <a:lvl4pPr marL="1371463" algn="l" defTabSz="914309" rtl="0" eaLnBrk="1" latinLnBrk="0" hangingPunct="1">
            <a:defRPr sz="1800" kern="1200">
              <a:solidFill>
                <a:schemeClr val="tx1"/>
              </a:solidFill>
              <a:latin typeface="+mn-lt"/>
              <a:ea typeface="+mn-ea"/>
              <a:cs typeface="+mn-cs"/>
            </a:defRPr>
          </a:lvl4pPr>
          <a:lvl5pPr marL="1828617" algn="l" defTabSz="914309" rtl="0" eaLnBrk="1" latinLnBrk="0" hangingPunct="1">
            <a:defRPr sz="1800" kern="1200">
              <a:solidFill>
                <a:schemeClr val="tx1"/>
              </a:solidFill>
              <a:latin typeface="+mn-lt"/>
              <a:ea typeface="+mn-ea"/>
              <a:cs typeface="+mn-cs"/>
            </a:defRPr>
          </a:lvl5pPr>
          <a:lvl6pPr marL="2285771" algn="l" defTabSz="914309" rtl="0" eaLnBrk="1" latinLnBrk="0" hangingPunct="1">
            <a:defRPr sz="1800" kern="1200">
              <a:solidFill>
                <a:schemeClr val="tx1"/>
              </a:solidFill>
              <a:latin typeface="+mn-lt"/>
              <a:ea typeface="+mn-ea"/>
              <a:cs typeface="+mn-cs"/>
            </a:defRPr>
          </a:lvl6pPr>
          <a:lvl7pPr marL="2742926" algn="l" defTabSz="914309" rtl="0" eaLnBrk="1" latinLnBrk="0" hangingPunct="1">
            <a:defRPr sz="1800" kern="1200">
              <a:solidFill>
                <a:schemeClr val="tx1"/>
              </a:solidFill>
              <a:latin typeface="+mn-lt"/>
              <a:ea typeface="+mn-ea"/>
              <a:cs typeface="+mn-cs"/>
            </a:defRPr>
          </a:lvl7pPr>
          <a:lvl8pPr marL="3200080" algn="l" defTabSz="914309" rtl="0" eaLnBrk="1" latinLnBrk="0" hangingPunct="1">
            <a:defRPr sz="1800" kern="1200">
              <a:solidFill>
                <a:schemeClr val="tx1"/>
              </a:solidFill>
              <a:latin typeface="+mn-lt"/>
              <a:ea typeface="+mn-ea"/>
              <a:cs typeface="+mn-cs"/>
            </a:defRPr>
          </a:lvl8pPr>
          <a:lvl9pPr marL="3657234" algn="l" defTabSz="914309" rtl="0" eaLnBrk="1" latinLnBrk="0" hangingPunct="1">
            <a:defRPr sz="1800" kern="1200">
              <a:solidFill>
                <a:schemeClr val="tx1"/>
              </a:solidFill>
              <a:latin typeface="+mn-lt"/>
              <a:ea typeface="+mn-ea"/>
              <a:cs typeface="+mn-cs"/>
            </a:defRPr>
          </a:lvl9pPr>
        </a:lstStyle>
        <a:p>
          <a:pPr algn="ctr" defTabSz="914035">
            <a:defRPr/>
          </a:pPr>
          <a:r>
            <a:rPr lang="en-US" sz="1920" b="1">
              <a:solidFill>
                <a:schemeClr val="bg1"/>
              </a:solidFill>
              <a:latin typeface="Gilroy" panose="00000500000000000000" pitchFamily="50" charset="0"/>
            </a:rPr>
            <a:t>Since Inception Activity</a:t>
          </a:r>
        </a:p>
      </xdr:txBody>
    </xdr:sp>
    <xdr:clientData/>
  </xdr:twoCellAnchor>
  <xdr:twoCellAnchor>
    <xdr:from>
      <xdr:col>11</xdr:col>
      <xdr:colOff>730287</xdr:colOff>
      <xdr:row>60</xdr:row>
      <xdr:rowOff>171898</xdr:rowOff>
    </xdr:from>
    <xdr:to>
      <xdr:col>14</xdr:col>
      <xdr:colOff>360842</xdr:colOff>
      <xdr:row>62</xdr:row>
      <xdr:rowOff>156548</xdr:rowOff>
    </xdr:to>
    <xdr:sp macro="" textlink="">
      <xdr:nvSpPr>
        <xdr:cNvPr id="23" name="TextBox 5">
          <a:extLst>
            <a:ext uri="{FF2B5EF4-FFF2-40B4-BE49-F238E27FC236}">
              <a16:creationId xmlns:a16="http://schemas.microsoft.com/office/drawing/2014/main" id="{B8E0E3FD-F378-477A-B211-DCC68F1ED3F9}"/>
            </a:ext>
          </a:extLst>
        </xdr:cNvPr>
        <xdr:cNvSpPr txBox="1"/>
      </xdr:nvSpPr>
      <xdr:spPr>
        <a:xfrm>
          <a:off x="16528180" y="13044255"/>
          <a:ext cx="2161483" cy="392864"/>
        </a:xfrm>
        <a:prstGeom prst="rect">
          <a:avLst/>
        </a:prstGeom>
        <a:solidFill>
          <a:srgbClr val="009EDB"/>
        </a:solidFill>
      </xdr:spPr>
      <xdr:txBody>
        <a:bodyPr wrap="square">
          <a:spAutoFit/>
        </a:bodyPr>
        <a:lstStyle>
          <a:defPPr>
            <a:defRPr lang="en-US"/>
          </a:defPPr>
          <a:lvl1pPr marL="0" algn="l" defTabSz="914309" rtl="0" eaLnBrk="1" latinLnBrk="0" hangingPunct="1">
            <a:defRPr sz="1800" kern="1200">
              <a:solidFill>
                <a:schemeClr val="tx1"/>
              </a:solidFill>
              <a:latin typeface="+mn-lt"/>
              <a:ea typeface="+mn-ea"/>
              <a:cs typeface="+mn-cs"/>
            </a:defRPr>
          </a:lvl1pPr>
          <a:lvl2pPr marL="457154" algn="l" defTabSz="914309" rtl="0" eaLnBrk="1" latinLnBrk="0" hangingPunct="1">
            <a:defRPr sz="1800" kern="1200">
              <a:solidFill>
                <a:schemeClr val="tx1"/>
              </a:solidFill>
              <a:latin typeface="+mn-lt"/>
              <a:ea typeface="+mn-ea"/>
              <a:cs typeface="+mn-cs"/>
            </a:defRPr>
          </a:lvl2pPr>
          <a:lvl3pPr marL="914309" algn="l" defTabSz="914309" rtl="0" eaLnBrk="1" latinLnBrk="0" hangingPunct="1">
            <a:defRPr sz="1800" kern="1200">
              <a:solidFill>
                <a:schemeClr val="tx1"/>
              </a:solidFill>
              <a:latin typeface="+mn-lt"/>
              <a:ea typeface="+mn-ea"/>
              <a:cs typeface="+mn-cs"/>
            </a:defRPr>
          </a:lvl3pPr>
          <a:lvl4pPr marL="1371463" algn="l" defTabSz="914309" rtl="0" eaLnBrk="1" latinLnBrk="0" hangingPunct="1">
            <a:defRPr sz="1800" kern="1200">
              <a:solidFill>
                <a:schemeClr val="tx1"/>
              </a:solidFill>
              <a:latin typeface="+mn-lt"/>
              <a:ea typeface="+mn-ea"/>
              <a:cs typeface="+mn-cs"/>
            </a:defRPr>
          </a:lvl4pPr>
          <a:lvl5pPr marL="1828617" algn="l" defTabSz="914309" rtl="0" eaLnBrk="1" latinLnBrk="0" hangingPunct="1">
            <a:defRPr sz="1800" kern="1200">
              <a:solidFill>
                <a:schemeClr val="tx1"/>
              </a:solidFill>
              <a:latin typeface="+mn-lt"/>
              <a:ea typeface="+mn-ea"/>
              <a:cs typeface="+mn-cs"/>
            </a:defRPr>
          </a:lvl5pPr>
          <a:lvl6pPr marL="2285771" algn="l" defTabSz="914309" rtl="0" eaLnBrk="1" latinLnBrk="0" hangingPunct="1">
            <a:defRPr sz="1800" kern="1200">
              <a:solidFill>
                <a:schemeClr val="tx1"/>
              </a:solidFill>
              <a:latin typeface="+mn-lt"/>
              <a:ea typeface="+mn-ea"/>
              <a:cs typeface="+mn-cs"/>
            </a:defRPr>
          </a:lvl6pPr>
          <a:lvl7pPr marL="2742926" algn="l" defTabSz="914309" rtl="0" eaLnBrk="1" latinLnBrk="0" hangingPunct="1">
            <a:defRPr sz="1800" kern="1200">
              <a:solidFill>
                <a:schemeClr val="tx1"/>
              </a:solidFill>
              <a:latin typeface="+mn-lt"/>
              <a:ea typeface="+mn-ea"/>
              <a:cs typeface="+mn-cs"/>
            </a:defRPr>
          </a:lvl7pPr>
          <a:lvl8pPr marL="3200080" algn="l" defTabSz="914309" rtl="0" eaLnBrk="1" latinLnBrk="0" hangingPunct="1">
            <a:defRPr sz="1800" kern="1200">
              <a:solidFill>
                <a:schemeClr val="tx1"/>
              </a:solidFill>
              <a:latin typeface="+mn-lt"/>
              <a:ea typeface="+mn-ea"/>
              <a:cs typeface="+mn-cs"/>
            </a:defRPr>
          </a:lvl8pPr>
          <a:lvl9pPr marL="3657234" algn="l" defTabSz="914309" rtl="0" eaLnBrk="1" latinLnBrk="0" hangingPunct="1">
            <a:defRPr sz="1800" kern="1200">
              <a:solidFill>
                <a:schemeClr val="tx1"/>
              </a:solidFill>
              <a:latin typeface="+mn-lt"/>
              <a:ea typeface="+mn-ea"/>
              <a:cs typeface="+mn-cs"/>
            </a:defRPr>
          </a:lvl9pPr>
        </a:lstStyle>
        <a:p>
          <a:pPr algn="ctr" defTabSz="914035">
            <a:defRPr/>
          </a:pPr>
          <a:r>
            <a:rPr lang="en-US" sz="1920" b="1">
              <a:solidFill>
                <a:schemeClr val="bg1"/>
              </a:solidFill>
              <a:latin typeface="Gilroy" panose="00000500000000000000" pitchFamily="50" charset="0"/>
            </a:rPr>
            <a:t>Q4 2024 Activity</a:t>
          </a:r>
        </a:p>
      </xdr:txBody>
    </xdr:sp>
    <xdr:clientData/>
  </xdr:twoCellAnchor>
  <xdr:twoCellAnchor>
    <xdr:from>
      <xdr:col>18</xdr:col>
      <xdr:colOff>455689</xdr:colOff>
      <xdr:row>21</xdr:row>
      <xdr:rowOff>5110</xdr:rowOff>
    </xdr:from>
    <xdr:to>
      <xdr:col>23</xdr:col>
      <xdr:colOff>0</xdr:colOff>
      <xdr:row>35</xdr:row>
      <xdr:rowOff>0</xdr:rowOff>
    </xdr:to>
    <xdr:graphicFrame macro="">
      <xdr:nvGraphicFramePr>
        <xdr:cNvPr id="14" name="Chart 16">
          <a:extLst>
            <a:ext uri="{FF2B5EF4-FFF2-40B4-BE49-F238E27FC236}">
              <a16:creationId xmlns:a16="http://schemas.microsoft.com/office/drawing/2014/main" id="{73D328B0-DFCA-5C08-5AA8-98CEFD9DB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0</xdr:colOff>
      <xdr:row>20</xdr:row>
      <xdr:rowOff>205549</xdr:rowOff>
    </xdr:from>
    <xdr:to>
      <xdr:col>27</xdr:col>
      <xdr:colOff>381190</xdr:colOff>
      <xdr:row>34</xdr:row>
      <xdr:rowOff>207781</xdr:rowOff>
    </xdr:to>
    <xdr:graphicFrame macro="">
      <xdr:nvGraphicFramePr>
        <xdr:cNvPr id="13" name="Chart 17">
          <a:extLst>
            <a:ext uri="{FF2B5EF4-FFF2-40B4-BE49-F238E27FC236}">
              <a16:creationId xmlns:a16="http://schemas.microsoft.com/office/drawing/2014/main" id="{E1D31A44-D20D-57BC-89E0-C2C4551B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27215</xdr:colOff>
      <xdr:row>63</xdr:row>
      <xdr:rowOff>0</xdr:rowOff>
    </xdr:from>
    <xdr:to>
      <xdr:col>13</xdr:col>
      <xdr:colOff>19426</xdr:colOff>
      <xdr:row>80</xdr:row>
      <xdr:rowOff>20316</xdr:rowOff>
    </xdr:to>
    <xdr:graphicFrame macro="">
      <xdr:nvGraphicFramePr>
        <xdr:cNvPr id="2" name="Chart 6">
          <a:extLst>
            <a:ext uri="{FF2B5EF4-FFF2-40B4-BE49-F238E27FC236}">
              <a16:creationId xmlns:a16="http://schemas.microsoft.com/office/drawing/2014/main" id="{CB87A96A-991E-4391-92C0-1E9A39D0E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136072</xdr:colOff>
      <xdr:row>81</xdr:row>
      <xdr:rowOff>0</xdr:rowOff>
    </xdr:from>
    <xdr:to>
      <xdr:col>13</xdr:col>
      <xdr:colOff>126378</xdr:colOff>
      <xdr:row>98</xdr:row>
      <xdr:rowOff>20315</xdr:rowOff>
    </xdr:to>
    <xdr:graphicFrame macro="">
      <xdr:nvGraphicFramePr>
        <xdr:cNvPr id="3" name="Chart 6">
          <a:extLst>
            <a:ext uri="{FF2B5EF4-FFF2-40B4-BE49-F238E27FC236}">
              <a16:creationId xmlns:a16="http://schemas.microsoft.com/office/drawing/2014/main" id="{D954EDEC-FBDD-40AB-91AE-88C392EF4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727307</xdr:colOff>
      <xdr:row>35</xdr:row>
      <xdr:rowOff>127030</xdr:rowOff>
    </xdr:from>
    <xdr:to>
      <xdr:col>18</xdr:col>
      <xdr:colOff>271618</xdr:colOff>
      <xdr:row>51</xdr:row>
      <xdr:rowOff>10160</xdr:rowOff>
    </xdr:to>
    <xdr:graphicFrame macro="">
      <xdr:nvGraphicFramePr>
        <xdr:cNvPr id="16" name="Chart 3">
          <a:extLst>
            <a:ext uri="{FF2B5EF4-FFF2-40B4-BE49-F238E27FC236}">
              <a16:creationId xmlns:a16="http://schemas.microsoft.com/office/drawing/2014/main" id="{3110880C-4666-7605-EBF6-DEC9364DD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455689</xdr:colOff>
      <xdr:row>35</xdr:row>
      <xdr:rowOff>104922</xdr:rowOff>
    </xdr:from>
    <xdr:to>
      <xdr:col>23</xdr:col>
      <xdr:colOff>0</xdr:colOff>
      <xdr:row>50</xdr:row>
      <xdr:rowOff>191252</xdr:rowOff>
    </xdr:to>
    <xdr:graphicFrame macro="">
      <xdr:nvGraphicFramePr>
        <xdr:cNvPr id="17" name="Chart 16">
          <a:extLst>
            <a:ext uri="{FF2B5EF4-FFF2-40B4-BE49-F238E27FC236}">
              <a16:creationId xmlns:a16="http://schemas.microsoft.com/office/drawing/2014/main" id="{307C5661-7107-5FD4-755F-32476C1BB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0</xdr:colOff>
      <xdr:row>35</xdr:row>
      <xdr:rowOff>102161</xdr:rowOff>
    </xdr:from>
    <xdr:to>
      <xdr:col>27</xdr:col>
      <xdr:colOff>381190</xdr:colOff>
      <xdr:row>50</xdr:row>
      <xdr:rowOff>185673</xdr:rowOff>
    </xdr:to>
    <xdr:graphicFrame macro="">
      <xdr:nvGraphicFramePr>
        <xdr:cNvPr id="18" name="Chart 17">
          <a:extLst>
            <a:ext uri="{FF2B5EF4-FFF2-40B4-BE49-F238E27FC236}">
              <a16:creationId xmlns:a16="http://schemas.microsoft.com/office/drawing/2014/main" id="{6069D569-5116-27CD-C060-027B2593B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160972</xdr:colOff>
      <xdr:row>9</xdr:row>
      <xdr:rowOff>104775</xdr:rowOff>
    </xdr:from>
    <xdr:to>
      <xdr:col>14</xdr:col>
      <xdr:colOff>54292</xdr:colOff>
      <xdr:row>24</xdr:row>
      <xdr:rowOff>104775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2ABA738-4B97-91EE-DD94-2BC4B42F0F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215265</xdr:colOff>
      <xdr:row>103</xdr:row>
      <xdr:rowOff>139065</xdr:rowOff>
    </xdr:from>
    <xdr:to>
      <xdr:col>15</xdr:col>
      <xdr:colOff>123825</xdr:colOff>
      <xdr:row>128</xdr:row>
      <xdr:rowOff>139065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B1A8EBB-920A-C6D5-D7FC-EEF01E5E76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349567</xdr:colOff>
      <xdr:row>130</xdr:row>
      <xdr:rowOff>62865</xdr:rowOff>
    </xdr:from>
    <xdr:to>
      <xdr:col>14</xdr:col>
      <xdr:colOff>248602</xdr:colOff>
      <xdr:row>146</xdr:row>
      <xdr:rowOff>62865</xdr:rowOff>
    </xdr:to>
    <xdr:graphicFrame macro="">
      <xdr:nvGraphicFramePr>
        <xdr:cNvPr id="5" name="Chart 4">
          <a:extLst>
            <a:ext uri="{FF2B5EF4-FFF2-40B4-BE49-F238E27FC236}">
              <a16:creationId xmlns:a16="http://schemas.microsoft.com/office/drawing/2014/main" id="{D4438D7C-2D8A-8460-B4C4-B42126B66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31</xdr:col>
      <xdr:colOff>1208678</xdr:colOff>
      <xdr:row>222</xdr:row>
      <xdr:rowOff>746</xdr:rowOff>
    </xdr:from>
    <xdr:to>
      <xdr:col>39</xdr:col>
      <xdr:colOff>783049</xdr:colOff>
      <xdr:row>236</xdr:row>
      <xdr:rowOff>88250</xdr:rowOff>
    </xdr:to>
    <xdr:graphicFrame macro="">
      <xdr:nvGraphicFramePr>
        <xdr:cNvPr id="11" name="Chart 10">
          <a:extLst>
            <a:ext uri="{FF2B5EF4-FFF2-40B4-BE49-F238E27FC236}">
              <a16:creationId xmlns:a16="http://schemas.microsoft.com/office/drawing/2014/main" id="{05DD60A3-B6A3-0612-E173-D0BDED01E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791623</xdr:colOff>
      <xdr:row>221</xdr:row>
      <xdr:rowOff>180145</xdr:rowOff>
    </xdr:from>
    <xdr:to>
      <xdr:col>40</xdr:col>
      <xdr:colOff>2035772</xdr:colOff>
      <xdr:row>237</xdr:row>
      <xdr:rowOff>125259</xdr:rowOff>
    </xdr:to>
    <xdr:graphicFrame macro="">
      <xdr:nvGraphicFramePr>
        <xdr:cNvPr id="12" name="Chart 11">
          <a:extLst>
            <a:ext uri="{FF2B5EF4-FFF2-40B4-BE49-F238E27FC236}">
              <a16:creationId xmlns:a16="http://schemas.microsoft.com/office/drawing/2014/main" id="{05B413C2-70D3-FABF-C6D3-15FDE385B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140564</xdr:colOff>
      <xdr:row>221</xdr:row>
      <xdr:rowOff>172970</xdr:rowOff>
    </xdr:from>
    <xdr:to>
      <xdr:col>31</xdr:col>
      <xdr:colOff>1164049</xdr:colOff>
      <xdr:row>237</xdr:row>
      <xdr:rowOff>71904</xdr:rowOff>
    </xdr:to>
    <xdr:graphicFrame macro="">
      <xdr:nvGraphicFramePr>
        <xdr:cNvPr id="15" name="Chart 14">
          <a:extLst>
            <a:ext uri="{FF2B5EF4-FFF2-40B4-BE49-F238E27FC236}">
              <a16:creationId xmlns:a16="http://schemas.microsoft.com/office/drawing/2014/main" id="{3A345FEA-6971-5076-1C1F-6021A4123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310401</xdr:colOff>
      <xdr:row>368</xdr:row>
      <xdr:rowOff>12519</xdr:rowOff>
    </xdr:from>
    <xdr:to>
      <xdr:col>29</xdr:col>
      <xdr:colOff>230920</xdr:colOff>
      <xdr:row>383</xdr:row>
      <xdr:rowOff>179943</xdr:rowOff>
    </xdr:to>
    <xdr:graphicFrame macro="">
      <xdr:nvGraphicFramePr>
        <xdr:cNvPr id="16" name="Chart 15">
          <a:extLst>
            <a:ext uri="{FF2B5EF4-FFF2-40B4-BE49-F238E27FC236}">
              <a16:creationId xmlns:a16="http://schemas.microsoft.com/office/drawing/2014/main" id="{F4A0C43C-E210-4C06-736C-3B8BB8327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325280</xdr:colOff>
      <xdr:row>384</xdr:row>
      <xdr:rowOff>10419</xdr:rowOff>
    </xdr:from>
    <xdr:to>
      <xdr:col>29</xdr:col>
      <xdr:colOff>737151</xdr:colOff>
      <xdr:row>399</xdr:row>
      <xdr:rowOff>1397</xdr:rowOff>
    </xdr:to>
    <xdr:graphicFrame macro="">
      <xdr:nvGraphicFramePr>
        <xdr:cNvPr id="13" name="Chart 16">
          <a:extLst>
            <a:ext uri="{FF2B5EF4-FFF2-40B4-BE49-F238E27FC236}">
              <a16:creationId xmlns:a16="http://schemas.microsoft.com/office/drawing/2014/main" id="{B3ED4A64-3AE5-869B-14DA-5E6136A06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255232</xdr:colOff>
      <xdr:row>368</xdr:row>
      <xdr:rowOff>10762</xdr:rowOff>
    </xdr:from>
    <xdr:to>
      <xdr:col>31</xdr:col>
      <xdr:colOff>1792941</xdr:colOff>
      <xdr:row>383</xdr:row>
      <xdr:rowOff>179294</xdr:rowOff>
    </xdr:to>
    <xdr:graphicFrame macro="">
      <xdr:nvGraphicFramePr>
        <xdr:cNvPr id="3" name="Chart 17">
          <a:extLst>
            <a:ext uri="{FF2B5EF4-FFF2-40B4-BE49-F238E27FC236}">
              <a16:creationId xmlns:a16="http://schemas.microsoft.com/office/drawing/2014/main" id="{F3554287-BBA9-643E-02E9-CD094889B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315301</xdr:colOff>
      <xdr:row>399</xdr:row>
      <xdr:rowOff>16123</xdr:rowOff>
    </xdr:from>
    <xdr:to>
      <xdr:col>31</xdr:col>
      <xdr:colOff>1792941</xdr:colOff>
      <xdr:row>413</xdr:row>
      <xdr:rowOff>85972</xdr:rowOff>
    </xdr:to>
    <xdr:graphicFrame macro="">
      <xdr:nvGraphicFramePr>
        <xdr:cNvPr id="19" name="Chart 18">
          <a:extLst>
            <a:ext uri="{FF2B5EF4-FFF2-40B4-BE49-F238E27FC236}">
              <a16:creationId xmlns:a16="http://schemas.microsoft.com/office/drawing/2014/main" id="{D405F758-8148-B309-E222-A2E51341D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50</xdr:col>
      <xdr:colOff>1084365</xdr:colOff>
      <xdr:row>479</xdr:row>
      <xdr:rowOff>168153</xdr:rowOff>
    </xdr:from>
    <xdr:to>
      <xdr:col>52</xdr:col>
      <xdr:colOff>1689292</xdr:colOff>
      <xdr:row>493</xdr:row>
      <xdr:rowOff>113189</xdr:rowOff>
    </xdr:to>
    <xdr:graphicFrame macro="">
      <xdr:nvGraphicFramePr>
        <xdr:cNvPr id="9" name="Chart 8">
          <a:extLst>
            <a:ext uri="{FF2B5EF4-FFF2-40B4-BE49-F238E27FC236}">
              <a16:creationId xmlns:a16="http://schemas.microsoft.com/office/drawing/2014/main" id="{FA40956C-DED1-1B50-16D9-6464D8411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1751560</xdr:colOff>
      <xdr:row>479</xdr:row>
      <xdr:rowOff>129540</xdr:rowOff>
    </xdr:from>
    <xdr:to>
      <xdr:col>63</xdr:col>
      <xdr:colOff>187555</xdr:colOff>
      <xdr:row>493</xdr:row>
      <xdr:rowOff>85379</xdr:rowOff>
    </xdr:to>
    <xdr:graphicFrame macro="">
      <xdr:nvGraphicFramePr>
        <xdr:cNvPr id="10" name="Chart 9">
          <a:extLst>
            <a:ext uri="{FF2B5EF4-FFF2-40B4-BE49-F238E27FC236}">
              <a16:creationId xmlns:a16="http://schemas.microsoft.com/office/drawing/2014/main" id="{29CECB3B-1B71-F1C3-1372-AFF1B0225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1112531</xdr:colOff>
      <xdr:row>496</xdr:row>
      <xdr:rowOff>77281</xdr:rowOff>
    </xdr:from>
    <xdr:to>
      <xdr:col>52</xdr:col>
      <xdr:colOff>1688100</xdr:colOff>
      <xdr:row>509</xdr:row>
      <xdr:rowOff>169675</xdr:rowOff>
    </xdr:to>
    <xdr:graphicFrame macro="">
      <xdr:nvGraphicFramePr>
        <xdr:cNvPr id="41" name="Chart 40">
          <a:extLst>
            <a:ext uri="{FF2B5EF4-FFF2-40B4-BE49-F238E27FC236}">
              <a16:creationId xmlns:a16="http://schemas.microsoft.com/office/drawing/2014/main" id="{11044E94-6D71-0826-08D3-6AD1DEC24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1894210</xdr:colOff>
      <xdr:row>496</xdr:row>
      <xdr:rowOff>92229</xdr:rowOff>
    </xdr:from>
    <xdr:to>
      <xdr:col>63</xdr:col>
      <xdr:colOff>141770</xdr:colOff>
      <xdr:row>509</xdr:row>
      <xdr:rowOff>79665</xdr:rowOff>
    </xdr:to>
    <xdr:graphicFrame macro="">
      <xdr:nvGraphicFramePr>
        <xdr:cNvPr id="42" name="Chart 41">
          <a:extLst>
            <a:ext uri="{FF2B5EF4-FFF2-40B4-BE49-F238E27FC236}">
              <a16:creationId xmlns:a16="http://schemas.microsoft.com/office/drawing/2014/main" id="{74F7AE73-F90D-37F2-F73F-58D48D673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50</xdr:col>
      <xdr:colOff>1257299</xdr:colOff>
      <xdr:row>513</xdr:row>
      <xdr:rowOff>96982</xdr:rowOff>
    </xdr:from>
    <xdr:to>
      <xdr:col>52</xdr:col>
      <xdr:colOff>1856981</xdr:colOff>
      <xdr:row>527</xdr:row>
      <xdr:rowOff>28410</xdr:rowOff>
    </xdr:to>
    <xdr:graphicFrame macro="">
      <xdr:nvGraphicFramePr>
        <xdr:cNvPr id="6" name="Chart 5">
          <a:extLst>
            <a:ext uri="{FF2B5EF4-FFF2-40B4-BE49-F238E27FC236}">
              <a16:creationId xmlns:a16="http://schemas.microsoft.com/office/drawing/2014/main" id="{BCA4AA0E-B9D2-4053-90DB-360024249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53</xdr:col>
      <xdr:colOff>246338</xdr:colOff>
      <xdr:row>513</xdr:row>
      <xdr:rowOff>124295</xdr:rowOff>
    </xdr:from>
    <xdr:to>
      <xdr:col>63</xdr:col>
      <xdr:colOff>701460</xdr:colOff>
      <xdr:row>527</xdr:row>
      <xdr:rowOff>79935</xdr:rowOff>
    </xdr:to>
    <xdr:graphicFrame macro="">
      <xdr:nvGraphicFramePr>
        <xdr:cNvPr id="17" name="Chart 16">
          <a:extLst>
            <a:ext uri="{FF2B5EF4-FFF2-40B4-BE49-F238E27FC236}">
              <a16:creationId xmlns:a16="http://schemas.microsoft.com/office/drawing/2014/main" id="{3F81E05F-0219-4C1B-AF81-BBE2683E6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1257299</xdr:colOff>
      <xdr:row>528</xdr:row>
      <xdr:rowOff>96982</xdr:rowOff>
    </xdr:from>
    <xdr:to>
      <xdr:col>52</xdr:col>
      <xdr:colOff>1844768</xdr:colOff>
      <xdr:row>542</xdr:row>
      <xdr:rowOff>2784</xdr:rowOff>
    </xdr:to>
    <xdr:graphicFrame macro="">
      <xdr:nvGraphicFramePr>
        <xdr:cNvPr id="23" name="Chart 22">
          <a:extLst>
            <a:ext uri="{FF2B5EF4-FFF2-40B4-BE49-F238E27FC236}">
              <a16:creationId xmlns:a16="http://schemas.microsoft.com/office/drawing/2014/main" id="{EC59B7A0-0C6F-4BD6-A798-3A71A7A43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53</xdr:col>
      <xdr:colOff>398317</xdr:colOff>
      <xdr:row>529</xdr:row>
      <xdr:rowOff>96982</xdr:rowOff>
    </xdr:from>
    <xdr:to>
      <xdr:col>63</xdr:col>
      <xdr:colOff>650902</xdr:colOff>
      <xdr:row>542</xdr:row>
      <xdr:rowOff>76797</xdr:rowOff>
    </xdr:to>
    <xdr:graphicFrame macro="">
      <xdr:nvGraphicFramePr>
        <xdr:cNvPr id="25" name="Chart 24">
          <a:extLst>
            <a:ext uri="{FF2B5EF4-FFF2-40B4-BE49-F238E27FC236}">
              <a16:creationId xmlns:a16="http://schemas.microsoft.com/office/drawing/2014/main" id="{3A3FA4E7-D4D3-4F32-AE9F-461723B51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27</xdr:col>
      <xdr:colOff>453160</xdr:colOff>
      <xdr:row>223</xdr:row>
      <xdr:rowOff>16810</xdr:rowOff>
    </xdr:from>
    <xdr:to>
      <xdr:col>29</xdr:col>
      <xdr:colOff>701576</xdr:colOff>
      <xdr:row>239</xdr:row>
      <xdr:rowOff>84062</xdr:rowOff>
    </xdr:to>
    <xdr:graphicFrame macro="">
      <xdr:nvGraphicFramePr>
        <xdr:cNvPr id="20" name="Chart 13">
          <a:extLst>
            <a:ext uri="{FF2B5EF4-FFF2-40B4-BE49-F238E27FC236}">
              <a16:creationId xmlns:a16="http://schemas.microsoft.com/office/drawing/2014/main" id="{4CBCEC77-1B82-13CF-3B30-CFDDD551D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40</xdr:col>
      <xdr:colOff>2100849</xdr:colOff>
      <xdr:row>221</xdr:row>
      <xdr:rowOff>182859</xdr:rowOff>
    </xdr:from>
    <xdr:to>
      <xdr:col>44</xdr:col>
      <xdr:colOff>46658</xdr:colOff>
      <xdr:row>237</xdr:row>
      <xdr:rowOff>92644</xdr:rowOff>
    </xdr:to>
    <xdr:graphicFrame macro="">
      <xdr:nvGraphicFramePr>
        <xdr:cNvPr id="22" name="Chart 21">
          <a:extLst>
            <a:ext uri="{FF2B5EF4-FFF2-40B4-BE49-F238E27FC236}">
              <a16:creationId xmlns:a16="http://schemas.microsoft.com/office/drawing/2014/main" id="{54517CD6-2EFF-BF6B-C2A9-D273C5B2E3E4}"/>
            </a:ext>
            <a:ext uri="{147F2762-F138-4A5C-976F-8EAC2B608ADB}">
              <a16:predDERef xmlns:a16="http://schemas.microsoft.com/office/drawing/2014/main" pred="{4CBCEC77-1B82-13CF-3B30-CFDDD551D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29</xdr:col>
      <xdr:colOff>741624</xdr:colOff>
      <xdr:row>384</xdr:row>
      <xdr:rowOff>0</xdr:rowOff>
    </xdr:from>
    <xdr:to>
      <xdr:col>31</xdr:col>
      <xdr:colOff>1780761</xdr:colOff>
      <xdr:row>398</xdr:row>
      <xdr:rowOff>191666</xdr:rowOff>
    </xdr:to>
    <xdr:graphicFrame macro="">
      <xdr:nvGraphicFramePr>
        <xdr:cNvPr id="8" name="Chart 16">
          <a:extLst>
            <a:ext uri="{FF2B5EF4-FFF2-40B4-BE49-F238E27FC236}">
              <a16:creationId xmlns:a16="http://schemas.microsoft.com/office/drawing/2014/main" id="{952C02FE-04D1-47A8-B4AA-A56967045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29</xdr:col>
      <xdr:colOff>0</xdr:colOff>
      <xdr:row>415</xdr:row>
      <xdr:rowOff>0</xdr:rowOff>
    </xdr:from>
    <xdr:to>
      <xdr:col>31</xdr:col>
      <xdr:colOff>1537709</xdr:colOff>
      <xdr:row>429</xdr:row>
      <xdr:rowOff>179738</xdr:rowOff>
    </xdr:to>
    <xdr:graphicFrame macro="">
      <xdr:nvGraphicFramePr>
        <xdr:cNvPr id="14" name="Chart 13">
          <a:extLst>
            <a:ext uri="{FF2B5EF4-FFF2-40B4-BE49-F238E27FC236}">
              <a16:creationId xmlns:a16="http://schemas.microsoft.com/office/drawing/2014/main" id="{8B0B059F-2618-4F9E-A8D0-0D7725712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27</xdr:col>
      <xdr:colOff>0</xdr:colOff>
      <xdr:row>433</xdr:row>
      <xdr:rowOff>10419</xdr:rowOff>
    </xdr:from>
    <xdr:to>
      <xdr:col>30</xdr:col>
      <xdr:colOff>299812</xdr:colOff>
      <xdr:row>448</xdr:row>
      <xdr:rowOff>12604</xdr:rowOff>
    </xdr:to>
    <xdr:graphicFrame macro="">
      <xdr:nvGraphicFramePr>
        <xdr:cNvPr id="21" name="Chart 16">
          <a:extLst>
            <a:ext uri="{FF2B5EF4-FFF2-40B4-BE49-F238E27FC236}">
              <a16:creationId xmlns:a16="http://schemas.microsoft.com/office/drawing/2014/main" id="{1D7CE54B-E87C-4C5C-AE10-95AEDF2C3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30</xdr:col>
      <xdr:colOff>707697</xdr:colOff>
      <xdr:row>432</xdr:row>
      <xdr:rowOff>123265</xdr:rowOff>
    </xdr:from>
    <xdr:to>
      <xdr:col>36</xdr:col>
      <xdr:colOff>704687</xdr:colOff>
      <xdr:row>447</xdr:row>
      <xdr:rowOff>124432</xdr:rowOff>
    </xdr:to>
    <xdr:graphicFrame macro="">
      <xdr:nvGraphicFramePr>
        <xdr:cNvPr id="24" name="Chart 16">
          <a:extLst>
            <a:ext uri="{FF2B5EF4-FFF2-40B4-BE49-F238E27FC236}">
              <a16:creationId xmlns:a16="http://schemas.microsoft.com/office/drawing/2014/main" id="{56BA7780-9429-46DD-9886-825B59776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26</xdr:col>
      <xdr:colOff>395287</xdr:colOff>
      <xdr:row>294</xdr:row>
      <xdr:rowOff>133350</xdr:rowOff>
    </xdr:from>
    <xdr:to>
      <xdr:col>29</xdr:col>
      <xdr:colOff>28575</xdr:colOff>
      <xdr:row>306</xdr:row>
      <xdr:rowOff>76200</xdr:rowOff>
    </xdr:to>
    <xdr:graphicFrame macro="">
      <xdr:nvGraphicFramePr>
        <xdr:cNvPr id="26" name="Chart 25">
          <a:extLst>
            <a:ext uri="{FF2B5EF4-FFF2-40B4-BE49-F238E27FC236}">
              <a16:creationId xmlns:a16="http://schemas.microsoft.com/office/drawing/2014/main" id="{D42163D2-0CEB-782A-9987-8F4390285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26</xdr:col>
      <xdr:colOff>417529</xdr:colOff>
      <xdr:row>306</xdr:row>
      <xdr:rowOff>114299</xdr:rowOff>
    </xdr:from>
    <xdr:to>
      <xdr:col>28</xdr:col>
      <xdr:colOff>1849605</xdr:colOff>
      <xdr:row>321</xdr:row>
      <xdr:rowOff>179218</xdr:rowOff>
    </xdr:to>
    <xdr:graphicFrame macro="">
      <xdr:nvGraphicFramePr>
        <xdr:cNvPr id="29" name="Chart 28">
          <a:extLst>
            <a:ext uri="{FF2B5EF4-FFF2-40B4-BE49-F238E27FC236}">
              <a16:creationId xmlns:a16="http://schemas.microsoft.com/office/drawing/2014/main" id="{F6F5B84D-138E-4CD4-9D3D-6E14A627F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26</xdr:col>
      <xdr:colOff>740703</xdr:colOff>
      <xdr:row>241</xdr:row>
      <xdr:rowOff>44824</xdr:rowOff>
    </xdr:from>
    <xdr:to>
      <xdr:col>28</xdr:col>
      <xdr:colOff>1506494</xdr:colOff>
      <xdr:row>253</xdr:row>
      <xdr:rowOff>63556</xdr:rowOff>
    </xdr:to>
    <xdr:graphicFrame macro="">
      <xdr:nvGraphicFramePr>
        <xdr:cNvPr id="38" name="Chart 13">
          <a:extLst>
            <a:ext uri="{FF2B5EF4-FFF2-40B4-BE49-F238E27FC236}">
              <a16:creationId xmlns:a16="http://schemas.microsoft.com/office/drawing/2014/main" id="{911205A7-61AA-4CDB-B333-80E2CAC40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39</xdr:col>
      <xdr:colOff>273411</xdr:colOff>
      <xdr:row>262</xdr:row>
      <xdr:rowOff>100853</xdr:rowOff>
    </xdr:from>
    <xdr:to>
      <xdr:col>40</xdr:col>
      <xdr:colOff>2622177</xdr:colOff>
      <xdr:row>292</xdr:row>
      <xdr:rowOff>0</xdr:rowOff>
    </xdr:to>
    <xdr:graphicFrame macro="">
      <xdr:nvGraphicFramePr>
        <xdr:cNvPr id="40" name="Chart 39">
          <a:extLst>
            <a:ext uri="{FF2B5EF4-FFF2-40B4-BE49-F238E27FC236}">
              <a16:creationId xmlns:a16="http://schemas.microsoft.com/office/drawing/2014/main" id="{F403D1F1-D439-8E27-5FEF-B1923C074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225</xdr:row>
      <xdr:rowOff>75021</xdr:rowOff>
    </xdr:from>
    <xdr:to>
      <xdr:col>1</xdr:col>
      <xdr:colOff>585786</xdr:colOff>
      <xdr:row>242</xdr:row>
      <xdr:rowOff>51254</xdr:rowOff>
    </xdr:to>
    <xdr:graphicFrame macro="">
      <xdr:nvGraphicFramePr>
        <xdr:cNvPr id="45" name="Chart 44">
          <a:extLst>
            <a:ext uri="{FF2B5EF4-FFF2-40B4-BE49-F238E27FC236}">
              <a16:creationId xmlns:a16="http://schemas.microsoft.com/office/drawing/2014/main" id="{6BE2E198-8D55-E444-AE75-579617A84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31</xdr:col>
      <xdr:colOff>1237466</xdr:colOff>
      <xdr:row>263</xdr:row>
      <xdr:rowOff>100853</xdr:rowOff>
    </xdr:from>
    <xdr:to>
      <xdr:col>39</xdr:col>
      <xdr:colOff>112059</xdr:colOff>
      <xdr:row>292</xdr:row>
      <xdr:rowOff>0</xdr:rowOff>
    </xdr:to>
    <xdr:graphicFrame macro="">
      <xdr:nvGraphicFramePr>
        <xdr:cNvPr id="47" name="Chart 46">
          <a:extLst>
            <a:ext uri="{FF2B5EF4-FFF2-40B4-BE49-F238E27FC236}">
              <a16:creationId xmlns:a16="http://schemas.microsoft.com/office/drawing/2014/main" id="{E84ADE74-BF33-B71D-4369-EFBBE8E2C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26</xdr:col>
      <xdr:colOff>737234</xdr:colOff>
      <xdr:row>253</xdr:row>
      <xdr:rowOff>160020</xdr:rowOff>
    </xdr:from>
    <xdr:to>
      <xdr:col>28</xdr:col>
      <xdr:colOff>196691</xdr:colOff>
      <xdr:row>270</xdr:row>
      <xdr:rowOff>114300</xdr:rowOff>
    </xdr:to>
    <mc:AlternateContent xmlns:mc="http://schemas.openxmlformats.org/markup-compatibility/2006">
      <mc:Choice xmlns:cx1="http://schemas.microsoft.com/office/drawing/2015/9/8/chartex" Requires="cx1">
        <xdr:graphicFrame macro="">
          <xdr:nvGraphicFramePr>
            <xdr:cNvPr id="48" name="Chart 47">
              <a:extLst>
                <a:ext uri="{FF2B5EF4-FFF2-40B4-BE49-F238E27FC236}">
                  <a16:creationId xmlns:a16="http://schemas.microsoft.com/office/drawing/2014/main" id="{9F7FCE09-9182-292F-527F-6F7D137F482D}"/>
                </a:ext>
                <a:ext uri="{147F2762-F138-4A5C-976F-8EAC2B608ADB}">
                  <a16:predDERef xmlns:a16="http://schemas.microsoft.com/office/drawing/2014/main" pred="{E84ADE74-BF33-B71D-4369-EFBBE8E2C8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31</xdr:col>
      <xdr:colOff>1206009</xdr:colOff>
      <xdr:row>236</xdr:row>
      <xdr:rowOff>87404</xdr:rowOff>
    </xdr:from>
    <xdr:to>
      <xdr:col>39</xdr:col>
      <xdr:colOff>783537</xdr:colOff>
      <xdr:row>249</xdr:row>
      <xdr:rowOff>164288</xdr:rowOff>
    </xdr:to>
    <xdr:graphicFrame macro="">
      <xdr:nvGraphicFramePr>
        <xdr:cNvPr id="2" name="Chart 1">
          <a:extLst>
            <a:ext uri="{FF2B5EF4-FFF2-40B4-BE49-F238E27FC236}">
              <a16:creationId xmlns:a16="http://schemas.microsoft.com/office/drawing/2014/main" id="{3CAD9215-456F-45B9-8D7C-436ED8616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28</xdr:col>
      <xdr:colOff>1603556</xdr:colOff>
      <xdr:row>240</xdr:row>
      <xdr:rowOff>168089</xdr:rowOff>
    </xdr:from>
    <xdr:to>
      <xdr:col>30</xdr:col>
      <xdr:colOff>2066788</xdr:colOff>
      <xdr:row>250</xdr:row>
      <xdr:rowOff>0</xdr:rowOff>
    </xdr:to>
    <xdr:graphicFrame macro="">
      <xdr:nvGraphicFramePr>
        <xdr:cNvPr id="7" name="Chart 13">
          <a:extLst>
            <a:ext uri="{FF2B5EF4-FFF2-40B4-BE49-F238E27FC236}">
              <a16:creationId xmlns:a16="http://schemas.microsoft.com/office/drawing/2014/main" id="{9C787A99-C817-4A9D-9C8C-8D44901A7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617764</xdr:colOff>
      <xdr:row>1</xdr:row>
      <xdr:rowOff>87086</xdr:rowOff>
    </xdr:from>
    <xdr:to>
      <xdr:col>11</xdr:col>
      <xdr:colOff>174172</xdr:colOff>
      <xdr:row>21</xdr:row>
      <xdr:rowOff>146958</xdr:rowOff>
    </xdr:to>
    <xdr:graphicFrame macro="">
      <xdr:nvGraphicFramePr>
        <xdr:cNvPr id="3" name="Chart 2">
          <a:extLst>
            <a:ext uri="{FF2B5EF4-FFF2-40B4-BE49-F238E27FC236}">
              <a16:creationId xmlns:a16="http://schemas.microsoft.com/office/drawing/2014/main" id="{BCC0A431-B000-8166-30E1-18E04B853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315551</xdr:colOff>
      <xdr:row>42</xdr:row>
      <xdr:rowOff>120398</xdr:rowOff>
    </xdr:from>
    <xdr:to>
      <xdr:col>12</xdr:col>
      <xdr:colOff>530678</xdr:colOff>
      <xdr:row>56</xdr:row>
      <xdr:rowOff>81643</xdr:rowOff>
    </xdr:to>
    <xdr:graphicFrame macro="">
      <xdr:nvGraphicFramePr>
        <xdr:cNvPr id="5" name="Chart 4">
          <a:extLst>
            <a:ext uri="{FF2B5EF4-FFF2-40B4-BE49-F238E27FC236}">
              <a16:creationId xmlns:a16="http://schemas.microsoft.com/office/drawing/2014/main" id="{782209FA-7E4C-7058-E21A-C1AD3AB5B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6152</xdr:colOff>
      <xdr:row>42</xdr:row>
      <xdr:rowOff>155239</xdr:rowOff>
    </xdr:from>
    <xdr:to>
      <xdr:col>19</xdr:col>
      <xdr:colOff>262914</xdr:colOff>
      <xdr:row>56</xdr:row>
      <xdr:rowOff>68035</xdr:rowOff>
    </xdr:to>
    <xdr:graphicFrame macro="">
      <xdr:nvGraphicFramePr>
        <xdr:cNvPr id="10" name="Chart 9">
          <a:extLst>
            <a:ext uri="{FF2B5EF4-FFF2-40B4-BE49-F238E27FC236}">
              <a16:creationId xmlns:a16="http://schemas.microsoft.com/office/drawing/2014/main" id="{758B5FF6-AA28-889A-9224-09723759A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203338</xdr:colOff>
      <xdr:row>1</xdr:row>
      <xdr:rowOff>104360</xdr:rowOff>
    </xdr:from>
    <xdr:to>
      <xdr:col>16</xdr:col>
      <xdr:colOff>447203</xdr:colOff>
      <xdr:row>21</xdr:row>
      <xdr:rowOff>164232</xdr:rowOff>
    </xdr:to>
    <xdr:graphicFrame macro="">
      <xdr:nvGraphicFramePr>
        <xdr:cNvPr id="11" name="Chart 10">
          <a:extLst>
            <a:ext uri="{FF2B5EF4-FFF2-40B4-BE49-F238E27FC236}">
              <a16:creationId xmlns:a16="http://schemas.microsoft.com/office/drawing/2014/main" id="{E36965B2-5248-4D10-A0C8-55EC99EF6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590550</xdr:colOff>
      <xdr:row>22</xdr:row>
      <xdr:rowOff>142875</xdr:rowOff>
    </xdr:from>
    <xdr:to>
      <xdr:col>19</xdr:col>
      <xdr:colOff>361950</xdr:colOff>
      <xdr:row>41</xdr:row>
      <xdr:rowOff>142875</xdr:rowOff>
    </xdr:to>
    <xdr:graphicFrame macro="">
      <xdr:nvGraphicFramePr>
        <xdr:cNvPr id="12" name="Chart 11">
          <a:extLst>
            <a:ext uri="{FF2B5EF4-FFF2-40B4-BE49-F238E27FC236}">
              <a16:creationId xmlns:a16="http://schemas.microsoft.com/office/drawing/2014/main" id="{4EF297DC-A39B-D57F-68A8-1655A763C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581025</xdr:colOff>
      <xdr:row>22</xdr:row>
      <xdr:rowOff>104775</xdr:rowOff>
    </xdr:from>
    <xdr:to>
      <xdr:col>12</xdr:col>
      <xdr:colOff>352425</xdr:colOff>
      <xdr:row>41</xdr:row>
      <xdr:rowOff>104775</xdr:rowOff>
    </xdr:to>
    <xdr:graphicFrame macro="">
      <xdr:nvGraphicFramePr>
        <xdr:cNvPr id="13" name="Chart 12">
          <a:extLst>
            <a:ext uri="{FF2B5EF4-FFF2-40B4-BE49-F238E27FC236}">
              <a16:creationId xmlns:a16="http://schemas.microsoft.com/office/drawing/2014/main" id="{C6C3DAA7-09BA-700A-E9F1-E983525B1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571500</xdr:colOff>
      <xdr:row>1</xdr:row>
      <xdr:rowOff>126289</xdr:rowOff>
    </xdr:from>
    <xdr:to>
      <xdr:col>23</xdr:col>
      <xdr:colOff>435125</xdr:colOff>
      <xdr:row>16</xdr:row>
      <xdr:rowOff>161251</xdr:rowOff>
    </xdr:to>
    <xdr:graphicFrame macro="">
      <xdr:nvGraphicFramePr>
        <xdr:cNvPr id="2" name="Chart 1">
          <a:extLst>
            <a:ext uri="{FF2B5EF4-FFF2-40B4-BE49-F238E27FC236}">
              <a16:creationId xmlns:a16="http://schemas.microsoft.com/office/drawing/2014/main" id="{71E5B395-B7E4-12C8-2FD6-B03301098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585108</xdr:colOff>
      <xdr:row>17</xdr:row>
      <xdr:rowOff>40821</xdr:rowOff>
    </xdr:from>
    <xdr:to>
      <xdr:col>26</xdr:col>
      <xdr:colOff>460051</xdr:colOff>
      <xdr:row>32</xdr:row>
      <xdr:rowOff>71973</xdr:rowOff>
    </xdr:to>
    <xdr:graphicFrame macro="">
      <xdr:nvGraphicFramePr>
        <xdr:cNvPr id="4" name="Chart 3">
          <a:extLst>
            <a:ext uri="{FF2B5EF4-FFF2-40B4-BE49-F238E27FC236}">
              <a16:creationId xmlns:a16="http://schemas.microsoft.com/office/drawing/2014/main" id="{3E517187-B678-4816-A884-1CA55EE3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557149</xdr:colOff>
      <xdr:row>61</xdr:row>
      <xdr:rowOff>174976</xdr:rowOff>
    </xdr:from>
    <xdr:to>
      <xdr:col>33</xdr:col>
      <xdr:colOff>598497</xdr:colOff>
      <xdr:row>76</xdr:row>
      <xdr:rowOff>119355</xdr:rowOff>
    </xdr:to>
    <xdr:graphicFrame macro="">
      <xdr:nvGraphicFramePr>
        <xdr:cNvPr id="3" name="Chart 2">
          <a:extLst>
            <a:ext uri="{FF2B5EF4-FFF2-40B4-BE49-F238E27FC236}">
              <a16:creationId xmlns:a16="http://schemas.microsoft.com/office/drawing/2014/main" id="{A431271F-89FB-2692-F4DF-E6C0C2124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3943</xdr:colOff>
      <xdr:row>81</xdr:row>
      <xdr:rowOff>147105</xdr:rowOff>
    </xdr:from>
    <xdr:to>
      <xdr:col>34</xdr:col>
      <xdr:colOff>209724</xdr:colOff>
      <xdr:row>98</xdr:row>
      <xdr:rowOff>97249</xdr:rowOff>
    </xdr:to>
    <xdr:graphicFrame macro="">
      <xdr:nvGraphicFramePr>
        <xdr:cNvPr id="2" name="Chart 1">
          <a:extLst>
            <a:ext uri="{FF2B5EF4-FFF2-40B4-BE49-F238E27FC236}">
              <a16:creationId xmlns:a16="http://schemas.microsoft.com/office/drawing/2014/main" id="{93BE42FF-3A00-4E0E-A13E-C53B0E18B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475268</xdr:colOff>
      <xdr:row>27</xdr:row>
      <xdr:rowOff>141588</xdr:rowOff>
    </xdr:from>
    <xdr:to>
      <xdr:col>5</xdr:col>
      <xdr:colOff>1700753</xdr:colOff>
      <xdr:row>50</xdr:row>
      <xdr:rowOff>59703</xdr:rowOff>
    </xdr:to>
    <xdr:graphicFrame macro="">
      <xdr:nvGraphicFramePr>
        <xdr:cNvPr id="5" name="Chart 4">
          <a:extLst>
            <a:ext uri="{FF2B5EF4-FFF2-40B4-BE49-F238E27FC236}">
              <a16:creationId xmlns:a16="http://schemas.microsoft.com/office/drawing/2014/main" id="{8BA54A5D-65BB-FB11-9418-F7A8DBC77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478574</xdr:colOff>
      <xdr:row>27</xdr:row>
      <xdr:rowOff>90101</xdr:rowOff>
    </xdr:from>
    <xdr:to>
      <xdr:col>13</xdr:col>
      <xdr:colOff>1426428</xdr:colOff>
      <xdr:row>49</xdr:row>
      <xdr:rowOff>89210</xdr:rowOff>
    </xdr:to>
    <xdr:graphicFrame macro="">
      <xdr:nvGraphicFramePr>
        <xdr:cNvPr id="7" name="Chart 6">
          <a:extLst>
            <a:ext uri="{FF2B5EF4-FFF2-40B4-BE49-F238E27FC236}">
              <a16:creationId xmlns:a16="http://schemas.microsoft.com/office/drawing/2014/main" id="{D3AF5EDD-0FBD-C39C-D318-7BEB97D64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67236</xdr:colOff>
      <xdr:row>70</xdr:row>
      <xdr:rowOff>67235</xdr:rowOff>
    </xdr:from>
    <xdr:to>
      <xdr:col>10</xdr:col>
      <xdr:colOff>762001</xdr:colOff>
      <xdr:row>81</xdr:row>
      <xdr:rowOff>99731</xdr:rowOff>
    </xdr:to>
    <xdr:graphicFrame macro="">
      <xdr:nvGraphicFramePr>
        <xdr:cNvPr id="20" name="Chart 19">
          <a:extLst>
            <a:ext uri="{FF2B5EF4-FFF2-40B4-BE49-F238E27FC236}">
              <a16:creationId xmlns:a16="http://schemas.microsoft.com/office/drawing/2014/main" id="{E305B6C5-DBCB-4DCE-9A24-671602534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313765</xdr:colOff>
      <xdr:row>57</xdr:row>
      <xdr:rowOff>125506</xdr:rowOff>
    </xdr:from>
    <xdr:to>
      <xdr:col>10</xdr:col>
      <xdr:colOff>1512794</xdr:colOff>
      <xdr:row>69</xdr:row>
      <xdr:rowOff>66113</xdr:rowOff>
    </xdr:to>
    <xdr:graphicFrame macro="">
      <xdr:nvGraphicFramePr>
        <xdr:cNvPr id="21" name="Chart 20">
          <a:extLst>
            <a:ext uri="{FF2B5EF4-FFF2-40B4-BE49-F238E27FC236}">
              <a16:creationId xmlns:a16="http://schemas.microsoft.com/office/drawing/2014/main" id="{C40B07F2-52EC-1F18-2CB7-EDFAEBAA5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285385</xdr:colOff>
      <xdr:row>82</xdr:row>
      <xdr:rowOff>118866</xdr:rowOff>
    </xdr:from>
    <xdr:to>
      <xdr:col>9</xdr:col>
      <xdr:colOff>503100</xdr:colOff>
      <xdr:row>102</xdr:row>
      <xdr:rowOff>10186</xdr:rowOff>
    </xdr:to>
    <xdr:graphicFrame macro="">
      <xdr:nvGraphicFramePr>
        <xdr:cNvPr id="22" name="Chart 21">
          <a:extLst>
            <a:ext uri="{FF2B5EF4-FFF2-40B4-BE49-F238E27FC236}">
              <a16:creationId xmlns:a16="http://schemas.microsoft.com/office/drawing/2014/main" id="{876C6B37-879A-5B1E-3EBF-3A99FCAAE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232091</xdr:colOff>
      <xdr:row>40</xdr:row>
      <xdr:rowOff>143774</xdr:rowOff>
    </xdr:from>
    <xdr:to>
      <xdr:col>9</xdr:col>
      <xdr:colOff>745128</xdr:colOff>
      <xdr:row>56</xdr:row>
      <xdr:rowOff>76669</xdr:rowOff>
    </xdr:to>
    <xdr:graphicFrame macro="">
      <xdr:nvGraphicFramePr>
        <xdr:cNvPr id="2" name="Chart 1">
          <a:extLst>
            <a:ext uri="{FF2B5EF4-FFF2-40B4-BE49-F238E27FC236}">
              <a16:creationId xmlns:a16="http://schemas.microsoft.com/office/drawing/2014/main" id="{96FDCE3F-0642-4B76-880D-3D0824989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862642</xdr:colOff>
      <xdr:row>41</xdr:row>
      <xdr:rowOff>2</xdr:rowOff>
    </xdr:from>
    <xdr:to>
      <xdr:col>17</xdr:col>
      <xdr:colOff>1803405</xdr:colOff>
      <xdr:row>56</xdr:row>
      <xdr:rowOff>71887</xdr:rowOff>
    </xdr:to>
    <xdr:graphicFrame macro="">
      <xdr:nvGraphicFramePr>
        <xdr:cNvPr id="3" name="Chart 2">
          <a:extLst>
            <a:ext uri="{FF2B5EF4-FFF2-40B4-BE49-F238E27FC236}">
              <a16:creationId xmlns:a16="http://schemas.microsoft.com/office/drawing/2014/main" id="{CE5F83C1-9AAE-486B-A72A-925315033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1377677</xdr:colOff>
      <xdr:row>103</xdr:row>
      <xdr:rowOff>22678</xdr:rowOff>
    </xdr:from>
    <xdr:to>
      <xdr:col>10</xdr:col>
      <xdr:colOff>595721</xdr:colOff>
      <xdr:row>122</xdr:row>
      <xdr:rowOff>78372</xdr:rowOff>
    </xdr:to>
    <xdr:graphicFrame macro="">
      <xdr:nvGraphicFramePr>
        <xdr:cNvPr id="4" name="Chart 3">
          <a:extLst>
            <a:ext uri="{FF2B5EF4-FFF2-40B4-BE49-F238E27FC236}">
              <a16:creationId xmlns:a16="http://schemas.microsoft.com/office/drawing/2014/main" id="{ECD656F8-9B4B-492D-8123-096EE310C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1362619</xdr:colOff>
      <xdr:row>122</xdr:row>
      <xdr:rowOff>79375</xdr:rowOff>
    </xdr:from>
    <xdr:to>
      <xdr:col>10</xdr:col>
      <xdr:colOff>582568</xdr:colOff>
      <xdr:row>141</xdr:row>
      <xdr:rowOff>135068</xdr:rowOff>
    </xdr:to>
    <xdr:graphicFrame macro="">
      <xdr:nvGraphicFramePr>
        <xdr:cNvPr id="5" name="Chart 4">
          <a:extLst>
            <a:ext uri="{FF2B5EF4-FFF2-40B4-BE49-F238E27FC236}">
              <a16:creationId xmlns:a16="http://schemas.microsoft.com/office/drawing/2014/main" id="{226AB529-0CD4-4D0D-8181-7B1447F23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734060</xdr:colOff>
      <xdr:row>102</xdr:row>
      <xdr:rowOff>45359</xdr:rowOff>
    </xdr:from>
    <xdr:to>
      <xdr:col>14</xdr:col>
      <xdr:colOff>853440</xdr:colOff>
      <xdr:row>108</xdr:row>
      <xdr:rowOff>139383</xdr:rowOff>
    </xdr:to>
    <xdr:graphicFrame macro="">
      <xdr:nvGraphicFramePr>
        <xdr:cNvPr id="6" name="Chart 5">
          <a:extLst>
            <a:ext uri="{FF2B5EF4-FFF2-40B4-BE49-F238E27FC236}">
              <a16:creationId xmlns:a16="http://schemas.microsoft.com/office/drawing/2014/main" id="{9693533B-A73B-FEFD-62A4-477775C39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320773</xdr:colOff>
      <xdr:row>15</xdr:row>
      <xdr:rowOff>134376</xdr:rowOff>
    </xdr:from>
    <xdr:to>
      <xdr:col>15</xdr:col>
      <xdr:colOff>36635</xdr:colOff>
      <xdr:row>39</xdr:row>
      <xdr:rowOff>8939</xdr:rowOff>
    </xdr:to>
    <xdr:graphicFrame macro="">
      <xdr:nvGraphicFramePr>
        <xdr:cNvPr id="2" name="Chart 1">
          <a:extLst>
            <a:ext uri="{FF2B5EF4-FFF2-40B4-BE49-F238E27FC236}">
              <a16:creationId xmlns:a16="http://schemas.microsoft.com/office/drawing/2014/main" id="{3634B6DE-B150-C27B-E465-8311DBE4A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336745</xdr:colOff>
      <xdr:row>39</xdr:row>
      <xdr:rowOff>33118</xdr:rowOff>
    </xdr:from>
    <xdr:to>
      <xdr:col>15</xdr:col>
      <xdr:colOff>51288</xdr:colOff>
      <xdr:row>45</xdr:row>
      <xdr:rowOff>64037</xdr:rowOff>
    </xdr:to>
    <xdr:graphicFrame macro="">
      <xdr:nvGraphicFramePr>
        <xdr:cNvPr id="3" name="Chart 2">
          <a:extLst>
            <a:ext uri="{FF2B5EF4-FFF2-40B4-BE49-F238E27FC236}">
              <a16:creationId xmlns:a16="http://schemas.microsoft.com/office/drawing/2014/main" id="{5FC230B3-BF27-89AC-A356-920EFB313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629857</xdr:colOff>
      <xdr:row>5</xdr:row>
      <xdr:rowOff>136326</xdr:rowOff>
    </xdr:from>
    <xdr:to>
      <xdr:col>31</xdr:col>
      <xdr:colOff>542171</xdr:colOff>
      <xdr:row>50</xdr:row>
      <xdr:rowOff>1819</xdr:rowOff>
    </xdr:to>
    <xdr:graphicFrame macro="">
      <xdr:nvGraphicFramePr>
        <xdr:cNvPr id="2" name="Chart 1">
          <a:extLst>
            <a:ext uri="{FF2B5EF4-FFF2-40B4-BE49-F238E27FC236}">
              <a16:creationId xmlns:a16="http://schemas.microsoft.com/office/drawing/2014/main" id="{6A50F659-EF93-43C1-8C46-18868BD43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635180</xdr:colOff>
      <xdr:row>50</xdr:row>
      <xdr:rowOff>13277</xdr:rowOff>
    </xdr:from>
    <xdr:to>
      <xdr:col>31</xdr:col>
      <xdr:colOff>558844</xdr:colOff>
      <xdr:row>66</xdr:row>
      <xdr:rowOff>68035</xdr:rowOff>
    </xdr:to>
    <xdr:graphicFrame macro="">
      <xdr:nvGraphicFramePr>
        <xdr:cNvPr id="3" name="Chart 2">
          <a:extLst>
            <a:ext uri="{FF2B5EF4-FFF2-40B4-BE49-F238E27FC236}">
              <a16:creationId xmlns:a16="http://schemas.microsoft.com/office/drawing/2014/main" id="{0FC213D4-B943-49A0-AFA3-D976D5AED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650012</xdr:colOff>
      <xdr:row>66</xdr:row>
      <xdr:rowOff>88312</xdr:rowOff>
    </xdr:from>
    <xdr:to>
      <xdr:col>31</xdr:col>
      <xdr:colOff>566600</xdr:colOff>
      <xdr:row>82</xdr:row>
      <xdr:rowOff>146891</xdr:rowOff>
    </xdr:to>
    <xdr:graphicFrame macro="">
      <xdr:nvGraphicFramePr>
        <xdr:cNvPr id="4" name="Chart 3">
          <a:extLst>
            <a:ext uri="{FF2B5EF4-FFF2-40B4-BE49-F238E27FC236}">
              <a16:creationId xmlns:a16="http://schemas.microsoft.com/office/drawing/2014/main" id="{557E9671-FD1D-433C-8D5F-3CC7C1FE3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590134</xdr:colOff>
      <xdr:row>50</xdr:row>
      <xdr:rowOff>8900</xdr:rowOff>
    </xdr:from>
    <xdr:to>
      <xdr:col>42</xdr:col>
      <xdr:colOff>489855</xdr:colOff>
      <xdr:row>66</xdr:row>
      <xdr:rowOff>66563</xdr:rowOff>
    </xdr:to>
    <xdr:graphicFrame macro="">
      <xdr:nvGraphicFramePr>
        <xdr:cNvPr id="5" name="Chart 4">
          <a:extLst>
            <a:ext uri="{FF2B5EF4-FFF2-40B4-BE49-F238E27FC236}">
              <a16:creationId xmlns:a16="http://schemas.microsoft.com/office/drawing/2014/main" id="{6C0E7A1A-9BAF-4C57-979A-B2CED16E9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175848</xdr:colOff>
      <xdr:row>57</xdr:row>
      <xdr:rowOff>163389</xdr:rowOff>
    </xdr:from>
    <xdr:to>
      <xdr:col>10</xdr:col>
      <xdr:colOff>1300384</xdr:colOff>
      <xdr:row>68</xdr:row>
      <xdr:rowOff>77078</xdr:rowOff>
    </xdr:to>
    <xdr:graphicFrame macro="">
      <xdr:nvGraphicFramePr>
        <xdr:cNvPr id="6" name="Chart 5">
          <a:extLst>
            <a:ext uri="{FF2B5EF4-FFF2-40B4-BE49-F238E27FC236}">
              <a16:creationId xmlns:a16="http://schemas.microsoft.com/office/drawing/2014/main" id="{CD97A64C-C409-43C0-ADBF-83A330B9A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234461</xdr:colOff>
      <xdr:row>83</xdr:row>
      <xdr:rowOff>153866</xdr:rowOff>
    </xdr:from>
    <xdr:to>
      <xdr:col>20</xdr:col>
      <xdr:colOff>24587</xdr:colOff>
      <xdr:row>99</xdr:row>
      <xdr:rowOff>23557</xdr:rowOff>
    </xdr:to>
    <xdr:graphicFrame macro="">
      <xdr:nvGraphicFramePr>
        <xdr:cNvPr id="7" name="Chart 6">
          <a:extLst>
            <a:ext uri="{FF2B5EF4-FFF2-40B4-BE49-F238E27FC236}">
              <a16:creationId xmlns:a16="http://schemas.microsoft.com/office/drawing/2014/main" id="{4F869D59-9FB8-4299-930A-B3D1821E2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185369</xdr:colOff>
      <xdr:row>88</xdr:row>
      <xdr:rowOff>45427</xdr:rowOff>
    </xdr:from>
    <xdr:to>
      <xdr:col>5</xdr:col>
      <xdr:colOff>1583348</xdr:colOff>
      <xdr:row>103</xdr:row>
      <xdr:rowOff>33704</xdr:rowOff>
    </xdr:to>
    <xdr:graphicFrame macro="">
      <xdr:nvGraphicFramePr>
        <xdr:cNvPr id="8" name="Chart 7">
          <a:extLst>
            <a:ext uri="{FF2B5EF4-FFF2-40B4-BE49-F238E27FC236}">
              <a16:creationId xmlns:a16="http://schemas.microsoft.com/office/drawing/2014/main" id="{E0993C6C-D31A-4413-93BE-DA2FAAA78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1462087</xdr:colOff>
      <xdr:row>58</xdr:row>
      <xdr:rowOff>95250</xdr:rowOff>
    </xdr:from>
    <xdr:to>
      <xdr:col>15</xdr:col>
      <xdr:colOff>157162</xdr:colOff>
      <xdr:row>73</xdr:row>
      <xdr:rowOff>95250</xdr:rowOff>
    </xdr:to>
    <xdr:graphicFrame macro="">
      <xdr:nvGraphicFramePr>
        <xdr:cNvPr id="9" name="Chart 8">
          <a:extLst>
            <a:ext uri="{FF2B5EF4-FFF2-40B4-BE49-F238E27FC236}">
              <a16:creationId xmlns:a16="http://schemas.microsoft.com/office/drawing/2014/main" id="{A269059A-8668-469D-9F39-EE2FBEC6C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228600</xdr:colOff>
      <xdr:row>104</xdr:row>
      <xdr:rowOff>0</xdr:rowOff>
    </xdr:from>
    <xdr:to>
      <xdr:col>5</xdr:col>
      <xdr:colOff>1543050</xdr:colOff>
      <xdr:row>112</xdr:row>
      <xdr:rowOff>14288</xdr:rowOff>
    </xdr:to>
    <xdr:graphicFrame macro="">
      <xdr:nvGraphicFramePr>
        <xdr:cNvPr id="10" name="Chart 9">
          <a:extLst>
            <a:ext uri="{FF2B5EF4-FFF2-40B4-BE49-F238E27FC236}">
              <a16:creationId xmlns:a16="http://schemas.microsoft.com/office/drawing/2014/main" id="{1A344E45-04ED-426F-A755-1B7F2DF19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123824</xdr:colOff>
      <xdr:row>113</xdr:row>
      <xdr:rowOff>7143</xdr:rowOff>
    </xdr:from>
    <xdr:to>
      <xdr:col>8</xdr:col>
      <xdr:colOff>619124</xdr:colOff>
      <xdr:row>128</xdr:row>
      <xdr:rowOff>35718</xdr:rowOff>
    </xdr:to>
    <xdr:graphicFrame macro="">
      <xdr:nvGraphicFramePr>
        <xdr:cNvPr id="11" name="Chart 10">
          <a:extLst>
            <a:ext uri="{FF2B5EF4-FFF2-40B4-BE49-F238E27FC236}">
              <a16:creationId xmlns:a16="http://schemas.microsoft.com/office/drawing/2014/main" id="{8F0FF9DE-4CBB-4CFD-A8C9-111E10920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590723</xdr:colOff>
      <xdr:row>2</xdr:row>
      <xdr:rowOff>76372</xdr:rowOff>
    </xdr:from>
    <xdr:to>
      <xdr:col>10</xdr:col>
      <xdr:colOff>363682</xdr:colOff>
      <xdr:row>42</xdr:row>
      <xdr:rowOff>0</xdr:rowOff>
    </xdr:to>
    <xdr:graphicFrame macro="">
      <xdr:nvGraphicFramePr>
        <xdr:cNvPr id="2" name="Chart 1">
          <a:extLst>
            <a:ext uri="{FF2B5EF4-FFF2-40B4-BE49-F238E27FC236}">
              <a16:creationId xmlns:a16="http://schemas.microsoft.com/office/drawing/2014/main" id="{B1874901-0E34-6409-5786-93FCA3B8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faropointinvestments1067703.sharepoint.com/sites/Finance/Shared%20Documents/General/Finance/Corporate%20Finance/Data%20Flow%20Project/Performance%20Table/2024%20Q3/Performance%20Table%20Test/Performance%20Table%20-%20Asset%20Level%20Q3%202024%20v3.xlsx" TargetMode="External"/><Relationship Id="rId2" Type="http://schemas.microsoft.com/office/2019/04/relationships/externalLinkLongPath" Target="/sites/Finance/Shared%20Documents/General/Finance/Corporate%20Finance/Data%20Flow%20Project/Performance%20Table/2024%20Q3/Performance%20Table%20Test/Performance%20Table%20-%20Asset%20Level%20Q3%202024%20v3.xlsx?22F71C34" TargetMode="External"/><Relationship Id="rId1" Type="http://schemas.openxmlformats.org/officeDocument/2006/relationships/externalLinkPath" Target="file:///\\22F71C34\Performance%20Table%20-%20Asset%20Level%20Q3%202024%20v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VandanaVishnubhotla\Downloads\ySQL_0_24102024094604.csv" TargetMode="External"/><Relationship Id="rId1" Type="http://schemas.openxmlformats.org/officeDocument/2006/relationships/externalLinkPath" Target="file:///C:\Users\VandanaVishnubhotla\Downloads\ySQL_0_24102024094604.csv" TargetMode="External"/></Relationships>
</file>

<file path=xl/externalLinks/_rels/externalLink3.xml.rels><?xml version="1.0" encoding="UTF-8" standalone="yes"?>
<Relationships xmlns="http://schemas.openxmlformats.org/package/2006/relationships"><Relationship Id="rId3" Type="http://schemas.openxmlformats.org/officeDocument/2006/relationships/externalLinkPath" Target="https://faropointinvestments1067703.sharepoint.com/sites/Investments-Investments-CorporateAssetManagement/Shared%20Documents/Corporate%20Asset%20Management/Asset%20Management/Valuations/8.%202Q24_JLL/Valuations%20Tracker_Q2%202024_v1_BACKUP.xlsx" TargetMode="External"/><Relationship Id="rId2" Type="http://schemas.microsoft.com/office/2019/04/relationships/externalLinkLongPath" Target="/sites/Investments-Investments-CorporateAssetManagement/Shared%20Documents/Corporate%20Asset%20Management/Asset%20Management/Valuations/8.%202Q24_JLL/Valuations%20Tracker_Q2%202024_v1_BACKUP.xlsx?F65A781B" TargetMode="External"/><Relationship Id="rId1" Type="http://schemas.openxmlformats.org/officeDocument/2006/relationships/externalLinkPath" Target="file:///\\F65A781B\Valuations%20Tracker_Q2%202024_v1_BACKUP.xlsx" TargetMode="External"/></Relationships>
</file>

<file path=xl/externalLinks/_rels/externalLink4.xml.rels><?xml version="1.0" encoding="UTF-8" standalone="yes"?>
<Relationships xmlns="http://schemas.openxmlformats.org/package/2006/relationships"><Relationship Id="rId3" Type="http://schemas.openxmlformats.org/officeDocument/2006/relationships/externalLinkPath" Target="https://faropointinvestments1067703.sharepoint.com/sites/Finance/Shared%20Documents/General/Finance/Corporate%20Finance/Data%20Flow%20Project/Performance%20Table/2023%20Q4/Performance%20Table%20-%20Asset%20Level%20Q4%202023%20v2%20-%20Hard%20Copy%20Internal.xlsx" TargetMode="External"/><Relationship Id="rId2" Type="http://schemas.microsoft.com/office/2019/04/relationships/externalLinkLongPath" Target="/sites/Finance/Shared%20Documents/General/Finance/Corporate%20Finance/Data%20Flow%20Project/Performance%20Table/2023%20Q4/Performance%20Table%20-%20Asset%20Level%20Q4%202023%20v2%20-%20Hard%20Copy%20Internal.xlsx?4E53390C" TargetMode="External"/><Relationship Id="rId1" Type="http://schemas.openxmlformats.org/officeDocument/2006/relationships/externalLinkPath" Target="file:///\\4E53390C\Performance%20Table%20-%20Asset%20Level%20Q4%202023%20v2%20-%20Hard%20Copy%20Internal.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VandanaVishnubhotla\Downloads\Leasing%20Activity%20Report_2024-04-01_13-46-05.xlsx" TargetMode="External"/><Relationship Id="rId1" Type="http://schemas.openxmlformats.org/officeDocument/2006/relationships/externalLinkPath" Target="file:///C:\Users\VandanaVishnubhotla\Downloads\Leasing%20Activity%20Report_2024-04-01_13-46-0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dvir_faropoint_com/Documents/Dvir's%20Files/Construction/06%20Capital%20Planing/Capex%20Report%20exc.%20%20TI%20TIA%20and%20Rejec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IES&gt;"/>
      <sheetName val="Summary Fund II"/>
      <sheetName val="Summary Fund III"/>
      <sheetName val="Summary ISLB"/>
      <sheetName val="Summary ISLB with 2 new assets"/>
      <sheetName val="Glossary"/>
      <sheetName val="Pivot"/>
      <sheetName val="Performance Table"/>
      <sheetName val="CONTROLS&gt;"/>
      <sheetName val="BACKUP&gt;"/>
      <sheetName val="Checks &amp; Controls"/>
      <sheetName val="Building Data&gt;"/>
      <sheetName val="Cherre Perf Table"/>
      <sheetName val="Cherre Perf Table New"/>
      <sheetName val="F1 Table"/>
      <sheetName val="UW &amp; Acq Data&gt;"/>
      <sheetName val="UW Metrics"/>
      <sheetName val="Expected Closings"/>
      <sheetName val="Acq Metrics"/>
      <sheetName val="F2 Acq NOI"/>
      <sheetName val="F3 Acq NOI"/>
      <sheetName val="ISLB Acq NOI"/>
      <sheetName val="NCREIF Regions"/>
      <sheetName val="ERS MSA Mapping"/>
      <sheetName val="eFront MSA Mapping"/>
      <sheetName val="Current Qtr Data&gt;"/>
      <sheetName val="Q3-24 Leases"/>
      <sheetName val="Q2-24 Leases"/>
      <sheetName val="Q3-24 Tenants"/>
      <sheetName val="Q2-24 Tenants"/>
      <sheetName val="Q1-24 Leases"/>
      <sheetName val="Q1-24 Tenants"/>
      <sheetName val="F2 Q3-24 NOI"/>
      <sheetName val="F2 Q2-24 NOI"/>
      <sheetName val="F3 Q2-24 NOI"/>
      <sheetName val="ISLB Q2-24 NOI"/>
      <sheetName val="F2 Q1-24 NOI"/>
      <sheetName val="F3 Q1-24 NOI"/>
      <sheetName val="F2 Q3-24 TC"/>
      <sheetName val="F2 Q2-24 TC"/>
      <sheetName val="F3 Q3-24 TC"/>
      <sheetName val="F3 Q2-24 TC"/>
      <sheetName val="ISLB Q3-24 TC"/>
      <sheetName val="ISLB Q2-24 TC"/>
      <sheetName val="F2 Q1-24 TC"/>
      <sheetName val="F3 Q1-24 TC"/>
      <sheetName val="F2 Q4-23 TC"/>
      <sheetName val="F3 Q4-23 TC"/>
      <sheetName val="F2 Q3-23 TC"/>
      <sheetName val="F3 Q3-23 TC"/>
      <sheetName val="Q2-23 TC"/>
      <sheetName val="F1 Appraisals"/>
      <sheetName val="F2 Appraisals"/>
      <sheetName val="F2 New Appraisals"/>
      <sheetName val="F3 Appraisals"/>
      <sheetName val="Historical NOI&gt;"/>
      <sheetName val="2021 NOI"/>
      <sheetName val="2022 NOI"/>
      <sheetName val="F2 2023 NOI"/>
      <sheetName val="F3 2023 NOI"/>
      <sheetName val="F2 LTM"/>
      <sheetName val="F3 LTM"/>
      <sheetName val="ISLB LTM"/>
      <sheetName val="Run-Rate NOI&gt;"/>
      <sheetName val="F2 AM RR NOI Q3 2024"/>
      <sheetName val="F3 AM RR NOI Q3 2024"/>
      <sheetName val="ISLB AM RR NOI Q3 2024"/>
      <sheetName val="F3 Sept NOI"/>
      <sheetName val="F3 Q3 Move In"/>
      <sheetName val="F3 Q3 Move Out"/>
      <sheetName val="ISLB Sept NOI"/>
      <sheetName val="ISLB Q3 2024 Expenses"/>
      <sheetName val="F3 Q3 2024 Expenses"/>
      <sheetName val="F2 Jun NOI"/>
      <sheetName val="ISLB Jun NOI"/>
      <sheetName val="F3 Jun NOI"/>
      <sheetName val="F2 Apr-Sept NOI"/>
      <sheetName val="F2 Jan-Jun NOI"/>
      <sheetName val="F3 Apr-Sept NOI"/>
      <sheetName val="F3 Jan-Jun NOI"/>
      <sheetName val="ISLB Jan-Jun NOI"/>
      <sheetName val="F2 Oct-Mar Budget"/>
      <sheetName val="F2 Jul-Dec Budget"/>
      <sheetName val="F3 Oct-Mar Budget"/>
      <sheetName val="F3 Jul-Dec Budget"/>
      <sheetName val="F2 Mar NOI"/>
      <sheetName val="F2 Jan-Mar NOI"/>
      <sheetName val="F3 Mar NOI"/>
      <sheetName val="F3 Jan-Mar NOI"/>
      <sheetName val="F2 Apr-Dec Budget"/>
      <sheetName val="F3 Apr-Dec Budget"/>
      <sheetName val="Miscellaneous&gt;"/>
      <sheetName val="F3 Forward 12"/>
      <sheetName val="Disp IRRs"/>
      <sheetName val="Property Rates Comparison"/>
      <sheetName val="AM Mkt Rent"/>
      <sheetName val="Q3 SF Report"/>
      <sheetName val="Q3 FM Mkt Rent"/>
      <sheetName val="LMS Exit Caps"/>
      <sheetName val="F2 Loans"/>
      <sheetName val="F3 Loans"/>
      <sheetName val="ISLB Loans"/>
    </sheetNames>
    <sheetDataSet>
      <sheetData sheetId="0"/>
      <sheetData sheetId="1"/>
      <sheetData sheetId="2"/>
      <sheetData sheetId="3"/>
      <sheetData sheetId="4"/>
      <sheetData sheetId="5"/>
      <sheetData sheetId="6"/>
      <sheetData sheetId="7">
        <row r="1">
          <cell r="B1"/>
          <cell r="BE1"/>
        </row>
        <row r="2">
          <cell r="B2" t="str">
            <v>Base Data</v>
          </cell>
          <cell r="BE2"/>
        </row>
        <row r="3">
          <cell r="B3" t="str">
            <v>Yardi Code</v>
          </cell>
          <cell r="BE3" t="str">
            <v>Total Acq. Cost</v>
          </cell>
        </row>
        <row r="4">
          <cell r="B4" t="str">
            <v>iga005</v>
          </cell>
          <cell r="BE4">
            <v>8575781.9000000004</v>
          </cell>
        </row>
        <row r="5">
          <cell r="B5" t="str">
            <v>inj001</v>
          </cell>
          <cell r="BE5">
            <v>8337434.4699999997</v>
          </cell>
        </row>
        <row r="6">
          <cell r="B6" t="str">
            <v>iny002</v>
          </cell>
          <cell r="BE6">
            <v>7262999.2400000002</v>
          </cell>
        </row>
        <row r="7">
          <cell r="B7" t="str">
            <v>3nj00021</v>
          </cell>
          <cell r="BE7">
            <v>14034463.050000001</v>
          </cell>
        </row>
        <row r="8">
          <cell r="B8" t="str">
            <v>3ny00002</v>
          </cell>
          <cell r="BE8">
            <v>31647873.16</v>
          </cell>
        </row>
        <row r="9">
          <cell r="B9" t="str">
            <v>3fl00013</v>
          </cell>
          <cell r="BE9">
            <v>14283637.710000001</v>
          </cell>
        </row>
        <row r="10">
          <cell r="B10" t="str">
            <v>3fl00014</v>
          </cell>
          <cell r="BE10">
            <v>12736257.949999999</v>
          </cell>
        </row>
        <row r="11">
          <cell r="B11" t="str">
            <v>3fl00012</v>
          </cell>
          <cell r="BE11">
            <v>21557788.27</v>
          </cell>
        </row>
        <row r="12">
          <cell r="B12" t="str">
            <v>3fl00015</v>
          </cell>
          <cell r="BE12">
            <v>13484630.939999999</v>
          </cell>
        </row>
        <row r="13">
          <cell r="B13" t="str">
            <v>3fl00016</v>
          </cell>
          <cell r="BE13">
            <v>1001005.07</v>
          </cell>
        </row>
        <row r="14">
          <cell r="B14" t="str">
            <v>3tn00014</v>
          </cell>
          <cell r="BE14">
            <v>6718023.2800000003</v>
          </cell>
        </row>
        <row r="15">
          <cell r="B15" t="str">
            <v>3tn00013</v>
          </cell>
          <cell r="BE15">
            <v>3325798.7</v>
          </cell>
        </row>
        <row r="16">
          <cell r="B16" t="str">
            <v>3tn00016</v>
          </cell>
          <cell r="BE16">
            <v>2585298.4700000002</v>
          </cell>
        </row>
        <row r="17">
          <cell r="B17" t="str">
            <v>3tn00017</v>
          </cell>
          <cell r="BE17">
            <v>829040.65</v>
          </cell>
        </row>
        <row r="18">
          <cell r="B18" t="str">
            <v>3tn00012</v>
          </cell>
          <cell r="BE18">
            <v>3449552.6</v>
          </cell>
        </row>
        <row r="19">
          <cell r="B19" t="str">
            <v>3tn00011</v>
          </cell>
          <cell r="BE19">
            <v>3543681.78</v>
          </cell>
        </row>
        <row r="20">
          <cell r="B20" t="str">
            <v>3tn00018</v>
          </cell>
          <cell r="BE20">
            <v>3560388.99</v>
          </cell>
        </row>
        <row r="21">
          <cell r="B21" t="str">
            <v>3tn00015</v>
          </cell>
          <cell r="BE21">
            <v>644420.42000000004</v>
          </cell>
        </row>
        <row r="22">
          <cell r="B22" t="str">
            <v>3tn00010</v>
          </cell>
          <cell r="BE22">
            <v>3557948.14</v>
          </cell>
        </row>
        <row r="23">
          <cell r="B23" t="str">
            <v>3tn00008</v>
          </cell>
          <cell r="BE23">
            <v>3578277.61</v>
          </cell>
        </row>
        <row r="24">
          <cell r="B24" t="str">
            <v>3tn00009</v>
          </cell>
          <cell r="BE24">
            <v>3744731</v>
          </cell>
        </row>
        <row r="25">
          <cell r="B25" t="str">
            <v>3tn00007</v>
          </cell>
          <cell r="BE25">
            <v>6769202.7400000002</v>
          </cell>
        </row>
        <row r="26">
          <cell r="B26" t="str">
            <v>3nj00023</v>
          </cell>
          <cell r="BE26">
            <v>936693.19</v>
          </cell>
        </row>
        <row r="27">
          <cell r="B27" t="str">
            <v>3tn00006</v>
          </cell>
          <cell r="BE27">
            <v>3799618.72</v>
          </cell>
        </row>
        <row r="28">
          <cell r="B28" t="str">
            <v>3nj00022</v>
          </cell>
          <cell r="BE28">
            <v>10396238</v>
          </cell>
        </row>
        <row r="29">
          <cell r="B29" t="str">
            <v>3tx00016</v>
          </cell>
          <cell r="BE29">
            <v>3901367.38</v>
          </cell>
        </row>
        <row r="30">
          <cell r="B30" t="str">
            <v>3oh00005</v>
          </cell>
          <cell r="BE30">
            <v>4232356.26</v>
          </cell>
        </row>
        <row r="31">
          <cell r="B31" t="str">
            <v>3md00007</v>
          </cell>
          <cell r="BE31">
            <v>6482208.96</v>
          </cell>
        </row>
        <row r="32">
          <cell r="B32" t="str">
            <v>3ny00003</v>
          </cell>
          <cell r="BE32">
            <v>17881995.289999999</v>
          </cell>
        </row>
        <row r="33">
          <cell r="B33" t="str">
            <v>3il00008</v>
          </cell>
          <cell r="BE33">
            <v>6210616.5099999998</v>
          </cell>
        </row>
        <row r="34">
          <cell r="B34" t="str">
            <v>3oh00006</v>
          </cell>
          <cell r="BE34">
            <v>2920012.63</v>
          </cell>
        </row>
        <row r="35">
          <cell r="B35" t="str">
            <v>3ga00010</v>
          </cell>
          <cell r="BE35">
            <v>5451935</v>
          </cell>
        </row>
        <row r="36">
          <cell r="B36" t="str">
            <v>3md00006</v>
          </cell>
          <cell r="BE36">
            <v>7230655.96</v>
          </cell>
        </row>
        <row r="37">
          <cell r="B37" t="str">
            <v>iga001</v>
          </cell>
          <cell r="BE37">
            <v>16594009</v>
          </cell>
        </row>
        <row r="38">
          <cell r="B38" t="str">
            <v>inc001</v>
          </cell>
          <cell r="BE38">
            <v>9111644</v>
          </cell>
        </row>
        <row r="39">
          <cell r="B39" t="str">
            <v>iny001</v>
          </cell>
          <cell r="BE39">
            <v>8070509</v>
          </cell>
        </row>
        <row r="40">
          <cell r="B40" t="str">
            <v>3ga00006</v>
          </cell>
          <cell r="BE40">
            <v>9974007.5700000003</v>
          </cell>
        </row>
        <row r="41">
          <cell r="B41" t="str">
            <v>3ga00007</v>
          </cell>
          <cell r="BE41">
            <v>10939950</v>
          </cell>
        </row>
        <row r="42">
          <cell r="B42" t="str">
            <v>3nj00020</v>
          </cell>
          <cell r="BE42">
            <v>10652968.25</v>
          </cell>
        </row>
        <row r="43">
          <cell r="B43" t="str">
            <v>3tx00014</v>
          </cell>
          <cell r="BE43">
            <v>3199989</v>
          </cell>
        </row>
        <row r="44">
          <cell r="B44" t="str">
            <v>3tx00015</v>
          </cell>
          <cell r="BE44">
            <v>9658443</v>
          </cell>
        </row>
        <row r="45">
          <cell r="B45" t="str">
            <v>3fl00011</v>
          </cell>
          <cell r="BE45">
            <v>14230265.199999999</v>
          </cell>
        </row>
        <row r="46">
          <cell r="B46" t="str">
            <v>3fl00008</v>
          </cell>
          <cell r="BE46">
            <v>9728933.8179852646</v>
          </cell>
        </row>
        <row r="47">
          <cell r="B47" t="str">
            <v>3fl00009</v>
          </cell>
          <cell r="BE47">
            <v>10449839.732234361</v>
          </cell>
        </row>
        <row r="48">
          <cell r="B48" t="str">
            <v>3fl00010</v>
          </cell>
          <cell r="BE48">
            <v>4611199.6899999995</v>
          </cell>
        </row>
        <row r="49">
          <cell r="B49" t="str">
            <v>3nc00007</v>
          </cell>
          <cell r="BE49">
            <v>11488218.450000001</v>
          </cell>
        </row>
        <row r="50">
          <cell r="B50" t="str">
            <v>3nc00008</v>
          </cell>
          <cell r="BE50">
            <v>8109330.6699999999</v>
          </cell>
        </row>
        <row r="51">
          <cell r="B51" t="str">
            <v>3nc00006</v>
          </cell>
          <cell r="BE51">
            <v>12761945</v>
          </cell>
        </row>
        <row r="52">
          <cell r="B52" t="str">
            <v>3oh00004</v>
          </cell>
          <cell r="BE52">
            <v>10310018.84</v>
          </cell>
        </row>
        <row r="53">
          <cell r="B53" t="str">
            <v>3md00005</v>
          </cell>
          <cell r="BE53">
            <v>3842220.75</v>
          </cell>
        </row>
        <row r="54">
          <cell r="B54" t="str">
            <v>3nj00010</v>
          </cell>
          <cell r="BE54">
            <v>10218278.879999999</v>
          </cell>
        </row>
        <row r="55">
          <cell r="B55" t="str">
            <v>3nj00011</v>
          </cell>
          <cell r="BE55">
            <v>8560420.459999999</v>
          </cell>
        </row>
        <row r="56">
          <cell r="B56" t="str">
            <v>3nj00012</v>
          </cell>
          <cell r="BE56">
            <v>9169592.339999998</v>
          </cell>
        </row>
        <row r="57">
          <cell r="B57" t="str">
            <v>3nj00013</v>
          </cell>
          <cell r="BE57">
            <v>7986729.1599999992</v>
          </cell>
        </row>
        <row r="58">
          <cell r="B58" t="str">
            <v>3nj00014</v>
          </cell>
          <cell r="BE58">
            <v>21790930.449999999</v>
          </cell>
        </row>
        <row r="59">
          <cell r="B59" t="str">
            <v>3nj00015</v>
          </cell>
          <cell r="BE59">
            <v>9564219.0499999989</v>
          </cell>
        </row>
        <row r="60">
          <cell r="B60" t="str">
            <v>3nj00016</v>
          </cell>
          <cell r="BE60">
            <v>12930828.49</v>
          </cell>
        </row>
        <row r="61">
          <cell r="B61" t="str">
            <v>3nj00017</v>
          </cell>
          <cell r="BE61">
            <v>17231856.02</v>
          </cell>
        </row>
        <row r="62">
          <cell r="B62" t="str">
            <v>3nj00018</v>
          </cell>
          <cell r="BE62">
            <v>21874989.540000003</v>
          </cell>
        </row>
        <row r="63">
          <cell r="B63" t="str">
            <v>3nj00019</v>
          </cell>
          <cell r="BE63">
            <v>26004288.829999998</v>
          </cell>
        </row>
        <row r="64">
          <cell r="B64" t="str">
            <v>3nc00005</v>
          </cell>
          <cell r="BE64">
            <v>3050815.25</v>
          </cell>
        </row>
        <row r="65">
          <cell r="B65" t="str">
            <v>3nc00004</v>
          </cell>
          <cell r="BE65">
            <v>21897441.876188189</v>
          </cell>
        </row>
        <row r="66">
          <cell r="B66" t="str">
            <v>3nc00003</v>
          </cell>
          <cell r="BE66">
            <v>7035807.0840593642</v>
          </cell>
        </row>
        <row r="67">
          <cell r="B67" t="str">
            <v>3nc00002</v>
          </cell>
          <cell r="BE67">
            <v>4523018.8397524478</v>
          </cell>
        </row>
        <row r="68">
          <cell r="B68" t="str">
            <v>3ga00005</v>
          </cell>
          <cell r="BE68">
            <v>2225022.9300000002</v>
          </cell>
        </row>
        <row r="69">
          <cell r="B69" t="str">
            <v>3fl00007</v>
          </cell>
          <cell r="BE69">
            <v>7238201.9000000004</v>
          </cell>
        </row>
        <row r="70">
          <cell r="B70" t="str">
            <v>3tx00012</v>
          </cell>
          <cell r="BE70">
            <v>4323322.6458137538</v>
          </cell>
        </row>
        <row r="71">
          <cell r="B71" t="str">
            <v>3tx00013</v>
          </cell>
          <cell r="BE71">
            <v>10644944.183401344</v>
          </cell>
        </row>
        <row r="72">
          <cell r="B72" t="str">
            <v>3tx00011</v>
          </cell>
          <cell r="BE72">
            <v>5154702.8347228011</v>
          </cell>
        </row>
        <row r="73">
          <cell r="B73" t="str">
            <v>3tx00010</v>
          </cell>
          <cell r="BE73">
            <v>13646387.756062103</v>
          </cell>
        </row>
        <row r="74">
          <cell r="B74" t="str">
            <v>3oh00003</v>
          </cell>
          <cell r="BE74">
            <v>1842985.5</v>
          </cell>
        </row>
        <row r="75">
          <cell r="B75" t="str">
            <v>3nj00009</v>
          </cell>
          <cell r="BE75">
            <v>13117932.92</v>
          </cell>
        </row>
        <row r="76">
          <cell r="B76" t="str">
            <v>3nj00007</v>
          </cell>
          <cell r="BE76">
            <v>14456066.060000001</v>
          </cell>
        </row>
        <row r="77">
          <cell r="B77" t="str">
            <v>3nj00008</v>
          </cell>
          <cell r="BE77">
            <v>14455534.479999999</v>
          </cell>
        </row>
        <row r="78">
          <cell r="B78" t="str">
            <v>3nj00001</v>
          </cell>
          <cell r="BE78">
            <v>6630653.5</v>
          </cell>
        </row>
        <row r="79">
          <cell r="B79" t="str">
            <v>3fl00001</v>
          </cell>
          <cell r="BE79">
            <v>3440919.81</v>
          </cell>
        </row>
        <row r="80">
          <cell r="B80" t="str">
            <v>3md00001</v>
          </cell>
          <cell r="BE80">
            <v>9693752.3499999996</v>
          </cell>
        </row>
        <row r="81">
          <cell r="B81" t="str">
            <v>3ga00001</v>
          </cell>
          <cell r="BE81">
            <v>6118940.29</v>
          </cell>
        </row>
        <row r="82">
          <cell r="B82" t="str">
            <v>3pa00001</v>
          </cell>
          <cell r="BE82">
            <v>4614358.7060000002</v>
          </cell>
        </row>
        <row r="83">
          <cell r="B83" t="str">
            <v>3fl00002</v>
          </cell>
          <cell r="BE83">
            <v>8437630.1400000006</v>
          </cell>
        </row>
        <row r="84">
          <cell r="B84" t="str">
            <v>3fl00003</v>
          </cell>
          <cell r="BE84">
            <v>6350597.0499999998</v>
          </cell>
        </row>
        <row r="85">
          <cell r="B85" t="str">
            <v>3nj00002</v>
          </cell>
          <cell r="BE85">
            <v>9951988.6400000006</v>
          </cell>
        </row>
        <row r="86">
          <cell r="B86" t="str">
            <v>3tn00004</v>
          </cell>
          <cell r="BE86">
            <v>1992579.3796734856</v>
          </cell>
        </row>
        <row r="87">
          <cell r="B87" t="str">
            <v>3tn00002</v>
          </cell>
          <cell r="BE87">
            <v>2318179.3490198711</v>
          </cell>
        </row>
        <row r="88">
          <cell r="B88" t="str">
            <v>3tn00003</v>
          </cell>
          <cell r="BE88">
            <v>8492228.3836762123</v>
          </cell>
        </row>
        <row r="89">
          <cell r="B89" t="str">
            <v>3tn00001</v>
          </cell>
          <cell r="BE89">
            <v>9702266.7181319911</v>
          </cell>
        </row>
        <row r="90">
          <cell r="B90" t="str">
            <v>3tn00005</v>
          </cell>
          <cell r="BE90">
            <v>15006733.039656032</v>
          </cell>
        </row>
        <row r="91">
          <cell r="B91" t="str">
            <v>3il00001</v>
          </cell>
          <cell r="BE91">
            <v>2114782.3600000003</v>
          </cell>
        </row>
        <row r="92">
          <cell r="B92" t="str">
            <v>3md00002</v>
          </cell>
          <cell r="BE92">
            <v>10193591</v>
          </cell>
        </row>
        <row r="93">
          <cell r="B93" t="str">
            <v>3il00002</v>
          </cell>
          <cell r="BE93">
            <v>2953998.64</v>
          </cell>
        </row>
        <row r="94">
          <cell r="B94" t="str">
            <v>3oh00001</v>
          </cell>
          <cell r="BE94">
            <v>9943685.5</v>
          </cell>
        </row>
        <row r="95">
          <cell r="B95" t="str">
            <v>3ga00002</v>
          </cell>
          <cell r="BE95">
            <v>12812945.42</v>
          </cell>
        </row>
        <row r="96">
          <cell r="B96" t="str">
            <v>3il00003</v>
          </cell>
          <cell r="BE96">
            <v>1763747.22</v>
          </cell>
        </row>
        <row r="97">
          <cell r="B97" t="str">
            <v>3fl00004</v>
          </cell>
          <cell r="BE97">
            <v>4552538.8499999996</v>
          </cell>
        </row>
        <row r="98">
          <cell r="B98" t="str">
            <v>3ga00003</v>
          </cell>
          <cell r="BE98">
            <v>10568194.35</v>
          </cell>
        </row>
        <row r="99">
          <cell r="B99" t="str">
            <v>3nj00003</v>
          </cell>
          <cell r="BE99">
            <v>9072288.2200000007</v>
          </cell>
        </row>
        <row r="100">
          <cell r="B100" t="str">
            <v>3il00004</v>
          </cell>
          <cell r="BE100">
            <v>2539366.09</v>
          </cell>
        </row>
        <row r="101">
          <cell r="B101" t="str">
            <v>3ny00001</v>
          </cell>
          <cell r="BE101">
            <v>5007272.2299999995</v>
          </cell>
        </row>
        <row r="102">
          <cell r="B102" t="str">
            <v>3tx00001</v>
          </cell>
          <cell r="BE102">
            <v>7425588</v>
          </cell>
        </row>
        <row r="103">
          <cell r="B103" t="str">
            <v>3nj00005</v>
          </cell>
          <cell r="BE103">
            <v>4716239.43</v>
          </cell>
        </row>
        <row r="104">
          <cell r="B104" t="str">
            <v>3tx00002</v>
          </cell>
          <cell r="BE104">
            <v>7597371.1399999997</v>
          </cell>
        </row>
        <row r="105">
          <cell r="B105" t="str">
            <v>3il00005</v>
          </cell>
          <cell r="BE105">
            <v>4550053.8</v>
          </cell>
        </row>
        <row r="106">
          <cell r="B106" t="str">
            <v>3md00003</v>
          </cell>
          <cell r="BE106">
            <v>4395369</v>
          </cell>
        </row>
        <row r="107">
          <cell r="B107" t="str">
            <v>3oh00002</v>
          </cell>
          <cell r="BE107">
            <v>2445761.42</v>
          </cell>
        </row>
        <row r="108">
          <cell r="B108" t="str">
            <v>3nj00004</v>
          </cell>
          <cell r="BE108">
            <v>3482603.29</v>
          </cell>
        </row>
        <row r="109">
          <cell r="B109" t="str">
            <v>3ga00004</v>
          </cell>
          <cell r="BE109">
            <v>4948138.5</v>
          </cell>
        </row>
        <row r="110">
          <cell r="B110" t="str">
            <v>3il00006</v>
          </cell>
          <cell r="BE110">
            <v>9547338.5</v>
          </cell>
        </row>
        <row r="111">
          <cell r="B111" t="str">
            <v>3md00004</v>
          </cell>
          <cell r="BE111">
            <v>5192284.82</v>
          </cell>
        </row>
        <row r="112">
          <cell r="B112" t="str">
            <v>3il00007</v>
          </cell>
          <cell r="BE112">
            <v>2880671.93</v>
          </cell>
        </row>
        <row r="113">
          <cell r="B113" t="str">
            <v>3tx00009</v>
          </cell>
          <cell r="BE113">
            <v>6336100.4070169125</v>
          </cell>
        </row>
        <row r="114">
          <cell r="B114" t="str">
            <v>3tx00004</v>
          </cell>
          <cell r="BE114">
            <v>16611816.687556423</v>
          </cell>
        </row>
        <row r="115">
          <cell r="B115" t="str">
            <v>3tx00005</v>
          </cell>
          <cell r="BE115">
            <v>23309805.38542667</v>
          </cell>
        </row>
        <row r="116">
          <cell r="B116" t="str">
            <v>3tx00006</v>
          </cell>
          <cell r="BE116">
            <v>18369285.889999997</v>
          </cell>
        </row>
        <row r="117">
          <cell r="B117" t="str">
            <v>3fl00005</v>
          </cell>
          <cell r="BE117">
            <v>6149683.4000000004</v>
          </cell>
        </row>
        <row r="118">
          <cell r="B118" t="str">
            <v>3tx00003</v>
          </cell>
          <cell r="BE118">
            <v>7337785.3800000008</v>
          </cell>
        </row>
        <row r="119">
          <cell r="B119" t="str">
            <v>3tx00008</v>
          </cell>
          <cell r="BE119">
            <v>12186083.556279482</v>
          </cell>
        </row>
        <row r="120">
          <cell r="B120" t="str">
            <v>3tx00007</v>
          </cell>
          <cell r="BE120">
            <v>23538551.963720519</v>
          </cell>
        </row>
        <row r="121">
          <cell r="B121" t="str">
            <v>3nj00006</v>
          </cell>
          <cell r="BE121">
            <v>23878358.199999999</v>
          </cell>
        </row>
        <row r="122">
          <cell r="B122" t="str">
            <v>3nc00001</v>
          </cell>
          <cell r="BE122">
            <v>4263044.42</v>
          </cell>
        </row>
        <row r="123">
          <cell r="B123" t="str">
            <v>3fl00006</v>
          </cell>
          <cell r="BE123">
            <v>5251384.66</v>
          </cell>
        </row>
        <row r="124">
          <cell r="B124" t="str">
            <v>tx4se001</v>
          </cell>
          <cell r="BE124">
            <v>630578.24761904764</v>
          </cell>
        </row>
        <row r="125">
          <cell r="B125" t="str">
            <v>tx4se001</v>
          </cell>
          <cell r="BE125">
            <v>1294509.3942857143</v>
          </cell>
        </row>
        <row r="126">
          <cell r="B126" t="str">
            <v>tx4se001</v>
          </cell>
          <cell r="BE126">
            <v>1298678.5066666668</v>
          </cell>
        </row>
        <row r="127">
          <cell r="B127" t="str">
            <v>tx4se001</v>
          </cell>
          <cell r="BE127">
            <v>1400821.76</v>
          </cell>
        </row>
        <row r="128">
          <cell r="B128" t="str">
            <v>tx4se001</v>
          </cell>
          <cell r="BE128">
            <v>1400821.76</v>
          </cell>
        </row>
        <row r="129">
          <cell r="B129" t="str">
            <v>tx4se001</v>
          </cell>
          <cell r="BE129">
            <v>1475865.7828571429</v>
          </cell>
        </row>
        <row r="130">
          <cell r="B130" t="str">
            <v>tx4se001</v>
          </cell>
          <cell r="BE130">
            <v>1498795.9009523811</v>
          </cell>
        </row>
        <row r="131">
          <cell r="B131" t="str">
            <v>tx4se001</v>
          </cell>
          <cell r="BE131">
            <v>1506091.8476190476</v>
          </cell>
        </row>
        <row r="132">
          <cell r="B132" t="str">
            <v>tx4se001</v>
          </cell>
          <cell r="BE132">
            <v>1683279.1238095236</v>
          </cell>
        </row>
        <row r="133">
          <cell r="B133" t="str">
            <v>tx4se001</v>
          </cell>
          <cell r="BE133">
            <v>1885481.0742857142</v>
          </cell>
        </row>
        <row r="134">
          <cell r="B134" t="str">
            <v>tx4se001</v>
          </cell>
          <cell r="BE134">
            <v>1961567.3752380954</v>
          </cell>
        </row>
        <row r="135">
          <cell r="B135" t="str">
            <v>tx4se001</v>
          </cell>
          <cell r="BE135">
            <v>2086640.7466666666</v>
          </cell>
        </row>
        <row r="136">
          <cell r="B136" t="str">
            <v>tx4se001</v>
          </cell>
          <cell r="BE136">
            <v>2345125.7142857141</v>
          </cell>
        </row>
        <row r="137">
          <cell r="B137" t="str">
            <v>tx4se001</v>
          </cell>
          <cell r="BE137">
            <v>2569215.5047619049</v>
          </cell>
        </row>
        <row r="138">
          <cell r="B138" t="str">
            <v>tx4se001</v>
          </cell>
          <cell r="BE138">
            <v>2587976.5104761906</v>
          </cell>
        </row>
        <row r="139">
          <cell r="B139" t="str">
            <v>tx4se001</v>
          </cell>
          <cell r="BE139">
            <v>2828742.7504761904</v>
          </cell>
        </row>
        <row r="140">
          <cell r="B140" t="str">
            <v>txlan003</v>
          </cell>
          <cell r="BE140">
            <v>8030363.9299999997</v>
          </cell>
        </row>
        <row r="141">
          <cell r="B141" t="str">
            <v>txhou002</v>
          </cell>
          <cell r="BE141">
            <v>7879505.3899999997</v>
          </cell>
        </row>
        <row r="142">
          <cell r="B142" t="str">
            <v>txwin004</v>
          </cell>
          <cell r="BE142">
            <v>5311725.58</v>
          </cell>
        </row>
        <row r="143">
          <cell r="B143" t="str">
            <v>gasc1002</v>
          </cell>
          <cell r="BE143">
            <v>955076.00146596902</v>
          </cell>
        </row>
        <row r="144">
          <cell r="B144" t="str">
            <v>gasc2003</v>
          </cell>
          <cell r="BE144">
            <v>1500000</v>
          </cell>
        </row>
        <row r="145">
          <cell r="B145" t="str">
            <v>gasc4005</v>
          </cell>
          <cell r="BE145">
            <v>300000</v>
          </cell>
        </row>
        <row r="146">
          <cell r="B146" t="str">
            <v>gasc6007</v>
          </cell>
          <cell r="BE146">
            <v>1200000</v>
          </cell>
        </row>
        <row r="147">
          <cell r="B147" t="str">
            <v>gasc5006</v>
          </cell>
          <cell r="BE147">
            <v>1000000</v>
          </cell>
        </row>
        <row r="148">
          <cell r="B148" t="str">
            <v>gasc3004</v>
          </cell>
          <cell r="BE148">
            <v>600000</v>
          </cell>
        </row>
        <row r="149">
          <cell r="B149" t="str">
            <v>tnw13006</v>
          </cell>
          <cell r="BE149">
            <v>1706347.5540098199</v>
          </cell>
        </row>
        <row r="150">
          <cell r="B150" t="str">
            <v>tnwl9001</v>
          </cell>
          <cell r="BE150">
            <v>1680000</v>
          </cell>
        </row>
        <row r="151">
          <cell r="B151" t="str">
            <v>tnwl1002</v>
          </cell>
          <cell r="BE151">
            <v>2973181.34410802</v>
          </cell>
        </row>
        <row r="152">
          <cell r="B152" t="str">
            <v>tnwl7005</v>
          </cell>
          <cell r="BE152">
            <v>2895620.0916530276</v>
          </cell>
        </row>
        <row r="153">
          <cell r="B153" t="str">
            <v>tnwl4003</v>
          </cell>
          <cell r="BE153">
            <v>3102450.0981996725</v>
          </cell>
        </row>
        <row r="154">
          <cell r="B154" t="str">
            <v>tnwl5004</v>
          </cell>
          <cell r="BE154">
            <v>3567817.6129296236</v>
          </cell>
        </row>
        <row r="155">
          <cell r="B155" t="str">
            <v>gacn011</v>
          </cell>
          <cell r="BE155">
            <v>889433.57495575224</v>
          </cell>
        </row>
        <row r="156">
          <cell r="B156" t="str">
            <v>gacn010</v>
          </cell>
          <cell r="BE156">
            <v>930327.07265486731</v>
          </cell>
        </row>
        <row r="157">
          <cell r="B157" t="str">
            <v>gaold008</v>
          </cell>
          <cell r="BE157">
            <v>1200871.1399999999</v>
          </cell>
        </row>
        <row r="158">
          <cell r="B158" t="str">
            <v>gacn012</v>
          </cell>
          <cell r="BE158">
            <v>1645963.2823893805</v>
          </cell>
        </row>
        <row r="159">
          <cell r="B159" t="str">
            <v>gasto009</v>
          </cell>
          <cell r="BE159">
            <v>1940306.01</v>
          </cell>
        </row>
        <row r="160">
          <cell r="B160" t="str">
            <v>tndan007</v>
          </cell>
          <cell r="BE160">
            <v>1353957.2068925505</v>
          </cell>
        </row>
        <row r="161">
          <cell r="B161" t="str">
            <v>gahaz013</v>
          </cell>
          <cell r="BE161">
            <v>2080509.8259885395</v>
          </cell>
        </row>
        <row r="162">
          <cell r="B162" t="str">
            <v>ohhon001</v>
          </cell>
          <cell r="BE162">
            <v>9861019.8211711943</v>
          </cell>
        </row>
        <row r="163">
          <cell r="B163" t="str">
            <v>gasc2015</v>
          </cell>
          <cell r="BE163">
            <v>1912443.9498339731</v>
          </cell>
        </row>
        <row r="164">
          <cell r="B164" t="str">
            <v>gasc3016</v>
          </cell>
          <cell r="BE164">
            <v>2214408.7840182846</v>
          </cell>
        </row>
        <row r="165">
          <cell r="B165" t="str">
            <v>gasc1014</v>
          </cell>
          <cell r="BE165">
            <v>3724232.9549398422</v>
          </cell>
        </row>
        <row r="166">
          <cell r="B166" t="str">
            <v>gatuc017</v>
          </cell>
          <cell r="BE166">
            <v>2436242.2756975698</v>
          </cell>
        </row>
        <row r="167">
          <cell r="B167" t="str">
            <v>tnb09014</v>
          </cell>
          <cell r="BE167">
            <v>773835.54921840283</v>
          </cell>
        </row>
        <row r="168">
          <cell r="B168" t="str">
            <v>tnb10010</v>
          </cell>
          <cell r="BE168">
            <v>1256226.5409389655</v>
          </cell>
        </row>
        <row r="169">
          <cell r="B169" t="str">
            <v>tnb12011</v>
          </cell>
          <cell r="BE169">
            <v>502490.61637558625</v>
          </cell>
        </row>
        <row r="170">
          <cell r="B170" t="str">
            <v>tnb11012</v>
          </cell>
          <cell r="BE170">
            <v>1406973.7258516413</v>
          </cell>
        </row>
        <row r="171">
          <cell r="B171" t="str">
            <v>tnwl3009</v>
          </cell>
          <cell r="BE171">
            <v>2717146.4167476823</v>
          </cell>
        </row>
        <row r="172">
          <cell r="B172" t="str">
            <v>tnamz015</v>
          </cell>
          <cell r="BE172">
            <v>9654000</v>
          </cell>
        </row>
        <row r="173">
          <cell r="B173" t="str">
            <v>tnlak008</v>
          </cell>
          <cell r="BE173">
            <v>4141836.4544599359</v>
          </cell>
        </row>
        <row r="174">
          <cell r="B174" t="str">
            <v>tnb03013</v>
          </cell>
          <cell r="BE174">
            <v>1306475.6025765243</v>
          </cell>
        </row>
        <row r="175">
          <cell r="B175" t="str">
            <v>txmil005</v>
          </cell>
          <cell r="BE175">
            <v>1281775.3706975889</v>
          </cell>
        </row>
        <row r="176">
          <cell r="B176" t="str">
            <v>txmil005</v>
          </cell>
          <cell r="BE176">
            <v>1435412.8295140807</v>
          </cell>
        </row>
        <row r="177">
          <cell r="B177" t="str">
            <v>txmil005</v>
          </cell>
          <cell r="BE177">
            <v>2052596.4497883306</v>
          </cell>
        </row>
        <row r="178">
          <cell r="B178" t="str">
            <v>ohfai003</v>
          </cell>
          <cell r="BE178">
            <v>2208215.6005194806</v>
          </cell>
        </row>
        <row r="179">
          <cell r="B179" t="str">
            <v>ohkem002</v>
          </cell>
          <cell r="BE179">
            <v>1402294.2167738902</v>
          </cell>
        </row>
        <row r="180">
          <cell r="B180" t="str">
            <v>ohkem002</v>
          </cell>
          <cell r="BE180">
            <v>1789867.6946172896</v>
          </cell>
        </row>
        <row r="181">
          <cell r="B181" t="str">
            <v>ohkem002</v>
          </cell>
          <cell r="BE181">
            <v>1835052.3280893401</v>
          </cell>
        </row>
        <row r="182">
          <cell r="B182" t="str">
            <v>ohwar004</v>
          </cell>
          <cell r="BE182">
            <v>3432991.8049999997</v>
          </cell>
        </row>
        <row r="183">
          <cell r="B183" t="str">
            <v>ohwar005</v>
          </cell>
          <cell r="BE183">
            <v>3432991.8049999997</v>
          </cell>
        </row>
        <row r="184">
          <cell r="B184" t="str">
            <v>gable014</v>
          </cell>
          <cell r="BE184">
            <v>1323441</v>
          </cell>
        </row>
        <row r="185">
          <cell r="B185" t="str">
            <v>tnmet016</v>
          </cell>
          <cell r="BE185">
            <v>2854627</v>
          </cell>
        </row>
        <row r="186">
          <cell r="B186" t="str">
            <v>gacom016</v>
          </cell>
          <cell r="BE186">
            <v>1987973.2000000002</v>
          </cell>
        </row>
        <row r="187">
          <cell r="B187" t="str">
            <v>gagra015</v>
          </cell>
          <cell r="BE187">
            <v>2078514.81</v>
          </cell>
        </row>
        <row r="188">
          <cell r="B188" t="str">
            <v>gasna025</v>
          </cell>
          <cell r="BE188">
            <v>1522414.5</v>
          </cell>
        </row>
        <row r="189">
          <cell r="B189" t="str">
            <v>gaboh026</v>
          </cell>
          <cell r="BE189">
            <v>5908698</v>
          </cell>
        </row>
        <row r="190">
          <cell r="B190" t="str">
            <v>ohles005</v>
          </cell>
          <cell r="BE190">
            <v>6500153.1200000001</v>
          </cell>
        </row>
        <row r="191">
          <cell r="B191" t="str">
            <v>ohclo007</v>
          </cell>
          <cell r="BE191">
            <v>2384079.92</v>
          </cell>
        </row>
        <row r="192">
          <cell r="B192" t="str">
            <v>oh575006</v>
          </cell>
          <cell r="BE192">
            <v>5478232.2800000003</v>
          </cell>
        </row>
        <row r="193">
          <cell r="B193" t="str">
            <v>gapar018</v>
          </cell>
          <cell r="BE193">
            <v>2997514.25</v>
          </cell>
        </row>
        <row r="194">
          <cell r="B194" t="str">
            <v>tn10b017</v>
          </cell>
          <cell r="BE194">
            <v>4486503.7</v>
          </cell>
        </row>
        <row r="195">
          <cell r="B195" t="str">
            <v>ohcom008</v>
          </cell>
          <cell r="BE195">
            <v>2829157.335</v>
          </cell>
        </row>
        <row r="196">
          <cell r="B196" t="str">
            <v>gajon020</v>
          </cell>
          <cell r="BE196">
            <v>3281871.18</v>
          </cell>
        </row>
        <row r="197">
          <cell r="B197" t="str">
            <v>gashi019</v>
          </cell>
          <cell r="BE197">
            <v>2651689.31</v>
          </cell>
        </row>
        <row r="198">
          <cell r="B198" t="str">
            <v>gahig021</v>
          </cell>
          <cell r="BE198">
            <v>3068488.5</v>
          </cell>
        </row>
        <row r="199">
          <cell r="B199" t="str">
            <v>tntri7</v>
          </cell>
          <cell r="BE199">
            <v>1016000</v>
          </cell>
        </row>
        <row r="200">
          <cell r="B200" t="str">
            <v>tntri8</v>
          </cell>
          <cell r="BE200">
            <v>1020000</v>
          </cell>
        </row>
        <row r="201">
          <cell r="B201" t="str">
            <v>gamoo022</v>
          </cell>
          <cell r="BE201">
            <v>2505569.5</v>
          </cell>
        </row>
        <row r="202">
          <cell r="B202" t="str">
            <v>tntri9</v>
          </cell>
          <cell r="BE202">
            <v>1234214.9912479299</v>
          </cell>
        </row>
        <row r="203">
          <cell r="B203" t="str">
            <v>tntri18</v>
          </cell>
          <cell r="BE203">
            <v>1331909.6903268169</v>
          </cell>
        </row>
        <row r="204">
          <cell r="B204" t="str">
            <v>tntri4</v>
          </cell>
          <cell r="BE204">
            <v>1956360.8073039721</v>
          </cell>
        </row>
        <row r="205">
          <cell r="B205" t="str">
            <v>tntrid8</v>
          </cell>
          <cell r="BE205">
            <v>2271430.1814968754</v>
          </cell>
        </row>
        <row r="206">
          <cell r="B206" t="str">
            <v>tntrid2</v>
          </cell>
          <cell r="BE206">
            <v>2446719.2525888826</v>
          </cell>
        </row>
        <row r="207">
          <cell r="B207" t="str">
            <v>tntri2</v>
          </cell>
          <cell r="BE207">
            <v>2407493.8551398125</v>
          </cell>
        </row>
        <row r="208">
          <cell r="B208" t="str">
            <v>tntri11</v>
          </cell>
          <cell r="BE208">
            <v>2533282.5030210838</v>
          </cell>
        </row>
        <row r="209">
          <cell r="B209" t="str">
            <v>tntri10</v>
          </cell>
          <cell r="BE209">
            <v>3147940.0760020753</v>
          </cell>
        </row>
        <row r="210">
          <cell r="B210" t="str">
            <v>tntri19</v>
          </cell>
          <cell r="BE210">
            <v>4196071.5847471636</v>
          </cell>
        </row>
        <row r="211">
          <cell r="B211" t="str">
            <v>tntri16</v>
          </cell>
          <cell r="BE211">
            <v>5325410.627605211</v>
          </cell>
        </row>
        <row r="212">
          <cell r="B212" t="str">
            <v>txmai006</v>
          </cell>
          <cell r="BE212">
            <v>1903118.85</v>
          </cell>
        </row>
        <row r="213">
          <cell r="B213" t="str">
            <v>gatid023</v>
          </cell>
          <cell r="BE213">
            <v>2840047.43</v>
          </cell>
        </row>
        <row r="214">
          <cell r="B214" t="str">
            <v>pabor001</v>
          </cell>
          <cell r="BE214">
            <v>5060194.46</v>
          </cell>
        </row>
        <row r="215">
          <cell r="B215" t="str">
            <v>gamac024</v>
          </cell>
          <cell r="BE215">
            <v>2119435.09</v>
          </cell>
        </row>
        <row r="216">
          <cell r="B216" t="str">
            <v>txflo007</v>
          </cell>
          <cell r="BE216">
            <v>4968499.82</v>
          </cell>
        </row>
        <row r="217">
          <cell r="B217" t="str">
            <v>gamou028</v>
          </cell>
          <cell r="BE217">
            <v>4049716.65</v>
          </cell>
        </row>
        <row r="218">
          <cell r="B218" t="str">
            <v>gamon027</v>
          </cell>
          <cell r="BE218">
            <v>2466797.21</v>
          </cell>
        </row>
        <row r="219">
          <cell r="B219" t="str">
            <v>txstr009</v>
          </cell>
          <cell r="BE219">
            <v>2805806.3499999996</v>
          </cell>
        </row>
        <row r="220">
          <cell r="B220" t="str">
            <v>txvic008</v>
          </cell>
          <cell r="BE220">
            <v>7986823.7800000003</v>
          </cell>
        </row>
        <row r="221">
          <cell r="B221" t="str">
            <v>njleo19</v>
          </cell>
          <cell r="BE221">
            <v>4936808.6399999997</v>
          </cell>
        </row>
        <row r="222">
          <cell r="B222" t="str">
            <v>tnnew18</v>
          </cell>
          <cell r="BE222">
            <v>2270861.6</v>
          </cell>
        </row>
        <row r="223">
          <cell r="B223" t="str">
            <v>gavet029</v>
          </cell>
          <cell r="BE223">
            <v>6533335.3399999999</v>
          </cell>
        </row>
        <row r="224">
          <cell r="B224" t="str">
            <v>njrun170</v>
          </cell>
          <cell r="BE224">
            <v>2017128.9037132883</v>
          </cell>
        </row>
        <row r="225">
          <cell r="B225" t="str">
            <v>njrun150</v>
          </cell>
          <cell r="BE225">
            <v>1977625.7033956361</v>
          </cell>
        </row>
        <row r="226">
          <cell r="B226" t="str">
            <v>njrun175</v>
          </cell>
          <cell r="BE226">
            <v>3385440.1319618779</v>
          </cell>
        </row>
        <row r="227">
          <cell r="B227" t="str">
            <v>njrun160</v>
          </cell>
          <cell r="BE227">
            <v>4514217.3412769474</v>
          </cell>
        </row>
        <row r="228">
          <cell r="B228" t="str">
            <v>njrun190</v>
          </cell>
          <cell r="BE228">
            <v>6200550.0585966008</v>
          </cell>
        </row>
        <row r="229">
          <cell r="B229" t="str">
            <v>njrun155</v>
          </cell>
          <cell r="BE229">
            <v>5192643.7375290282</v>
          </cell>
        </row>
        <row r="230">
          <cell r="B230" t="str">
            <v>njrun165</v>
          </cell>
          <cell r="BE230">
            <v>5972981.1235266216</v>
          </cell>
        </row>
        <row r="231">
          <cell r="B231" t="str">
            <v>njhig121</v>
          </cell>
          <cell r="BE231">
            <v>7398968.6600000001</v>
          </cell>
        </row>
        <row r="232">
          <cell r="B232" t="str">
            <v>gaent031</v>
          </cell>
          <cell r="BE232">
            <v>2112706.37</v>
          </cell>
        </row>
        <row r="233">
          <cell r="B233" t="str">
            <v>garon030</v>
          </cell>
          <cell r="BE233">
            <v>5601465.1600000001</v>
          </cell>
        </row>
        <row r="234">
          <cell r="B234" t="str">
            <v>gawhe032</v>
          </cell>
          <cell r="BE234">
            <v>2105058</v>
          </cell>
        </row>
        <row r="235">
          <cell r="B235" t="str">
            <v>njwes103</v>
          </cell>
          <cell r="BE235">
            <v>4458411.66</v>
          </cell>
        </row>
        <row r="236">
          <cell r="B236" t="str">
            <v>pajam002</v>
          </cell>
          <cell r="BE236">
            <v>4676556.5199999996</v>
          </cell>
        </row>
        <row r="237">
          <cell r="B237" t="str">
            <v>gacom33</v>
          </cell>
          <cell r="BE237">
            <v>7886214.75</v>
          </cell>
        </row>
        <row r="238">
          <cell r="B238" t="str">
            <v>gaold035</v>
          </cell>
          <cell r="BE238">
            <v>1369970</v>
          </cell>
        </row>
        <row r="239">
          <cell r="B239" t="str">
            <v>gaduq036</v>
          </cell>
          <cell r="BE239">
            <v>2049444.5</v>
          </cell>
        </row>
        <row r="240">
          <cell r="B240" t="str">
            <v>gadel034</v>
          </cell>
          <cell r="BE240">
            <v>4114393.3480000002</v>
          </cell>
        </row>
        <row r="241">
          <cell r="B241" t="str">
            <v>gaeas037</v>
          </cell>
          <cell r="BE241">
            <v>5624536.0419999994</v>
          </cell>
        </row>
        <row r="242">
          <cell r="B242" t="str">
            <v>padun003</v>
          </cell>
          <cell r="BE242">
            <v>3835846.75</v>
          </cell>
        </row>
        <row r="243">
          <cell r="B243" t="str">
            <v>gasto038</v>
          </cell>
          <cell r="BE243">
            <v>2728772.94</v>
          </cell>
        </row>
        <row r="244">
          <cell r="B244" t="str">
            <v>xtndelp2</v>
          </cell>
          <cell r="BE244">
            <v>3766261.9428294571</v>
          </cell>
        </row>
        <row r="245">
          <cell r="B245" t="str">
            <v>xtndelp1</v>
          </cell>
          <cell r="BE245">
            <v>4007302.7071705433</v>
          </cell>
        </row>
        <row r="246">
          <cell r="B246" t="str">
            <v>xtndelp1</v>
          </cell>
          <cell r="BE246">
            <v>7773564.6500000004</v>
          </cell>
        </row>
        <row r="247">
          <cell r="B247" t="str">
            <v>xflstuar</v>
          </cell>
          <cell r="BE247">
            <v>1478856</v>
          </cell>
        </row>
        <row r="248">
          <cell r="B248" t="str">
            <v>xtxwebbl</v>
          </cell>
          <cell r="BE248">
            <v>2026447.7</v>
          </cell>
        </row>
        <row r="249">
          <cell r="B249" t="str">
            <v>xohmost</v>
          </cell>
          <cell r="BE249">
            <v>8534914.4299999997</v>
          </cell>
        </row>
        <row r="250">
          <cell r="B250" t="str">
            <v>xnj2036b</v>
          </cell>
          <cell r="BE250">
            <v>3259500.4794333754</v>
          </cell>
        </row>
        <row r="251">
          <cell r="B251" t="str">
            <v>xnj6000i</v>
          </cell>
          <cell r="BE251">
            <v>3773608.7805400277</v>
          </cell>
        </row>
        <row r="252">
          <cell r="B252" t="str">
            <v>xnj3001i</v>
          </cell>
          <cell r="BE252">
            <v>7447104.740026596</v>
          </cell>
        </row>
        <row r="253">
          <cell r="B253" t="str">
            <v>xtxdrysd</v>
          </cell>
          <cell r="BE253">
            <v>2425686.0499999998</v>
          </cell>
        </row>
        <row r="254">
          <cell r="B254" t="str">
            <v>xtxball</v>
          </cell>
          <cell r="BE254">
            <v>3725512.63</v>
          </cell>
        </row>
        <row r="255">
          <cell r="B255" t="str">
            <v>xgahire6</v>
          </cell>
          <cell r="BE255">
            <v>1571208.85474365</v>
          </cell>
        </row>
        <row r="256">
          <cell r="B256" t="str">
            <v>xgahire8</v>
          </cell>
          <cell r="BE256">
            <v>1801457.6621926478</v>
          </cell>
        </row>
        <row r="257">
          <cell r="B257" t="str">
            <v>xgahire2</v>
          </cell>
          <cell r="BE257">
            <v>2467715.51944421</v>
          </cell>
        </row>
        <row r="258">
          <cell r="B258" t="str">
            <v>xgahire7</v>
          </cell>
          <cell r="BE258">
            <v>2563511.7836680999</v>
          </cell>
        </row>
        <row r="259">
          <cell r="B259" t="str">
            <v>xgahire4</v>
          </cell>
          <cell r="BE259">
            <v>3280341.8117489247</v>
          </cell>
        </row>
        <row r="260">
          <cell r="B260" t="str">
            <v>xgahire5</v>
          </cell>
          <cell r="BE260">
            <v>3667467.5572805316</v>
          </cell>
        </row>
        <row r="261">
          <cell r="B261" t="str">
            <v>xgahire3</v>
          </cell>
          <cell r="BE261">
            <v>3831944.3948755171</v>
          </cell>
        </row>
        <row r="262">
          <cell r="B262" t="str">
            <v>xgahire1</v>
          </cell>
          <cell r="BE262">
            <v>3940688.6360464171</v>
          </cell>
        </row>
        <row r="263">
          <cell r="B263" t="str">
            <v>xnjmway7</v>
          </cell>
          <cell r="BE263">
            <v>3017838.5742617985</v>
          </cell>
        </row>
        <row r="264">
          <cell r="B264" t="str">
            <v>xnjmway5</v>
          </cell>
          <cell r="BE264">
            <v>3020206.2996094734</v>
          </cell>
        </row>
        <row r="265">
          <cell r="B265" t="str">
            <v>xnjmway3</v>
          </cell>
          <cell r="BE265">
            <v>3020847.4618669301</v>
          </cell>
        </row>
        <row r="266">
          <cell r="B266" t="str">
            <v>xnjmway9</v>
          </cell>
          <cell r="BE266">
            <v>3017838.5742617985</v>
          </cell>
        </row>
        <row r="267">
          <cell r="B267" t="str">
            <v>xgashaw6</v>
          </cell>
          <cell r="BE267">
            <v>983398.8112140845</v>
          </cell>
        </row>
        <row r="268">
          <cell r="B268" t="str">
            <v>xgashaw2</v>
          </cell>
          <cell r="BE268">
            <v>985579.29638307355</v>
          </cell>
        </row>
        <row r="269">
          <cell r="B269" t="str">
            <v>xgashaw1</v>
          </cell>
          <cell r="BE269">
            <v>1395510.5081530246</v>
          </cell>
        </row>
        <row r="270">
          <cell r="B270" t="str">
            <v>xgashaw5</v>
          </cell>
          <cell r="BE270">
            <v>1549539.9804904147</v>
          </cell>
        </row>
        <row r="271">
          <cell r="B271" t="str">
            <v>xgashaw4</v>
          </cell>
          <cell r="BE271">
            <v>1936270.8300623216</v>
          </cell>
        </row>
        <row r="272">
          <cell r="B272" t="str">
            <v>xgashaw3</v>
          </cell>
          <cell r="BE272">
            <v>2344457.6536970814</v>
          </cell>
        </row>
        <row r="273">
          <cell r="B273" t="str">
            <v>xnjmorri</v>
          </cell>
          <cell r="BE273">
            <v>2465509.17</v>
          </cell>
        </row>
        <row r="274">
          <cell r="B274" t="str">
            <v>xtxglen</v>
          </cell>
          <cell r="BE274">
            <v>6379987.75</v>
          </cell>
        </row>
        <row r="275">
          <cell r="B275" t="str">
            <v>xilmitch</v>
          </cell>
          <cell r="BE275">
            <v>2229330.9900000002</v>
          </cell>
        </row>
        <row r="276">
          <cell r="B276" t="str">
            <v>xgamc260</v>
          </cell>
          <cell r="BE276">
            <v>1211332.8954557376</v>
          </cell>
        </row>
        <row r="277">
          <cell r="B277" t="str">
            <v>xgamc220</v>
          </cell>
          <cell r="BE277">
            <v>2898598.3695079796</v>
          </cell>
        </row>
        <row r="278">
          <cell r="B278" t="str">
            <v>xgamc255</v>
          </cell>
          <cell r="BE278">
            <v>3330802.8748310274</v>
          </cell>
        </row>
        <row r="279">
          <cell r="B279" t="str">
            <v>xgamc200</v>
          </cell>
          <cell r="BE279">
            <v>3342115.610205255</v>
          </cell>
        </row>
        <row r="280">
          <cell r="B280" t="str">
            <v>xohcomme</v>
          </cell>
          <cell r="BE280">
            <v>3711751.41</v>
          </cell>
        </row>
        <row r="281">
          <cell r="B281" t="str">
            <v>xilmount</v>
          </cell>
          <cell r="BE281">
            <v>4493415.03</v>
          </cell>
        </row>
        <row r="282">
          <cell r="B282" t="str">
            <v>xtxritti</v>
          </cell>
          <cell r="BE282">
            <v>8139481.8799999999</v>
          </cell>
        </row>
        <row r="283">
          <cell r="B283" t="str">
            <v>xpastate</v>
          </cell>
          <cell r="BE283">
            <v>2851182.43</v>
          </cell>
        </row>
        <row r="284">
          <cell r="B284" t="str">
            <v>xtxmorto</v>
          </cell>
          <cell r="BE284">
            <v>14404954.689999999</v>
          </cell>
        </row>
        <row r="285">
          <cell r="B285" t="str">
            <v>xnjcentr</v>
          </cell>
          <cell r="BE285">
            <v>1347117.02</v>
          </cell>
        </row>
        <row r="286">
          <cell r="B286" t="str">
            <v>xtn225bo</v>
          </cell>
          <cell r="BE286">
            <v>2759833.9</v>
          </cell>
        </row>
        <row r="287">
          <cell r="B287" t="str">
            <v>xtn187bo</v>
          </cell>
          <cell r="BE287">
            <v>4129742.85</v>
          </cell>
        </row>
        <row r="288">
          <cell r="B288" t="str">
            <v>xpa1peae</v>
          </cell>
          <cell r="BE288">
            <v>2536072.4999999995</v>
          </cell>
        </row>
        <row r="289">
          <cell r="B289" t="str">
            <v>xil305e</v>
          </cell>
          <cell r="BE289">
            <v>5288917.6029069759</v>
          </cell>
        </row>
        <row r="290">
          <cell r="B290" t="str">
            <v>xil1terr</v>
          </cell>
          <cell r="BE290">
            <v>6044477.2604651162</v>
          </cell>
        </row>
        <row r="291">
          <cell r="B291" t="str">
            <v>xil1601</v>
          </cell>
          <cell r="BE291">
            <v>7051890.1372093018</v>
          </cell>
        </row>
        <row r="292">
          <cell r="B292" t="str">
            <v>xil1688</v>
          </cell>
          <cell r="BE292">
            <v>7605967.2194186049</v>
          </cell>
        </row>
        <row r="293">
          <cell r="B293" t="str">
            <v>xil747</v>
          </cell>
          <cell r="BE293">
            <v>13557497.14916585</v>
          </cell>
        </row>
        <row r="294">
          <cell r="B294" t="str">
            <v>xil1111</v>
          </cell>
          <cell r="BE294">
            <v>13808561.911187438</v>
          </cell>
        </row>
        <row r="295">
          <cell r="B295" t="str">
            <v>xil1600</v>
          </cell>
          <cell r="BE295">
            <v>23800939.43964671</v>
          </cell>
        </row>
        <row r="296">
          <cell r="B296" t="str">
            <v>xnj7550</v>
          </cell>
          <cell r="BE296">
            <v>1813621.69</v>
          </cell>
        </row>
        <row r="297">
          <cell r="B297" t="str">
            <v>xga130j</v>
          </cell>
          <cell r="BE297">
            <v>1627513.24</v>
          </cell>
        </row>
        <row r="298">
          <cell r="B298" t="str">
            <v>xil900b</v>
          </cell>
          <cell r="BE298">
            <v>3699836.29</v>
          </cell>
        </row>
        <row r="299">
          <cell r="B299" t="str">
            <v>xga9330</v>
          </cell>
          <cell r="BE299">
            <v>2054065.25</v>
          </cell>
        </row>
        <row r="300">
          <cell r="B300" t="str">
            <v>xnj440be</v>
          </cell>
          <cell r="BE300">
            <v>4055424.7991347439</v>
          </cell>
        </row>
        <row r="301">
          <cell r="B301" t="str">
            <v>xnj420be</v>
          </cell>
          <cell r="BE301">
            <v>5012385.3608652567</v>
          </cell>
        </row>
        <row r="302">
          <cell r="B302" t="str">
            <v>xnj6965</v>
          </cell>
          <cell r="BE302">
            <v>11396864.779999999</v>
          </cell>
        </row>
        <row r="303">
          <cell r="B303" t="str">
            <v>xnj900k</v>
          </cell>
          <cell r="BE303">
            <v>3457697.25</v>
          </cell>
        </row>
        <row r="304">
          <cell r="B304" t="str">
            <v>xnj313c</v>
          </cell>
          <cell r="BE304">
            <v>5148414.62</v>
          </cell>
        </row>
        <row r="305">
          <cell r="B305" t="str">
            <v>xnj52col</v>
          </cell>
          <cell r="BE305">
            <v>3163923.44</v>
          </cell>
        </row>
        <row r="306">
          <cell r="B306" t="str">
            <v>xnj845l</v>
          </cell>
          <cell r="BE306">
            <v>2133718.31</v>
          </cell>
        </row>
        <row r="307">
          <cell r="B307" t="str">
            <v>xga4225</v>
          </cell>
          <cell r="BE307">
            <v>2431600.5</v>
          </cell>
        </row>
        <row r="308">
          <cell r="B308" t="str">
            <v>xga265c</v>
          </cell>
          <cell r="BE308">
            <v>5646381.8100000005</v>
          </cell>
        </row>
        <row r="309">
          <cell r="B309" t="str">
            <v>xnj390n</v>
          </cell>
          <cell r="BE309">
            <v>4349292.53</v>
          </cell>
        </row>
        <row r="310">
          <cell r="B310" t="str">
            <v>xnj1010</v>
          </cell>
          <cell r="BE310">
            <v>3788806.13</v>
          </cell>
        </row>
        <row r="311">
          <cell r="B311" t="str">
            <v>xga4601</v>
          </cell>
          <cell r="BE311">
            <v>7551494.2300000004</v>
          </cell>
        </row>
        <row r="312">
          <cell r="B312" t="str">
            <v>xga5070</v>
          </cell>
          <cell r="BE312">
            <v>2532254.5299999998</v>
          </cell>
        </row>
        <row r="313">
          <cell r="B313" t="str">
            <v>xgadors</v>
          </cell>
          <cell r="BE313">
            <v>10065359.5</v>
          </cell>
        </row>
        <row r="314">
          <cell r="B314" t="str">
            <v>xga1157</v>
          </cell>
          <cell r="BE314">
            <v>10306706.59</v>
          </cell>
        </row>
        <row r="315">
          <cell r="B315" t="str">
            <v>xil2101</v>
          </cell>
          <cell r="BE315">
            <v>6286990.4128767122</v>
          </cell>
        </row>
        <row r="316">
          <cell r="B316" t="str">
            <v>xnj108n</v>
          </cell>
          <cell r="BE316">
            <v>2787975.41</v>
          </cell>
        </row>
        <row r="317">
          <cell r="B317" t="str">
            <v>xoh8655</v>
          </cell>
          <cell r="BE317">
            <v>2346923.5299999998</v>
          </cell>
        </row>
        <row r="318">
          <cell r="B318" t="str">
            <v>xpa12111</v>
          </cell>
          <cell r="BE318">
            <v>11188352.26</v>
          </cell>
        </row>
        <row r="319">
          <cell r="B319" t="str">
            <v>xpa327c</v>
          </cell>
          <cell r="BE319">
            <v>8116630.21</v>
          </cell>
        </row>
        <row r="320">
          <cell r="B320" t="str">
            <v>xtx1121</v>
          </cell>
          <cell r="BE320">
            <v>4290286</v>
          </cell>
        </row>
        <row r="321">
          <cell r="B321" t="str">
            <v>xnj14th</v>
          </cell>
          <cell r="BE321">
            <v>4962287.62</v>
          </cell>
        </row>
        <row r="322">
          <cell r="B322" t="str">
            <v>xoh382c</v>
          </cell>
          <cell r="BE322">
            <v>3152708.23</v>
          </cell>
        </row>
        <row r="323">
          <cell r="B323" t="str">
            <v>xnj220r</v>
          </cell>
          <cell r="BE323">
            <v>6389548.8399999999</v>
          </cell>
        </row>
        <row r="324">
          <cell r="B324" t="str">
            <v>xnj10tw</v>
          </cell>
          <cell r="BE324">
            <v>4637608.8600000003</v>
          </cell>
        </row>
        <row r="325">
          <cell r="B325" t="str">
            <v>xil250n</v>
          </cell>
          <cell r="BE325">
            <v>6199188.29</v>
          </cell>
        </row>
        <row r="326">
          <cell r="B326" t="str">
            <v>xtnawg2</v>
          </cell>
          <cell r="BE326">
            <v>6720001.1363102021</v>
          </cell>
        </row>
        <row r="327">
          <cell r="B327" t="str">
            <v>xtnawg1</v>
          </cell>
          <cell r="BE327">
            <v>13262410.343689799</v>
          </cell>
        </row>
        <row r="328">
          <cell r="B328" t="str">
            <v>xil529t</v>
          </cell>
          <cell r="BE328">
            <v>6173530.3561643837</v>
          </cell>
        </row>
        <row r="329">
          <cell r="B329" t="str">
            <v>xil700h</v>
          </cell>
          <cell r="BE329">
            <v>3038680</v>
          </cell>
        </row>
        <row r="330">
          <cell r="B330" t="str">
            <v>xga4507m</v>
          </cell>
          <cell r="BE330">
            <v>8190190.9100000001</v>
          </cell>
        </row>
        <row r="331">
          <cell r="B331" t="str">
            <v>xnj740co</v>
          </cell>
          <cell r="BE331">
            <v>15016846.75</v>
          </cell>
        </row>
        <row r="332">
          <cell r="B332" t="str">
            <v>xky4175a</v>
          </cell>
          <cell r="BE332">
            <v>17998414.25</v>
          </cell>
        </row>
        <row r="333">
          <cell r="B333" t="str">
            <v>xtx4201n</v>
          </cell>
          <cell r="BE333">
            <v>24033829</v>
          </cell>
        </row>
        <row r="334">
          <cell r="B334" t="str">
            <v>xil2500w</v>
          </cell>
          <cell r="BE334">
            <v>1689875.26</v>
          </cell>
        </row>
        <row r="335">
          <cell r="B335" t="str">
            <v>xga5121b</v>
          </cell>
          <cell r="BE335">
            <v>2804486.68</v>
          </cell>
        </row>
        <row r="336">
          <cell r="B336" t="str">
            <v>xga4680n</v>
          </cell>
          <cell r="BE336">
            <v>5417061.5</v>
          </cell>
        </row>
        <row r="337">
          <cell r="B337" t="str">
            <v>xga2100b</v>
          </cell>
          <cell r="BE337">
            <v>12671391.5</v>
          </cell>
        </row>
        <row r="338">
          <cell r="B338" t="str">
            <v>xnj95bau</v>
          </cell>
          <cell r="BE338">
            <v>2299436.4633107767</v>
          </cell>
        </row>
        <row r="339">
          <cell r="B339" t="str">
            <v>xohcolu3</v>
          </cell>
          <cell r="BE339">
            <v>909995.34545454546</v>
          </cell>
        </row>
        <row r="340">
          <cell r="B340" t="str">
            <v>xnj156al</v>
          </cell>
          <cell r="BE340">
            <v>2941631.920074868</v>
          </cell>
        </row>
        <row r="341">
          <cell r="B341" t="str">
            <v>xohcolu2</v>
          </cell>
          <cell r="BE341">
            <v>1162771.8303030301</v>
          </cell>
        </row>
        <row r="342">
          <cell r="B342" t="str">
            <v>xnj145al</v>
          </cell>
          <cell r="BE342">
            <v>3666006.7980262642</v>
          </cell>
        </row>
        <row r="343">
          <cell r="B343" t="str">
            <v>xohcolu4</v>
          </cell>
          <cell r="BE343">
            <v>1921101.2848484849</v>
          </cell>
        </row>
        <row r="344">
          <cell r="B344" t="str">
            <v>xnj30les</v>
          </cell>
          <cell r="BE344">
            <v>4235659.2527969824</v>
          </cell>
        </row>
        <row r="345">
          <cell r="B345" t="str">
            <v>xtx3662m</v>
          </cell>
          <cell r="BE345">
            <v>3873196.7192302858</v>
          </cell>
        </row>
        <row r="346">
          <cell r="B346" t="str">
            <v>xnj128ba</v>
          </cell>
          <cell r="BE346">
            <v>9461440.6088003162</v>
          </cell>
        </row>
        <row r="347">
          <cell r="B347" t="str">
            <v>xtx12150</v>
          </cell>
          <cell r="BE347">
            <v>4039111.0307697142</v>
          </cell>
        </row>
        <row r="348">
          <cell r="B348" t="str">
            <v>xnj40pot</v>
          </cell>
          <cell r="BE348">
            <v>22580452.662500229</v>
          </cell>
        </row>
        <row r="349">
          <cell r="B349" t="str">
            <v>xohcolu1</v>
          </cell>
          <cell r="BE349">
            <v>4347755.53939394</v>
          </cell>
        </row>
        <row r="350">
          <cell r="B350" t="str">
            <v>xnj125al</v>
          </cell>
          <cell r="BE350">
            <v>15302200.171932075</v>
          </cell>
        </row>
        <row r="351">
          <cell r="B351" t="str">
            <v>xnj17pol</v>
          </cell>
          <cell r="BE351">
            <v>16844946.557750642</v>
          </cell>
        </row>
        <row r="352">
          <cell r="B352" t="str">
            <v>xnj5thor</v>
          </cell>
          <cell r="BE352">
            <v>28206210.070013888</v>
          </cell>
        </row>
        <row r="353">
          <cell r="B353" t="str">
            <v>xnj19nev</v>
          </cell>
          <cell r="BE353">
            <v>27955784.369775094</v>
          </cell>
        </row>
        <row r="354">
          <cell r="B354" t="str">
            <v>xga800in</v>
          </cell>
          <cell r="BE354">
            <v>7298190.5099999998</v>
          </cell>
        </row>
        <row r="355">
          <cell r="B355" t="str">
            <v>xnj14rol</v>
          </cell>
          <cell r="BE355">
            <v>2136837.0499999998</v>
          </cell>
        </row>
        <row r="356">
          <cell r="B356" t="str">
            <v>xil464no</v>
          </cell>
          <cell r="BE356">
            <v>2172572.4522425313</v>
          </cell>
        </row>
        <row r="357">
          <cell r="B357" t="str">
            <v>xil77whe</v>
          </cell>
          <cell r="BE357">
            <v>6414179.3377574692</v>
          </cell>
        </row>
        <row r="358">
          <cell r="B358" t="str">
            <v>xnj1601s</v>
          </cell>
          <cell r="BE358">
            <v>6221915.4800000004</v>
          </cell>
        </row>
        <row r="359">
          <cell r="B359" t="str">
            <v>xil770ar</v>
          </cell>
          <cell r="BE359">
            <v>4954431.6552054798</v>
          </cell>
        </row>
        <row r="360">
          <cell r="B360" t="str">
            <v>xga800wh</v>
          </cell>
          <cell r="BE360">
            <v>4599654.8499999996</v>
          </cell>
        </row>
        <row r="361">
          <cell r="B361" t="str">
            <v>xtx8154b</v>
          </cell>
          <cell r="BE361">
            <v>3945917.01</v>
          </cell>
        </row>
        <row r="362">
          <cell r="B362" t="str">
            <v>xfl3900w</v>
          </cell>
          <cell r="BE362">
            <v>7276013.6200000001</v>
          </cell>
        </row>
        <row r="363">
          <cell r="B363" t="str">
            <v>xfl11660</v>
          </cell>
          <cell r="BE363">
            <v>8387069.8799999999</v>
          </cell>
        </row>
        <row r="364">
          <cell r="B364" t="str">
            <v>xpa18rai</v>
          </cell>
          <cell r="BE364">
            <v>14435101.210000001</v>
          </cell>
        </row>
        <row r="365">
          <cell r="B365" t="str">
            <v>xil1000a</v>
          </cell>
          <cell r="BE365">
            <v>3145138.0999999996</v>
          </cell>
        </row>
        <row r="366">
          <cell r="B366" t="str">
            <v>xtx2125v</v>
          </cell>
          <cell r="BE366">
            <v>3731265.38</v>
          </cell>
        </row>
        <row r="367">
          <cell r="B367" t="str">
            <v>xnj2075h</v>
          </cell>
          <cell r="BE367">
            <v>3079558.92</v>
          </cell>
        </row>
        <row r="368">
          <cell r="B368" t="str">
            <v>xnj200ri</v>
          </cell>
          <cell r="BE368">
            <v>7388786.21</v>
          </cell>
        </row>
        <row r="369">
          <cell r="B369" t="str">
            <v>xtx1919a</v>
          </cell>
          <cell r="BE369">
            <v>5290824.7605790002</v>
          </cell>
        </row>
        <row r="370">
          <cell r="B370" t="str">
            <v>xga4600f</v>
          </cell>
          <cell r="BE370">
            <v>6290207.7999999998</v>
          </cell>
        </row>
        <row r="371">
          <cell r="B371" t="str">
            <v>xtx310an</v>
          </cell>
          <cell r="BE371">
            <v>8099643.0569000002</v>
          </cell>
        </row>
        <row r="372">
          <cell r="B372" t="str">
            <v>xtx111pl</v>
          </cell>
          <cell r="BE372">
            <v>12781040.692521</v>
          </cell>
        </row>
        <row r="373">
          <cell r="B373" t="str">
            <v>xil1001a</v>
          </cell>
          <cell r="BE373">
            <v>1739258.25</v>
          </cell>
        </row>
        <row r="374">
          <cell r="B374" t="str">
            <v>xtx2616a</v>
          </cell>
          <cell r="BE374">
            <v>2717273.75</v>
          </cell>
        </row>
        <row r="375">
          <cell r="B375" t="str">
            <v>xfl4646g</v>
          </cell>
          <cell r="BE375">
            <v>7030747.9800000004</v>
          </cell>
        </row>
        <row r="376">
          <cell r="B376" t="str">
            <v>xnj9100p</v>
          </cell>
          <cell r="BE376">
            <v>3800972.86</v>
          </cell>
        </row>
        <row r="377">
          <cell r="B377" t="str">
            <v>xnj400wa</v>
          </cell>
          <cell r="BE377">
            <v>2768400.4</v>
          </cell>
        </row>
        <row r="378">
          <cell r="B378" t="str">
            <v>xtx467wa</v>
          </cell>
          <cell r="BE378">
            <v>3034330.56</v>
          </cell>
        </row>
        <row r="379">
          <cell r="B379" t="str">
            <v>xga3350h</v>
          </cell>
          <cell r="BE379">
            <v>6999894.71</v>
          </cell>
        </row>
        <row r="380">
          <cell r="B380" t="str">
            <v>xil121lo</v>
          </cell>
          <cell r="BE380">
            <v>2030464.5</v>
          </cell>
        </row>
        <row r="381">
          <cell r="B381" t="str">
            <v>xfl7720p</v>
          </cell>
          <cell r="BE381">
            <v>9667786.9299999997</v>
          </cell>
        </row>
        <row r="382">
          <cell r="B382" t="str">
            <v>xpa4200m</v>
          </cell>
          <cell r="BE382">
            <v>3096861.38</v>
          </cell>
        </row>
        <row r="383">
          <cell r="B383" t="str">
            <v>xtx10704</v>
          </cell>
          <cell r="BE383">
            <v>3076823</v>
          </cell>
        </row>
        <row r="384">
          <cell r="B384" t="str">
            <v>xpa500ma</v>
          </cell>
          <cell r="BE384">
            <v>8834342.0499999989</v>
          </cell>
        </row>
        <row r="385">
          <cell r="B385" t="str">
            <v>xfl420sw</v>
          </cell>
          <cell r="BE385">
            <v>3289977.57</v>
          </cell>
        </row>
        <row r="386">
          <cell r="B386" t="str">
            <v>xnj121mo</v>
          </cell>
          <cell r="BE386">
            <v>18419265.489999998</v>
          </cell>
        </row>
        <row r="387">
          <cell r="B387" t="str">
            <v>xtx2655</v>
          </cell>
          <cell r="BE387">
            <v>2447122.29</v>
          </cell>
        </row>
        <row r="388">
          <cell r="B388" t="str">
            <v>xnj121hi</v>
          </cell>
          <cell r="BE388">
            <v>5047366.67</v>
          </cell>
        </row>
        <row r="389">
          <cell r="B389" t="str">
            <v>xga401wi</v>
          </cell>
          <cell r="BE389">
            <v>7042675.0099999998</v>
          </cell>
        </row>
        <row r="390">
          <cell r="B390" t="str">
            <v>xil1630b</v>
          </cell>
          <cell r="BE390">
            <v>3854886.9000000004</v>
          </cell>
        </row>
        <row r="391">
          <cell r="B391" t="str">
            <v>xil1600b</v>
          </cell>
          <cell r="BE391">
            <v>5782330.3500000006</v>
          </cell>
        </row>
        <row r="392">
          <cell r="B392" t="str">
            <v>xtn3961o</v>
          </cell>
          <cell r="BE392">
            <v>4838395.8600000003</v>
          </cell>
        </row>
        <row r="393">
          <cell r="B393" t="str">
            <v>xil1200p</v>
          </cell>
          <cell r="BE393">
            <v>2888452.57</v>
          </cell>
        </row>
        <row r="394">
          <cell r="B394" t="str">
            <v>xga9335i</v>
          </cell>
          <cell r="BE394">
            <v>3335623.65</v>
          </cell>
        </row>
        <row r="395">
          <cell r="B395" t="str">
            <v>xil141be</v>
          </cell>
          <cell r="BE395">
            <v>1205965.4034962079</v>
          </cell>
        </row>
        <row r="396">
          <cell r="B396" t="str">
            <v>xil201ja</v>
          </cell>
          <cell r="BE396">
            <v>2265408.0618076534</v>
          </cell>
        </row>
        <row r="397">
          <cell r="B397" t="str">
            <v>xil240ja</v>
          </cell>
          <cell r="BE397">
            <v>3358424.9760578857</v>
          </cell>
        </row>
        <row r="398">
          <cell r="B398" t="str">
            <v>xil231ja</v>
          </cell>
          <cell r="BE398">
            <v>4146183.97834124</v>
          </cell>
        </row>
        <row r="399">
          <cell r="B399" t="str">
            <v>xil11697</v>
          </cell>
          <cell r="BE399">
            <v>4241024.2</v>
          </cell>
        </row>
        <row r="400">
          <cell r="B400" t="str">
            <v>xnj2050h</v>
          </cell>
          <cell r="BE400">
            <v>3050865.14</v>
          </cell>
        </row>
        <row r="401">
          <cell r="B401" t="str">
            <v>xnj6925s</v>
          </cell>
          <cell r="BE401">
            <v>2344214.73</v>
          </cell>
        </row>
        <row r="402">
          <cell r="B402" t="str">
            <v>xtx1709s</v>
          </cell>
          <cell r="BE402">
            <v>23774427.629999999</v>
          </cell>
        </row>
        <row r="403">
          <cell r="B403" t="str">
            <v>xtx3857m</v>
          </cell>
          <cell r="BE403">
            <v>4161304.76</v>
          </cell>
        </row>
        <row r="404">
          <cell r="B404" t="str">
            <v>xtx1050k</v>
          </cell>
          <cell r="BE404">
            <v>5962844.5499999998</v>
          </cell>
        </row>
        <row r="405">
          <cell r="B405" t="str">
            <v>xtx2445s</v>
          </cell>
          <cell r="BE405">
            <v>5449462.1799999997</v>
          </cell>
        </row>
        <row r="406">
          <cell r="B406" t="str">
            <v>xtx11839</v>
          </cell>
          <cell r="BE406">
            <v>15055400.48</v>
          </cell>
        </row>
        <row r="407">
          <cell r="B407" t="str">
            <v>xtx1721s</v>
          </cell>
          <cell r="BE407">
            <v>4895343.59</v>
          </cell>
        </row>
        <row r="408">
          <cell r="B408" t="str">
            <v>xga3471a</v>
          </cell>
          <cell r="BE408">
            <v>4642063.5599999996</v>
          </cell>
        </row>
        <row r="409">
          <cell r="B409" t="str">
            <v>xnj59cha</v>
          </cell>
          <cell r="BE409">
            <v>1534242.78</v>
          </cell>
        </row>
        <row r="410">
          <cell r="B410" t="str">
            <v>xil7760m</v>
          </cell>
          <cell r="BE410">
            <v>5245664.1500000004</v>
          </cell>
        </row>
        <row r="411">
          <cell r="B411" t="str">
            <v>xil2710l</v>
          </cell>
          <cell r="BE411">
            <v>2557198.33</v>
          </cell>
        </row>
        <row r="412">
          <cell r="B412" t="str">
            <v>xga4450c</v>
          </cell>
          <cell r="BE412">
            <v>1656750.2</v>
          </cell>
        </row>
        <row r="413">
          <cell r="B413" t="str">
            <v>xil1000e</v>
          </cell>
          <cell r="BE413">
            <v>2756890.85</v>
          </cell>
        </row>
        <row r="414">
          <cell r="B414" t="str">
            <v>xnj19ind</v>
          </cell>
          <cell r="BE414">
            <v>9715133.6899999995</v>
          </cell>
        </row>
        <row r="415">
          <cell r="B415" t="str">
            <v>xfl3333c</v>
          </cell>
          <cell r="BE415">
            <v>5748626.7700000005</v>
          </cell>
        </row>
        <row r="416">
          <cell r="B416" t="str">
            <v>xga1610s</v>
          </cell>
          <cell r="BE416">
            <v>3236028.63</v>
          </cell>
        </row>
        <row r="417">
          <cell r="B417" t="str">
            <v>xga2900j</v>
          </cell>
          <cell r="BE417">
            <v>9965907.6699999999</v>
          </cell>
        </row>
        <row r="418">
          <cell r="B418" t="str">
            <v>xpa3041m</v>
          </cell>
          <cell r="BE418">
            <v>7597619.46</v>
          </cell>
        </row>
        <row r="419">
          <cell r="B419" t="str">
            <v>xtx4666d</v>
          </cell>
          <cell r="BE419">
            <v>13566791.369999999</v>
          </cell>
        </row>
        <row r="420">
          <cell r="B420" t="str">
            <v>xga3651c</v>
          </cell>
          <cell r="BE420">
            <v>3277391.32</v>
          </cell>
        </row>
        <row r="421">
          <cell r="B421" t="str">
            <v>xil222ja</v>
          </cell>
          <cell r="BE421">
            <v>2199306.16</v>
          </cell>
        </row>
        <row r="422">
          <cell r="B422" t="str">
            <v>xnj70cat</v>
          </cell>
          <cell r="BE422">
            <v>1633214.99</v>
          </cell>
        </row>
        <row r="423">
          <cell r="B423" t="str">
            <v>xnj6900r</v>
          </cell>
          <cell r="BE423">
            <v>1785822.95</v>
          </cell>
        </row>
        <row r="424">
          <cell r="B424" t="str">
            <v>xga1585r</v>
          </cell>
          <cell r="BE424">
            <v>5408874.3600000003</v>
          </cell>
        </row>
        <row r="425">
          <cell r="B425" t="str">
            <v>xoh154co</v>
          </cell>
          <cell r="BE425">
            <v>5344079.5</v>
          </cell>
        </row>
        <row r="426">
          <cell r="B426" t="str">
            <v>xnj1803u</v>
          </cell>
          <cell r="BE426">
            <v>1668535.04</v>
          </cell>
        </row>
        <row r="427">
          <cell r="B427" t="str">
            <v>xil1100h</v>
          </cell>
          <cell r="BE427">
            <v>1910869.03</v>
          </cell>
        </row>
        <row r="428">
          <cell r="B428" t="str">
            <v>xil1701b</v>
          </cell>
          <cell r="BE428">
            <v>3946674.92</v>
          </cell>
        </row>
        <row r="429">
          <cell r="B429" t="str">
            <v>xga3100j</v>
          </cell>
          <cell r="BE429">
            <v>4986699.45</v>
          </cell>
        </row>
        <row r="430">
          <cell r="B430" t="str">
            <v>xnj1980o</v>
          </cell>
          <cell r="BE430">
            <v>1757096.22</v>
          </cell>
        </row>
        <row r="431">
          <cell r="B431" t="str">
            <v>xga1145b</v>
          </cell>
          <cell r="BE431">
            <v>5702826.6600000001</v>
          </cell>
        </row>
        <row r="433">
          <cell r="BE433"/>
        </row>
        <row r="436">
          <cell r="BE436"/>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ySQL_0_24102024094604"/>
    </sheetNames>
    <sheetDataSet>
      <sheetData sheetId="0">
        <row r="1">
          <cell r="B1" t="str">
            <v>Property Code</v>
          </cell>
          <cell r="D1" t="str">
            <v>SLB Flag</v>
          </cell>
        </row>
        <row r="2">
          <cell r="B2" t="str">
            <v>txhou002</v>
          </cell>
          <cell r="D2" t="str">
            <v>Yes</v>
          </cell>
        </row>
        <row r="3">
          <cell r="B3" t="str">
            <v>tndan007</v>
          </cell>
          <cell r="D3" t="str">
            <v>Yes</v>
          </cell>
        </row>
        <row r="4">
          <cell r="B4" t="str">
            <v>gable014</v>
          </cell>
          <cell r="D4" t="str">
            <v>Yes</v>
          </cell>
        </row>
        <row r="5">
          <cell r="B5" t="str">
            <v>gable014</v>
          </cell>
          <cell r="D5" t="str">
            <v>Yes</v>
          </cell>
        </row>
        <row r="6">
          <cell r="B6" t="str">
            <v>tnmet016</v>
          </cell>
          <cell r="D6" t="str">
            <v>Yes</v>
          </cell>
        </row>
        <row r="7">
          <cell r="B7" t="str">
            <v>ohclo007</v>
          </cell>
          <cell r="D7" t="str">
            <v>Yes</v>
          </cell>
        </row>
        <row r="8">
          <cell r="B8" t="str">
            <v>gashi019</v>
          </cell>
          <cell r="D8" t="str">
            <v>Yes</v>
          </cell>
        </row>
        <row r="9">
          <cell r="B9" t="str">
            <v>gajon020</v>
          </cell>
          <cell r="D9" t="str">
            <v>Yes</v>
          </cell>
        </row>
        <row r="10">
          <cell r="B10" t="str">
            <v>gamac024</v>
          </cell>
          <cell r="D10" t="str">
            <v>Yes</v>
          </cell>
        </row>
        <row r="11">
          <cell r="B11" t="str">
            <v>txvic008</v>
          </cell>
          <cell r="D11" t="str">
            <v>Yes</v>
          </cell>
        </row>
        <row r="12">
          <cell r="B12" t="str">
            <v>txvic008</v>
          </cell>
          <cell r="D12" t="str">
            <v>Yes</v>
          </cell>
        </row>
        <row r="13">
          <cell r="B13" t="str">
            <v>njhig121</v>
          </cell>
          <cell r="D13" t="str">
            <v>Yes</v>
          </cell>
        </row>
        <row r="14">
          <cell r="B14" t="str">
            <v>garon030</v>
          </cell>
          <cell r="D14" t="str">
            <v>Yes</v>
          </cell>
        </row>
        <row r="15">
          <cell r="B15" t="str">
            <v>gaent031</v>
          </cell>
          <cell r="D15" t="str">
            <v>Yes</v>
          </cell>
        </row>
        <row r="16">
          <cell r="B16" t="str">
            <v>gaeas037</v>
          </cell>
          <cell r="D16" t="str">
            <v>Yes</v>
          </cell>
        </row>
        <row r="17">
          <cell r="B17" t="str">
            <v>xgahire1</v>
          </cell>
          <cell r="D17" t="str">
            <v>Yes</v>
          </cell>
        </row>
        <row r="18">
          <cell r="B18" t="str">
            <v>xgahire2</v>
          </cell>
          <cell r="D18" t="str">
            <v>Yes</v>
          </cell>
        </row>
        <row r="19">
          <cell r="B19" t="str">
            <v>xgahire3</v>
          </cell>
          <cell r="D19" t="str">
            <v>Yes</v>
          </cell>
        </row>
        <row r="20">
          <cell r="B20" t="str">
            <v>xgahire4</v>
          </cell>
          <cell r="D20" t="str">
            <v>Yes</v>
          </cell>
        </row>
        <row r="21">
          <cell r="B21" t="str">
            <v>xgahire5</v>
          </cell>
          <cell r="D21" t="str">
            <v>Yes</v>
          </cell>
        </row>
        <row r="22">
          <cell r="B22" t="str">
            <v>xgahire6</v>
          </cell>
          <cell r="D22" t="str">
            <v>Yes</v>
          </cell>
        </row>
        <row r="23">
          <cell r="B23" t="str">
            <v>xgahire7</v>
          </cell>
          <cell r="D23" t="str">
            <v>Yes</v>
          </cell>
        </row>
        <row r="24">
          <cell r="B24" t="str">
            <v>xgahire8</v>
          </cell>
          <cell r="D24" t="str">
            <v>Yes</v>
          </cell>
        </row>
        <row r="25">
          <cell r="B25" t="str">
            <v>xgashaw1</v>
          </cell>
          <cell r="D25" t="str">
            <v>Yes</v>
          </cell>
        </row>
        <row r="26">
          <cell r="B26" t="str">
            <v>xgashaw2</v>
          </cell>
          <cell r="D26" t="str">
            <v>Yes</v>
          </cell>
        </row>
        <row r="27">
          <cell r="B27" t="str">
            <v>xgashaw3</v>
          </cell>
          <cell r="D27" t="str">
            <v>Yes</v>
          </cell>
        </row>
        <row r="28">
          <cell r="B28" t="str">
            <v>xgashaw4</v>
          </cell>
          <cell r="D28" t="str">
            <v>Yes</v>
          </cell>
        </row>
        <row r="29">
          <cell r="B29" t="str">
            <v>xgashaw5</v>
          </cell>
          <cell r="D29" t="str">
            <v>Yes</v>
          </cell>
        </row>
        <row r="30">
          <cell r="B30" t="str">
            <v>xgashaw6</v>
          </cell>
          <cell r="D30" t="str">
            <v>Yes</v>
          </cell>
        </row>
        <row r="31">
          <cell r="B31" t="str">
            <v>xnjcentr</v>
          </cell>
          <cell r="D31" t="str">
            <v>Yes</v>
          </cell>
        </row>
        <row r="32">
          <cell r="B32" t="str">
            <v>xnjcentr</v>
          </cell>
          <cell r="D32" t="str">
            <v>Yes</v>
          </cell>
        </row>
        <row r="33">
          <cell r="B33" t="str">
            <v>xnjcentr</v>
          </cell>
          <cell r="D33" t="str">
            <v>Yes</v>
          </cell>
        </row>
        <row r="34">
          <cell r="B34" t="str">
            <v xml:space="preserve">xnj6965 </v>
          </cell>
          <cell r="D34" t="str">
            <v>Yes</v>
          </cell>
        </row>
        <row r="35">
          <cell r="B35" t="str">
            <v xml:space="preserve">xnj313c </v>
          </cell>
          <cell r="D35" t="str">
            <v>Yes</v>
          </cell>
        </row>
        <row r="36">
          <cell r="B36" t="str">
            <v>xnj52col</v>
          </cell>
          <cell r="D36" t="str">
            <v>Yes</v>
          </cell>
        </row>
        <row r="37">
          <cell r="B37" t="str">
            <v xml:space="preserve">xga9330 </v>
          </cell>
          <cell r="D37" t="str">
            <v>Yes</v>
          </cell>
        </row>
        <row r="38">
          <cell r="B38" t="str">
            <v xml:space="preserve">xnj845l </v>
          </cell>
          <cell r="D38" t="str">
            <v>Yes</v>
          </cell>
        </row>
        <row r="39">
          <cell r="B39" t="str">
            <v xml:space="preserve">xnj1010 </v>
          </cell>
          <cell r="D39" t="str">
            <v>Yes</v>
          </cell>
        </row>
        <row r="40">
          <cell r="B40" t="str">
            <v xml:space="preserve">xga265c </v>
          </cell>
          <cell r="D40" t="str">
            <v>Yes</v>
          </cell>
        </row>
        <row r="41">
          <cell r="B41" t="str">
            <v xml:space="preserve">xnj390n </v>
          </cell>
          <cell r="D41" t="str">
            <v>Yes</v>
          </cell>
        </row>
        <row r="42">
          <cell r="B42" t="str">
            <v xml:space="preserve">xga1157 </v>
          </cell>
          <cell r="D42" t="str">
            <v>Yes</v>
          </cell>
        </row>
        <row r="43">
          <cell r="B43" t="str">
            <v xml:space="preserve">xga5070 </v>
          </cell>
          <cell r="D43" t="str">
            <v>Yes</v>
          </cell>
        </row>
        <row r="44">
          <cell r="B44" t="str">
            <v xml:space="preserve">xnj108n </v>
          </cell>
          <cell r="D44" t="str">
            <v>Yes</v>
          </cell>
        </row>
        <row r="45">
          <cell r="B45" t="str">
            <v>xpa12111</v>
          </cell>
          <cell r="D45" t="str">
            <v>Yes</v>
          </cell>
        </row>
        <row r="46">
          <cell r="B46" t="str">
            <v xml:space="preserve">xpa327c </v>
          </cell>
          <cell r="D46" t="str">
            <v>Yes</v>
          </cell>
        </row>
        <row r="47">
          <cell r="B47" t="str">
            <v xml:space="preserve">xil250n </v>
          </cell>
          <cell r="D47" t="str">
            <v>Yes</v>
          </cell>
        </row>
        <row r="48">
          <cell r="B48" t="str">
            <v xml:space="preserve">xtnawg1 </v>
          </cell>
          <cell r="D48" t="str">
            <v>Yes</v>
          </cell>
        </row>
        <row r="49">
          <cell r="B49" t="str">
            <v xml:space="preserve">xtnawg2 </v>
          </cell>
          <cell r="D49" t="str">
            <v>Yes</v>
          </cell>
        </row>
        <row r="50">
          <cell r="B50" t="str">
            <v>xnj740co</v>
          </cell>
          <cell r="D50" t="str">
            <v>Yes</v>
          </cell>
        </row>
        <row r="51">
          <cell r="B51" t="str">
            <v>xil2500w</v>
          </cell>
          <cell r="D51" t="str">
            <v>Yes</v>
          </cell>
        </row>
        <row r="52">
          <cell r="B52" t="str">
            <v>xnj14rol</v>
          </cell>
          <cell r="D52" t="str">
            <v>Yes</v>
          </cell>
        </row>
        <row r="53">
          <cell r="B53" t="str">
            <v>xpa18rai</v>
          </cell>
          <cell r="D53" t="str">
            <v>Yes</v>
          </cell>
        </row>
        <row r="54">
          <cell r="B54" t="str">
            <v>xga3350h</v>
          </cell>
          <cell r="D54" t="str">
            <v>Yes</v>
          </cell>
        </row>
        <row r="55">
          <cell r="B55" t="str">
            <v>xga3350h</v>
          </cell>
          <cell r="D55" t="str">
            <v>Yes</v>
          </cell>
        </row>
        <row r="56">
          <cell r="B56" t="str">
            <v>xil121lo</v>
          </cell>
          <cell r="D56" t="str">
            <v>Yes</v>
          </cell>
        </row>
        <row r="57">
          <cell r="B57" t="str">
            <v>xnj121mo</v>
          </cell>
          <cell r="D57" t="str">
            <v>Yes</v>
          </cell>
        </row>
        <row r="58">
          <cell r="B58" t="str">
            <v>xtx10704</v>
          </cell>
          <cell r="D58" t="str">
            <v>Yes</v>
          </cell>
        </row>
        <row r="59">
          <cell r="B59" t="str">
            <v>xnj121hi</v>
          </cell>
          <cell r="D59" t="str">
            <v>Yes</v>
          </cell>
        </row>
        <row r="60">
          <cell r="B60" t="str">
            <v>xnj121hi</v>
          </cell>
          <cell r="D60" t="str">
            <v>Yes</v>
          </cell>
        </row>
        <row r="61">
          <cell r="B61" t="str">
            <v>xtn3961o</v>
          </cell>
          <cell r="D61" t="str">
            <v>Yes</v>
          </cell>
        </row>
        <row r="62">
          <cell r="B62" t="str">
            <v>xil1600b</v>
          </cell>
          <cell r="D62" t="str">
            <v>Yes</v>
          </cell>
        </row>
        <row r="63">
          <cell r="B63" t="str">
            <v>xil1630b</v>
          </cell>
          <cell r="D63" t="str">
            <v>Yes</v>
          </cell>
        </row>
        <row r="64">
          <cell r="B64" t="str">
            <v>xnj6925s</v>
          </cell>
          <cell r="D64" t="str">
            <v>Yes</v>
          </cell>
        </row>
        <row r="65">
          <cell r="B65" t="str">
            <v>xga9335i</v>
          </cell>
          <cell r="D65" t="str">
            <v>Yes</v>
          </cell>
        </row>
        <row r="66">
          <cell r="B66" t="str">
            <v>xil11697</v>
          </cell>
          <cell r="D66" t="str">
            <v>Yes</v>
          </cell>
        </row>
        <row r="67">
          <cell r="B67" t="str">
            <v>xnj2050h</v>
          </cell>
          <cell r="D67" t="str">
            <v>Yes</v>
          </cell>
        </row>
        <row r="68">
          <cell r="B68" t="str">
            <v>3fl00001</v>
          </cell>
          <cell r="D68" t="str">
            <v>Yes</v>
          </cell>
        </row>
        <row r="69">
          <cell r="B69" t="str">
            <v>xtx3857m</v>
          </cell>
          <cell r="D69" t="str">
            <v>Yes</v>
          </cell>
        </row>
        <row r="70">
          <cell r="B70" t="str">
            <v>xtx2445s</v>
          </cell>
          <cell r="D70" t="str">
            <v>Yes</v>
          </cell>
        </row>
        <row r="71">
          <cell r="B71" t="str">
            <v>xtx11839</v>
          </cell>
          <cell r="D71" t="str">
            <v>Yes</v>
          </cell>
        </row>
        <row r="72">
          <cell r="B72" t="str">
            <v>xtx4666d</v>
          </cell>
          <cell r="D72" t="str">
            <v>Yes</v>
          </cell>
        </row>
        <row r="73">
          <cell r="B73" t="str">
            <v>3md00001</v>
          </cell>
          <cell r="D73" t="str">
            <v>Yes</v>
          </cell>
        </row>
        <row r="74">
          <cell r="B74" t="str">
            <v>3md00001</v>
          </cell>
          <cell r="D74" t="str">
            <v>Yes</v>
          </cell>
        </row>
        <row r="75">
          <cell r="B75" t="str">
            <v>3md00001</v>
          </cell>
          <cell r="D75" t="str">
            <v>Yes</v>
          </cell>
        </row>
        <row r="76">
          <cell r="B76" t="str">
            <v>3md00001</v>
          </cell>
          <cell r="D76" t="str">
            <v>Yes</v>
          </cell>
        </row>
        <row r="77">
          <cell r="B77" t="str">
            <v>3md00001</v>
          </cell>
          <cell r="D77" t="str">
            <v>Yes</v>
          </cell>
        </row>
        <row r="78">
          <cell r="B78" t="str">
            <v>3md00001</v>
          </cell>
          <cell r="D78" t="str">
            <v>Yes</v>
          </cell>
        </row>
        <row r="79">
          <cell r="B79" t="str">
            <v>3md00001</v>
          </cell>
          <cell r="D79" t="str">
            <v>Yes</v>
          </cell>
        </row>
        <row r="80">
          <cell r="B80" t="str">
            <v>3md00001</v>
          </cell>
          <cell r="D80" t="str">
            <v>Yes</v>
          </cell>
        </row>
        <row r="81">
          <cell r="B81" t="str">
            <v>3md00001</v>
          </cell>
          <cell r="D81" t="str">
            <v>Yes</v>
          </cell>
        </row>
        <row r="82">
          <cell r="B82" t="str">
            <v>3md00001</v>
          </cell>
          <cell r="D82" t="str">
            <v>Yes</v>
          </cell>
        </row>
        <row r="83">
          <cell r="B83" t="str">
            <v>3ga00001</v>
          </cell>
          <cell r="D83" t="str">
            <v>Yes</v>
          </cell>
        </row>
        <row r="84">
          <cell r="B84" t="str">
            <v>3ga00001</v>
          </cell>
          <cell r="D84" t="str">
            <v>Yes</v>
          </cell>
        </row>
        <row r="85">
          <cell r="B85" t="str">
            <v>xil7760m</v>
          </cell>
          <cell r="D85" t="str">
            <v>Yes</v>
          </cell>
        </row>
        <row r="86">
          <cell r="B86" t="str">
            <v>3nj00002</v>
          </cell>
          <cell r="D86" t="str">
            <v>Yes</v>
          </cell>
        </row>
        <row r="87">
          <cell r="B87" t="str">
            <v>xfl333n6</v>
          </cell>
          <cell r="D87" t="str">
            <v>Yes</v>
          </cell>
        </row>
        <row r="88">
          <cell r="B88" t="str">
            <v>3fl00003</v>
          </cell>
          <cell r="D88" t="str">
            <v>Yes</v>
          </cell>
        </row>
        <row r="89">
          <cell r="B89" t="str">
            <v>xga1585r</v>
          </cell>
          <cell r="D89" t="str">
            <v>Yes</v>
          </cell>
        </row>
        <row r="90">
          <cell r="B90" t="str">
            <v>xoh154co</v>
          </cell>
          <cell r="D90" t="str">
            <v>Yes</v>
          </cell>
        </row>
        <row r="91">
          <cell r="B91" t="str">
            <v>3md00002</v>
          </cell>
          <cell r="D91" t="str">
            <v>Yes</v>
          </cell>
        </row>
        <row r="92">
          <cell r="B92" t="str">
            <v>xnj1803u</v>
          </cell>
          <cell r="D92" t="str">
            <v>Yes</v>
          </cell>
        </row>
        <row r="93">
          <cell r="B93" t="str">
            <v>xga3100j</v>
          </cell>
          <cell r="D93" t="str">
            <v>Yes</v>
          </cell>
        </row>
        <row r="94">
          <cell r="B94" t="str">
            <v>3il00002</v>
          </cell>
          <cell r="D94" t="str">
            <v>Yes</v>
          </cell>
        </row>
        <row r="95">
          <cell r="B95" t="str">
            <v>3il00002</v>
          </cell>
          <cell r="D95" t="str">
            <v>Yes</v>
          </cell>
        </row>
        <row r="96">
          <cell r="B96" t="str">
            <v>3il00002</v>
          </cell>
          <cell r="D96" t="str">
            <v>Yes</v>
          </cell>
        </row>
        <row r="97">
          <cell r="B97" t="str">
            <v>xnj1980o</v>
          </cell>
          <cell r="D97" t="str">
            <v>Yes</v>
          </cell>
        </row>
        <row r="98">
          <cell r="B98" t="str">
            <v>3ga00003</v>
          </cell>
          <cell r="D98" t="str">
            <v>Yes</v>
          </cell>
        </row>
        <row r="99">
          <cell r="B99" t="str">
            <v>3fl00004</v>
          </cell>
          <cell r="D99" t="str">
            <v>Yes</v>
          </cell>
        </row>
        <row r="100">
          <cell r="B100" t="str">
            <v>3il00004</v>
          </cell>
          <cell r="D100" t="str">
            <v>Yes</v>
          </cell>
        </row>
        <row r="101">
          <cell r="B101" t="str">
            <v>3tx00001</v>
          </cell>
          <cell r="D101" t="str">
            <v>Yes</v>
          </cell>
        </row>
        <row r="102">
          <cell r="B102" t="str">
            <v>3tx00002</v>
          </cell>
          <cell r="D102" t="str">
            <v>Yes</v>
          </cell>
        </row>
        <row r="103">
          <cell r="B103" t="str">
            <v>3tx00002</v>
          </cell>
          <cell r="D103" t="str">
            <v>Yes</v>
          </cell>
        </row>
        <row r="104">
          <cell r="B104" t="str">
            <v>3tx00002</v>
          </cell>
          <cell r="D104" t="str">
            <v>Yes</v>
          </cell>
        </row>
        <row r="105">
          <cell r="B105" t="str">
            <v>3tx00002</v>
          </cell>
          <cell r="D105" t="str">
            <v>Yes</v>
          </cell>
        </row>
        <row r="106">
          <cell r="B106" t="str">
            <v>3tx00002</v>
          </cell>
          <cell r="D106" t="str">
            <v>Yes</v>
          </cell>
        </row>
        <row r="107">
          <cell r="B107" t="str">
            <v>xga1145b</v>
          </cell>
          <cell r="D107" t="str">
            <v>Yes</v>
          </cell>
        </row>
        <row r="108">
          <cell r="B108" t="str">
            <v>3nj00005</v>
          </cell>
          <cell r="D108" t="str">
            <v>Yes</v>
          </cell>
        </row>
        <row r="109">
          <cell r="B109" t="str">
            <v>3oh00002</v>
          </cell>
          <cell r="D109" t="str">
            <v>Yes</v>
          </cell>
        </row>
        <row r="110">
          <cell r="B110" t="str">
            <v>3ga00004</v>
          </cell>
          <cell r="D110" t="str">
            <v>Yes</v>
          </cell>
        </row>
        <row r="111">
          <cell r="B111" t="str">
            <v>3nj00007</v>
          </cell>
          <cell r="D111" t="str">
            <v>Yes</v>
          </cell>
        </row>
        <row r="112">
          <cell r="B112" t="str">
            <v>3nj00008</v>
          </cell>
          <cell r="D112" t="str">
            <v>Yes</v>
          </cell>
        </row>
        <row r="113">
          <cell r="B113" t="str">
            <v>3oh00003</v>
          </cell>
          <cell r="D113" t="str">
            <v>Yes</v>
          </cell>
        </row>
        <row r="114">
          <cell r="B114" t="str">
            <v>3fl00007</v>
          </cell>
          <cell r="D114" t="str">
            <v>Yes</v>
          </cell>
        </row>
        <row r="115">
          <cell r="B115" t="str">
            <v>3tx00011</v>
          </cell>
          <cell r="D115" t="str">
            <v>Yes</v>
          </cell>
        </row>
        <row r="116">
          <cell r="B116" t="str">
            <v>3nc00006</v>
          </cell>
          <cell r="D116" t="str">
            <v>Yes</v>
          </cell>
        </row>
        <row r="117">
          <cell r="B117" t="str">
            <v>3fl00011</v>
          </cell>
          <cell r="D117" t="str">
            <v>Yes</v>
          </cell>
        </row>
        <row r="118">
          <cell r="B118" t="str">
            <v xml:space="preserve">iny001  </v>
          </cell>
          <cell r="D118" t="str">
            <v>Yes</v>
          </cell>
        </row>
        <row r="119">
          <cell r="B119" t="str">
            <v xml:space="preserve">inc001  </v>
          </cell>
          <cell r="D119" t="str">
            <v>Yes</v>
          </cell>
        </row>
        <row r="120">
          <cell r="B120" t="str">
            <v xml:space="preserve">iga005  </v>
          </cell>
          <cell r="D120" t="str">
            <v>Yes</v>
          </cell>
        </row>
        <row r="121">
          <cell r="B121" t="str">
            <v xml:space="preserve">inj001  </v>
          </cell>
          <cell r="D121" t="str">
            <v>Yes</v>
          </cell>
        </row>
        <row r="122">
          <cell r="B122" t="str">
            <v>3ga00010</v>
          </cell>
          <cell r="D122" t="str">
            <v>Yes</v>
          </cell>
        </row>
        <row r="123">
          <cell r="B123" t="str">
            <v xml:space="preserve">iny002  </v>
          </cell>
          <cell r="D123" t="str">
            <v>Yes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4bDQj2DTYk2uzrIPYmF3cwAFrDpNXWZIkn732TpKw7duTbNJVagvSr1lf0sUml0g" itemId="016RYS2SVWPLXQVVCXHZBYVPR3OF3AOJGP">
      <xxl21:absoluteUrl r:id="rId3"/>
    </xxl21:alternateUrls>
    <sheetNames>
      <sheetName val="Presentation View"/>
      <sheetName val="Main Data Table"/>
      <sheetName val="Current Quarter Detail"/>
      <sheetName val="JLL Data &gt;"/>
      <sheetName val="Q2-2024 Preliminary Values"/>
      <sheetName val="Q1-2024 Final Values"/>
      <sheetName val="4Q23 Fund 3 Book Value"/>
      <sheetName val="4Q23 Fund X Book Value"/>
      <sheetName val="M2M Schedule Hard Coded"/>
      <sheetName val="Book Value 09.30.23"/>
    </sheetNames>
    <sheetDataSet>
      <sheetData sheetId="0"/>
      <sheetData sheetId="1">
        <row r="2">
          <cell r="B2" t="str">
            <v>Property Info - Yardi</v>
          </cell>
          <cell r="AB2"/>
        </row>
        <row r="3">
          <cell r="B3" t="str">
            <v>Property Code</v>
          </cell>
          <cell r="AB3" t="str">
            <v>Q1 2024</v>
          </cell>
        </row>
        <row r="4">
          <cell r="B4"/>
        </row>
        <row r="5">
          <cell r="B5"/>
        </row>
        <row r="6">
          <cell r="B6"/>
        </row>
        <row r="7">
          <cell r="B7"/>
        </row>
        <row r="8">
          <cell r="B8" t="str">
            <v>3oh00004</v>
          </cell>
          <cell r="AB8">
            <v>10436724.17</v>
          </cell>
        </row>
        <row r="9">
          <cell r="B9" t="str">
            <v>3fl00011</v>
          </cell>
          <cell r="AB9">
            <v>14230265.199999999</v>
          </cell>
        </row>
        <row r="10">
          <cell r="B10" t="str">
            <v>3fl00010</v>
          </cell>
          <cell r="AB10">
            <v>4611199.6899999995</v>
          </cell>
        </row>
        <row r="11">
          <cell r="B11" t="str">
            <v>3fl00009</v>
          </cell>
          <cell r="AB11">
            <v>10449839.732234361</v>
          </cell>
        </row>
        <row r="12">
          <cell r="B12" t="str">
            <v>3fl00008</v>
          </cell>
          <cell r="AB12">
            <v>9728933.8179852646</v>
          </cell>
        </row>
        <row r="13">
          <cell r="B13" t="str">
            <v>3nc00008</v>
          </cell>
          <cell r="AB13">
            <v>8265831.3099999996</v>
          </cell>
        </row>
        <row r="14">
          <cell r="B14" t="str">
            <v>3nc00007</v>
          </cell>
          <cell r="AB14">
            <v>11488218.450000001</v>
          </cell>
        </row>
        <row r="15">
          <cell r="B15" t="str">
            <v>3nc00006</v>
          </cell>
          <cell r="AB15">
            <v>12761945</v>
          </cell>
        </row>
        <row r="16">
          <cell r="B16" t="str">
            <v>3md00005</v>
          </cell>
          <cell r="AB16">
            <v>3844032.65</v>
          </cell>
        </row>
        <row r="17">
          <cell r="B17" t="str">
            <v>3nj00010</v>
          </cell>
          <cell r="AB17">
            <v>10218278.879999999</v>
          </cell>
        </row>
        <row r="18">
          <cell r="B18" t="str">
            <v>3nj00011</v>
          </cell>
          <cell r="AB18">
            <v>8560420.459999999</v>
          </cell>
        </row>
        <row r="19">
          <cell r="B19" t="str">
            <v>3nj00012</v>
          </cell>
          <cell r="AB19">
            <v>9213160.2199999988</v>
          </cell>
        </row>
        <row r="20">
          <cell r="B20" t="str">
            <v>3nj00013</v>
          </cell>
          <cell r="AB20">
            <v>7986729.1599999992</v>
          </cell>
        </row>
        <row r="21">
          <cell r="B21" t="str">
            <v>3nj00014</v>
          </cell>
          <cell r="AB21">
            <v>21975395.419999998</v>
          </cell>
        </row>
        <row r="22">
          <cell r="B22" t="str">
            <v>3nj00015</v>
          </cell>
          <cell r="AB22">
            <v>9564219.0499999989</v>
          </cell>
        </row>
        <row r="23">
          <cell r="B23" t="str">
            <v>3nj00016</v>
          </cell>
          <cell r="AB23">
            <v>12930828.49</v>
          </cell>
        </row>
        <row r="24">
          <cell r="B24" t="str">
            <v>3nj00017</v>
          </cell>
          <cell r="AB24">
            <v>17367145.91</v>
          </cell>
        </row>
        <row r="25">
          <cell r="B25" t="str">
            <v>3nj00018</v>
          </cell>
          <cell r="AB25">
            <v>21979136.660000004</v>
          </cell>
        </row>
        <row r="26">
          <cell r="B26" t="str">
            <v>3nj00019</v>
          </cell>
          <cell r="AB26">
            <v>26004288.829999998</v>
          </cell>
        </row>
        <row r="27">
          <cell r="B27" t="str">
            <v>3nc00005</v>
          </cell>
          <cell r="AB27">
            <v>3222301.96</v>
          </cell>
        </row>
        <row r="28">
          <cell r="B28" t="str">
            <v>3nc00004</v>
          </cell>
          <cell r="AB28">
            <v>21897441.876188189</v>
          </cell>
        </row>
        <row r="29">
          <cell r="B29" t="str">
            <v>3nc00003</v>
          </cell>
          <cell r="AB29">
            <v>7035807.0840593642</v>
          </cell>
        </row>
        <row r="30">
          <cell r="B30" t="str">
            <v>3nc00002</v>
          </cell>
          <cell r="AB30">
            <v>4523018.8397524478</v>
          </cell>
        </row>
        <row r="31">
          <cell r="B31" t="str">
            <v>3ga00005</v>
          </cell>
          <cell r="AB31">
            <v>2674822.4500000002</v>
          </cell>
        </row>
        <row r="32">
          <cell r="B32" t="str">
            <v>3fl00007</v>
          </cell>
          <cell r="AB32">
            <v>7238201.9000000004</v>
          </cell>
        </row>
        <row r="33">
          <cell r="B33" t="str">
            <v>3tx00012</v>
          </cell>
          <cell r="AB33">
            <v>4411627.0458137542</v>
          </cell>
        </row>
        <row r="34">
          <cell r="B34" t="str">
            <v>3tx00013</v>
          </cell>
          <cell r="AB34">
            <v>10644944.183401344</v>
          </cell>
        </row>
        <row r="35">
          <cell r="B35" t="str">
            <v>3tx00011</v>
          </cell>
          <cell r="AB35">
            <v>5154702.8347228011</v>
          </cell>
        </row>
        <row r="36">
          <cell r="B36" t="str">
            <v>3tx00010</v>
          </cell>
          <cell r="AB36">
            <v>14001363.356062103</v>
          </cell>
        </row>
        <row r="37">
          <cell r="B37" t="str">
            <v>3oh00003</v>
          </cell>
          <cell r="AB37">
            <v>1842985.5</v>
          </cell>
        </row>
        <row r="38">
          <cell r="B38" t="str">
            <v>3nj00009</v>
          </cell>
          <cell r="AB38">
            <v>13117932.92</v>
          </cell>
        </row>
        <row r="39">
          <cell r="B39" t="str">
            <v>3nj00007</v>
          </cell>
          <cell r="AB39">
            <v>14456066.060000001</v>
          </cell>
        </row>
        <row r="40">
          <cell r="B40" t="str">
            <v>3nj00008</v>
          </cell>
          <cell r="AB40">
            <v>14455534.479999999</v>
          </cell>
        </row>
        <row r="41">
          <cell r="B41" t="str">
            <v>3nj00001</v>
          </cell>
          <cell r="AB41">
            <v>6630653.5</v>
          </cell>
        </row>
        <row r="42">
          <cell r="B42" t="str">
            <v>3fl00001</v>
          </cell>
          <cell r="AB42">
            <v>3707471.8200000003</v>
          </cell>
        </row>
        <row r="43">
          <cell r="B43" t="str">
            <v>3md00001</v>
          </cell>
          <cell r="AB43">
            <v>10115300.140000001</v>
          </cell>
        </row>
        <row r="44">
          <cell r="B44" t="str">
            <v>3ga00001</v>
          </cell>
          <cell r="AB44">
            <v>6724269.3600000003</v>
          </cell>
        </row>
        <row r="45">
          <cell r="B45" t="str">
            <v>3pa00001</v>
          </cell>
          <cell r="AB45">
            <v>4835186.3459999999</v>
          </cell>
        </row>
        <row r="46">
          <cell r="B46" t="str">
            <v>3fl00002</v>
          </cell>
          <cell r="AB46">
            <v>8770487.9400000013</v>
          </cell>
        </row>
        <row r="47">
          <cell r="B47" t="str">
            <v>3fl00003</v>
          </cell>
          <cell r="AB47">
            <v>6363890.4199999999</v>
          </cell>
        </row>
        <row r="48">
          <cell r="B48" t="str">
            <v>3nj00002</v>
          </cell>
          <cell r="AB48">
            <v>10079700.140000001</v>
          </cell>
        </row>
        <row r="49">
          <cell r="B49" t="str">
            <v>3tn00004</v>
          </cell>
          <cell r="AB49">
            <v>2003199.3796734856</v>
          </cell>
        </row>
        <row r="50">
          <cell r="B50" t="str">
            <v>3tn00002</v>
          </cell>
          <cell r="AB50">
            <v>2318179.3490198711</v>
          </cell>
        </row>
        <row r="51">
          <cell r="B51" t="str">
            <v>3tn00003</v>
          </cell>
          <cell r="AB51">
            <v>8812169.8436762132</v>
          </cell>
        </row>
        <row r="52">
          <cell r="B52" t="str">
            <v>3tn00001</v>
          </cell>
          <cell r="AB52">
            <v>9847388.388131991</v>
          </cell>
        </row>
        <row r="53">
          <cell r="B53" t="str">
            <v>3tn00005</v>
          </cell>
          <cell r="AB53">
            <v>16342809.339656033</v>
          </cell>
        </row>
        <row r="54">
          <cell r="B54" t="str">
            <v>3il00001</v>
          </cell>
          <cell r="AB54">
            <v>2549383.6500000004</v>
          </cell>
        </row>
        <row r="55">
          <cell r="B55" t="str">
            <v>3md00002</v>
          </cell>
          <cell r="AB55">
            <v>10784939.74</v>
          </cell>
        </row>
        <row r="56">
          <cell r="B56" t="str">
            <v>3il00002</v>
          </cell>
          <cell r="AB56">
            <v>3101119.3600000003</v>
          </cell>
        </row>
        <row r="57">
          <cell r="B57" t="str">
            <v>3oh00001</v>
          </cell>
          <cell r="AB57">
            <v>10410057.23</v>
          </cell>
        </row>
        <row r="58">
          <cell r="B58" t="str">
            <v>3ga00002</v>
          </cell>
          <cell r="AB58">
            <v>12926369.359999999</v>
          </cell>
        </row>
        <row r="59">
          <cell r="B59" t="str">
            <v>3il00003</v>
          </cell>
          <cell r="AB59">
            <v>1801057.5999999999</v>
          </cell>
        </row>
        <row r="60">
          <cell r="B60" t="str">
            <v>3fl00004</v>
          </cell>
          <cell r="AB60">
            <v>4552538.8499999996</v>
          </cell>
        </row>
        <row r="61">
          <cell r="B61" t="str">
            <v>3ga00003</v>
          </cell>
          <cell r="AB61">
            <v>10588385.85</v>
          </cell>
        </row>
        <row r="62">
          <cell r="B62" t="str">
            <v>3nj00003</v>
          </cell>
          <cell r="AB62">
            <v>9072288.2200000007</v>
          </cell>
        </row>
        <row r="63">
          <cell r="B63" t="str">
            <v>3il00004</v>
          </cell>
          <cell r="AB63">
            <v>2721097.19</v>
          </cell>
        </row>
        <row r="64">
          <cell r="B64" t="str">
            <v>3ny00001</v>
          </cell>
          <cell r="AB64">
            <v>5007272.2299999995</v>
          </cell>
        </row>
        <row r="65">
          <cell r="B65" t="str">
            <v>3tx00001</v>
          </cell>
          <cell r="AB65">
            <v>7431258</v>
          </cell>
        </row>
        <row r="66">
          <cell r="B66" t="str">
            <v>3nj00005</v>
          </cell>
          <cell r="AB66">
            <v>4937837.8099999996</v>
          </cell>
        </row>
        <row r="67">
          <cell r="B67" t="str">
            <v>3tx00002</v>
          </cell>
          <cell r="AB67">
            <v>7877047.4499999993</v>
          </cell>
        </row>
        <row r="68">
          <cell r="B68" t="str">
            <v>3il00005</v>
          </cell>
          <cell r="AB68">
            <v>5940237.79</v>
          </cell>
        </row>
        <row r="69">
          <cell r="B69" t="str">
            <v>3md00003</v>
          </cell>
          <cell r="AB69">
            <v>4609329.67</v>
          </cell>
        </row>
        <row r="70">
          <cell r="B70" t="str">
            <v>3oh00002</v>
          </cell>
          <cell r="AB70">
            <v>2445761.42</v>
          </cell>
        </row>
        <row r="71">
          <cell r="B71" t="str">
            <v>3nj00004</v>
          </cell>
          <cell r="AB71">
            <v>3926331.18</v>
          </cell>
        </row>
        <row r="72">
          <cell r="B72" t="str">
            <v>3ga00004</v>
          </cell>
          <cell r="AB72">
            <v>5266392.87</v>
          </cell>
        </row>
        <row r="73">
          <cell r="B73" t="str">
            <v>3il00006</v>
          </cell>
          <cell r="AB73">
            <v>9547338.5</v>
          </cell>
        </row>
        <row r="74">
          <cell r="B74" t="str">
            <v>3md00004</v>
          </cell>
          <cell r="AB74">
            <v>5384938.6699999999</v>
          </cell>
        </row>
        <row r="75">
          <cell r="B75" t="str">
            <v>3il00007</v>
          </cell>
          <cell r="AB75">
            <v>3020689.81</v>
          </cell>
        </row>
        <row r="76">
          <cell r="B76" t="str">
            <v>3tx00009</v>
          </cell>
          <cell r="AB76">
            <v>6376469.9170169123</v>
          </cell>
        </row>
        <row r="77">
          <cell r="B77" t="str">
            <v>3tx00004</v>
          </cell>
          <cell r="AB77">
            <v>16710209.967556423</v>
          </cell>
        </row>
        <row r="78">
          <cell r="B78" t="str">
            <v>3tx00005</v>
          </cell>
          <cell r="AB78">
            <v>23335492.54542667</v>
          </cell>
        </row>
        <row r="79">
          <cell r="B79" t="str">
            <v>3tx00006</v>
          </cell>
          <cell r="AB79">
            <v>18379240.569999997</v>
          </cell>
        </row>
        <row r="80">
          <cell r="B80" t="str">
            <v>3fl00005</v>
          </cell>
          <cell r="AB80">
            <v>6655089.0700000003</v>
          </cell>
        </row>
        <row r="81">
          <cell r="B81" t="str">
            <v>3tx00003</v>
          </cell>
          <cell r="AB81">
            <v>7337785.3800000008</v>
          </cell>
        </row>
        <row r="82">
          <cell r="B82" t="str">
            <v>3tx00008</v>
          </cell>
          <cell r="AB82">
            <v>12186083.556279482</v>
          </cell>
        </row>
        <row r="83">
          <cell r="B83" t="str">
            <v>3tx00007</v>
          </cell>
          <cell r="AB83">
            <v>23538551.963720519</v>
          </cell>
        </row>
        <row r="84">
          <cell r="B84" t="str">
            <v>3nj00006</v>
          </cell>
          <cell r="AB84">
            <v>23878358.199999999</v>
          </cell>
        </row>
        <row r="85">
          <cell r="B85" t="str">
            <v>3nc00001</v>
          </cell>
          <cell r="AB85">
            <v>4263044.42</v>
          </cell>
        </row>
        <row r="86">
          <cell r="B86" t="str">
            <v>3fl00006</v>
          </cell>
          <cell r="AB86">
            <v>5251384.66</v>
          </cell>
        </row>
        <row r="87">
          <cell r="B87" t="str">
            <v>xtndelp2</v>
          </cell>
          <cell r="AB87">
            <v>0</v>
          </cell>
        </row>
        <row r="88">
          <cell r="B88" t="str">
            <v>xtndelp1</v>
          </cell>
          <cell r="AB88">
            <v>9265074.1099999994</v>
          </cell>
        </row>
        <row r="89">
          <cell r="B89" t="str">
            <v>xflstuar</v>
          </cell>
          <cell r="AB89">
            <v>1478856</v>
          </cell>
        </row>
        <row r="90">
          <cell r="B90" t="str">
            <v>xtxwebbl</v>
          </cell>
          <cell r="AB90">
            <v>2026447.7</v>
          </cell>
        </row>
        <row r="91">
          <cell r="B91" t="str">
            <v>xohmost</v>
          </cell>
          <cell r="AB91">
            <v>9887656.0700000003</v>
          </cell>
        </row>
        <row r="92">
          <cell r="B92" t="str">
            <v>xnj2036b</v>
          </cell>
          <cell r="AB92">
            <v>3261418.9894333752</v>
          </cell>
        </row>
        <row r="93">
          <cell r="B93" t="str">
            <v>xnj6000i</v>
          </cell>
          <cell r="AB93">
            <v>4793648.890540028</v>
          </cell>
        </row>
        <row r="94">
          <cell r="B94" t="str">
            <v>xnj3001i</v>
          </cell>
          <cell r="AB94">
            <v>7833402.3000265956</v>
          </cell>
        </row>
        <row r="95">
          <cell r="B95" t="str">
            <v>xtxdrysd</v>
          </cell>
          <cell r="AB95">
            <v>2594974.6199999996</v>
          </cell>
        </row>
        <row r="96">
          <cell r="B96" t="str">
            <v>xtxball</v>
          </cell>
          <cell r="AB96">
            <v>3868213.4099999997</v>
          </cell>
        </row>
        <row r="97">
          <cell r="B97" t="str">
            <v>xgahire6</v>
          </cell>
          <cell r="AB97">
            <v>1669059.7547436499</v>
          </cell>
        </row>
        <row r="98">
          <cell r="B98" t="str">
            <v>xgahire8</v>
          </cell>
          <cell r="AB98">
            <v>1801457.6621926478</v>
          </cell>
        </row>
        <row r="99">
          <cell r="B99" t="str">
            <v>xgahire2</v>
          </cell>
          <cell r="AB99">
            <v>2632664.2194442102</v>
          </cell>
        </row>
        <row r="100">
          <cell r="B100" t="str">
            <v>xgahire7</v>
          </cell>
          <cell r="AB100">
            <v>2563511.7836680999</v>
          </cell>
        </row>
        <row r="101">
          <cell r="B101" t="str">
            <v>xgahire4</v>
          </cell>
          <cell r="AB101">
            <v>3445184.7417489248</v>
          </cell>
        </row>
        <row r="102">
          <cell r="B102" t="str">
            <v>xgahire5</v>
          </cell>
          <cell r="AB102">
            <v>3834084.7172805318</v>
          </cell>
        </row>
        <row r="103">
          <cell r="B103" t="str">
            <v>xgahire3</v>
          </cell>
          <cell r="AB103">
            <v>4117012.0548755173</v>
          </cell>
        </row>
        <row r="104">
          <cell r="B104" t="str">
            <v>xgahire1</v>
          </cell>
          <cell r="AB104">
            <v>4072771.6360464171</v>
          </cell>
        </row>
        <row r="105">
          <cell r="B105" t="str">
            <v>xnjmway7</v>
          </cell>
          <cell r="AB105">
            <v>3364499.9642617987</v>
          </cell>
        </row>
        <row r="106">
          <cell r="B106" t="str">
            <v>xnjmway5</v>
          </cell>
          <cell r="AB106">
            <v>3340120.0196094736</v>
          </cell>
        </row>
        <row r="107">
          <cell r="B107" t="str">
            <v>xnjmway3</v>
          </cell>
          <cell r="AB107">
            <v>3561779.6818669299</v>
          </cell>
        </row>
        <row r="108">
          <cell r="B108" t="str">
            <v>xnjmway9</v>
          </cell>
          <cell r="AB108">
            <v>3167453.3242617985</v>
          </cell>
        </row>
        <row r="109">
          <cell r="B109" t="str">
            <v>xgashaw6</v>
          </cell>
          <cell r="AB109">
            <v>983398.8112140845</v>
          </cell>
        </row>
        <row r="110">
          <cell r="B110" t="str">
            <v>xgashaw2</v>
          </cell>
          <cell r="AB110">
            <v>985579.29638307355</v>
          </cell>
        </row>
        <row r="111">
          <cell r="B111" t="str">
            <v>xgashaw1</v>
          </cell>
          <cell r="AB111">
            <v>1395510.5081530246</v>
          </cell>
        </row>
        <row r="112">
          <cell r="B112" t="str">
            <v>xgashaw5</v>
          </cell>
          <cell r="AB112">
            <v>1549539.9804904147</v>
          </cell>
        </row>
        <row r="113">
          <cell r="B113" t="str">
            <v>xgashaw4</v>
          </cell>
          <cell r="AB113">
            <v>1936270.8300623216</v>
          </cell>
        </row>
        <row r="114">
          <cell r="B114" t="str">
            <v>xgashaw3</v>
          </cell>
          <cell r="AB114">
            <v>2344457.6536970814</v>
          </cell>
        </row>
        <row r="115">
          <cell r="B115" t="str">
            <v>xnjmorri</v>
          </cell>
          <cell r="AB115">
            <v>2677773.2999999998</v>
          </cell>
        </row>
        <row r="116">
          <cell r="B116" t="str">
            <v>xtxglen</v>
          </cell>
          <cell r="AB116">
            <v>6786400.1200000001</v>
          </cell>
        </row>
        <row r="117">
          <cell r="B117" t="str">
            <v>xilmitch</v>
          </cell>
          <cell r="AB117">
            <v>2345758.9900000002</v>
          </cell>
        </row>
        <row r="118">
          <cell r="B118" t="str">
            <v>xgamc260</v>
          </cell>
          <cell r="AB118">
            <v>1242553.3054557375</v>
          </cell>
        </row>
        <row r="119">
          <cell r="B119" t="str">
            <v>xgamc220</v>
          </cell>
          <cell r="AB119">
            <v>3031881.1195079796</v>
          </cell>
        </row>
        <row r="120">
          <cell r="B120" t="str">
            <v>xgamc255</v>
          </cell>
          <cell r="AB120">
            <v>3502434.0648310273</v>
          </cell>
        </row>
        <row r="121">
          <cell r="B121" t="str">
            <v>xgamc200</v>
          </cell>
          <cell r="AB121">
            <v>3342115.610205255</v>
          </cell>
        </row>
        <row r="122">
          <cell r="B122" t="str">
            <v>xohcomme</v>
          </cell>
          <cell r="AB122">
            <v>3799937.42</v>
          </cell>
        </row>
        <row r="123">
          <cell r="B123" t="str">
            <v>xilmount</v>
          </cell>
          <cell r="AB123">
            <v>4497515.03</v>
          </cell>
        </row>
        <row r="124">
          <cell r="B124" t="str">
            <v>xtxritti</v>
          </cell>
          <cell r="AB124">
            <v>8260790.5999999996</v>
          </cell>
        </row>
        <row r="125">
          <cell r="B125" t="str">
            <v>xpastate</v>
          </cell>
          <cell r="AB125">
            <v>2851182.43</v>
          </cell>
        </row>
        <row r="126">
          <cell r="B126" t="str">
            <v>xtxmorto</v>
          </cell>
          <cell r="AB126">
            <v>14508973.209999999</v>
          </cell>
        </row>
        <row r="127">
          <cell r="B127" t="str">
            <v>xnjcentr</v>
          </cell>
          <cell r="AB127">
            <v>1903401.77</v>
          </cell>
        </row>
        <row r="128">
          <cell r="B128" t="str">
            <v>xtn225bo</v>
          </cell>
          <cell r="AB128">
            <v>2985754.33</v>
          </cell>
        </row>
        <row r="129">
          <cell r="B129" t="str">
            <v>xtn187bo</v>
          </cell>
          <cell r="AB129">
            <v>4145430.18</v>
          </cell>
        </row>
        <row r="130">
          <cell r="B130" t="str">
            <v>xpa1peae</v>
          </cell>
          <cell r="AB130">
            <v>2567965.8799999994</v>
          </cell>
        </row>
        <row r="131">
          <cell r="B131" t="str">
            <v>xil305e</v>
          </cell>
          <cell r="AB131">
            <v>5602953.7329069758</v>
          </cell>
        </row>
        <row r="132">
          <cell r="B132" t="str">
            <v>xil1terr</v>
          </cell>
          <cell r="AB132">
            <v>6146485.2804651158</v>
          </cell>
        </row>
        <row r="133">
          <cell r="B133" t="str">
            <v>xil1601</v>
          </cell>
          <cell r="AB133">
            <v>7075684.3872093018</v>
          </cell>
        </row>
        <row r="134">
          <cell r="B134" t="str">
            <v>xil1688</v>
          </cell>
          <cell r="AB134">
            <v>7677150.7994186049</v>
          </cell>
        </row>
        <row r="135">
          <cell r="B135" t="str">
            <v>xil747</v>
          </cell>
          <cell r="AB135">
            <v>13598770.91916585</v>
          </cell>
        </row>
        <row r="136">
          <cell r="B136" t="str">
            <v>xil1111</v>
          </cell>
          <cell r="AB136">
            <v>13808561.911187438</v>
          </cell>
        </row>
        <row r="137">
          <cell r="B137" t="str">
            <v>xil1600</v>
          </cell>
          <cell r="AB137">
            <v>24424270.98964671</v>
          </cell>
        </row>
        <row r="138">
          <cell r="B138" t="str">
            <v>xnj7550</v>
          </cell>
          <cell r="AB138">
            <v>2551261.4</v>
          </cell>
        </row>
        <row r="139">
          <cell r="B139" t="str">
            <v>xga130j</v>
          </cell>
          <cell r="AB139">
            <v>2109277.98</v>
          </cell>
        </row>
        <row r="140">
          <cell r="B140" t="str">
            <v>xil900b</v>
          </cell>
          <cell r="AB140">
            <v>3863262.64</v>
          </cell>
        </row>
        <row r="141">
          <cell r="B141" t="str">
            <v>xga9330</v>
          </cell>
          <cell r="AB141">
            <v>2112276.73</v>
          </cell>
        </row>
        <row r="142">
          <cell r="B142" t="str">
            <v>xnj440be</v>
          </cell>
          <cell r="AB142">
            <v>4182275.0491347439</v>
          </cell>
        </row>
        <row r="143">
          <cell r="B143" t="str">
            <v>xnj420be</v>
          </cell>
          <cell r="AB143">
            <v>5434351.140865257</v>
          </cell>
        </row>
        <row r="144">
          <cell r="B144" t="str">
            <v>xnj6965</v>
          </cell>
          <cell r="AB144">
            <v>11396864.779999999</v>
          </cell>
        </row>
        <row r="145">
          <cell r="B145" t="str">
            <v>xnj900k</v>
          </cell>
          <cell r="AB145">
            <v>3672179.42</v>
          </cell>
        </row>
        <row r="146">
          <cell r="B146" t="str">
            <v>xnj313c</v>
          </cell>
          <cell r="AB146">
            <v>5158703.93</v>
          </cell>
        </row>
        <row r="147">
          <cell r="B147" t="str">
            <v>xnj52col</v>
          </cell>
          <cell r="AB147">
            <v>3283525.94</v>
          </cell>
        </row>
        <row r="148">
          <cell r="B148" t="str">
            <v>xnj845l</v>
          </cell>
          <cell r="AB148">
            <v>2149351.67</v>
          </cell>
        </row>
        <row r="149">
          <cell r="B149" t="str">
            <v>xga4225</v>
          </cell>
          <cell r="AB149">
            <v>2681913.81</v>
          </cell>
        </row>
        <row r="150">
          <cell r="B150" t="str">
            <v>xga265c</v>
          </cell>
          <cell r="AB150">
            <v>6060255.1400000006</v>
          </cell>
        </row>
        <row r="151">
          <cell r="B151" t="str">
            <v>xnj390n</v>
          </cell>
          <cell r="AB151">
            <v>4739892.53</v>
          </cell>
        </row>
        <row r="152">
          <cell r="B152" t="str">
            <v>xnj1010</v>
          </cell>
          <cell r="AB152">
            <v>3796184.58</v>
          </cell>
        </row>
        <row r="153">
          <cell r="B153" t="str">
            <v>xga4601</v>
          </cell>
          <cell r="AB153">
            <v>7747418.7200000007</v>
          </cell>
        </row>
        <row r="154">
          <cell r="B154" t="str">
            <v>xga5070</v>
          </cell>
          <cell r="AB154">
            <v>3081539.6399999997</v>
          </cell>
        </row>
        <row r="155">
          <cell r="B155" t="str">
            <v>xgadors</v>
          </cell>
          <cell r="AB155">
            <v>10276973.949999999</v>
          </cell>
        </row>
        <row r="156">
          <cell r="B156" t="str">
            <v>xga1157</v>
          </cell>
          <cell r="AB156">
            <v>10938649.939999999</v>
          </cell>
        </row>
        <row r="157">
          <cell r="B157" t="str">
            <v>xil2101</v>
          </cell>
          <cell r="AB157">
            <v>6688282.8728767121</v>
          </cell>
        </row>
        <row r="158">
          <cell r="B158" t="str">
            <v>xnj108n</v>
          </cell>
          <cell r="AB158">
            <v>2787975.41</v>
          </cell>
        </row>
        <row r="159">
          <cell r="B159" t="str">
            <v>xoh8655</v>
          </cell>
          <cell r="AB159">
            <v>2346923.5299999998</v>
          </cell>
        </row>
        <row r="160">
          <cell r="B160" t="str">
            <v>xpa12111</v>
          </cell>
          <cell r="AB160">
            <v>11188352.26</v>
          </cell>
        </row>
        <row r="161">
          <cell r="B161" t="str">
            <v>xpa327c</v>
          </cell>
          <cell r="AB161">
            <v>8116630.21</v>
          </cell>
        </row>
        <row r="162">
          <cell r="B162" t="str">
            <v>xtx1121</v>
          </cell>
          <cell r="AB162">
            <v>5261410.5</v>
          </cell>
        </row>
        <row r="163">
          <cell r="B163" t="str">
            <v>xnj14th</v>
          </cell>
          <cell r="AB163">
            <v>4991365.51</v>
          </cell>
        </row>
        <row r="164">
          <cell r="B164" t="str">
            <v>xoh382c</v>
          </cell>
          <cell r="AB164">
            <v>3204666.35</v>
          </cell>
        </row>
        <row r="165">
          <cell r="B165" t="str">
            <v>xnj220r</v>
          </cell>
          <cell r="AB165">
            <v>7025747.5</v>
          </cell>
        </row>
        <row r="166">
          <cell r="B166" t="str">
            <v>xnj10tw</v>
          </cell>
          <cell r="AB166">
            <v>5251898.0500000007</v>
          </cell>
        </row>
        <row r="167">
          <cell r="B167" t="str">
            <v>xil250n</v>
          </cell>
          <cell r="AB167">
            <v>6212688.29</v>
          </cell>
        </row>
        <row r="168">
          <cell r="B168" t="str">
            <v>xtnawg2</v>
          </cell>
          <cell r="AB168">
            <v>6720001.1363102021</v>
          </cell>
        </row>
        <row r="169">
          <cell r="B169" t="str">
            <v>xtnawg1</v>
          </cell>
          <cell r="AB169">
            <v>13352338.343689799</v>
          </cell>
        </row>
        <row r="170">
          <cell r="B170" t="str">
            <v>xil529t</v>
          </cell>
          <cell r="AB170">
            <v>6176703.4361643838</v>
          </cell>
        </row>
        <row r="171">
          <cell r="B171" t="str">
            <v>xil700h</v>
          </cell>
          <cell r="AB171">
            <v>3237390.5</v>
          </cell>
        </row>
        <row r="172">
          <cell r="B172" t="str">
            <v>xga4507m</v>
          </cell>
          <cell r="AB172">
            <v>8213136.2700000005</v>
          </cell>
        </row>
        <row r="173">
          <cell r="B173" t="str">
            <v>xnj740co</v>
          </cell>
          <cell r="AB173">
            <v>15454507.43</v>
          </cell>
        </row>
        <row r="174">
          <cell r="B174" t="str">
            <v>xky4175a</v>
          </cell>
          <cell r="AB174">
            <v>17998414.25</v>
          </cell>
        </row>
        <row r="175">
          <cell r="B175" t="str">
            <v>xtx4201n</v>
          </cell>
          <cell r="AB175">
            <v>26460365.309999999</v>
          </cell>
        </row>
        <row r="176">
          <cell r="B176" t="str">
            <v>xil2500w</v>
          </cell>
          <cell r="AB176">
            <v>1689875.26</v>
          </cell>
        </row>
        <row r="177">
          <cell r="B177" t="str">
            <v>xga5121b</v>
          </cell>
          <cell r="AB177">
            <v>2804486.68</v>
          </cell>
        </row>
        <row r="178">
          <cell r="B178" t="str">
            <v>xga4680n</v>
          </cell>
          <cell r="AB178">
            <v>5417061.5</v>
          </cell>
        </row>
        <row r="179">
          <cell r="B179" t="str">
            <v>xga2100b</v>
          </cell>
          <cell r="AB179">
            <v>12671391.5</v>
          </cell>
        </row>
        <row r="180">
          <cell r="B180" t="str">
            <v>xnj95bau</v>
          </cell>
          <cell r="AB180">
            <v>2299436.4633107767</v>
          </cell>
        </row>
        <row r="181">
          <cell r="B181" t="str">
            <v>xohcolu3</v>
          </cell>
          <cell r="AB181">
            <v>919922.46545454545</v>
          </cell>
        </row>
        <row r="182">
          <cell r="B182" t="str">
            <v>xnj156al</v>
          </cell>
          <cell r="AB182">
            <v>3012405.6600748682</v>
          </cell>
        </row>
        <row r="183">
          <cell r="B183" t="str">
            <v>xohcolu2</v>
          </cell>
          <cell r="AB183">
            <v>1473691.7603030303</v>
          </cell>
        </row>
        <row r="184">
          <cell r="B184" t="str">
            <v>xnj145al</v>
          </cell>
          <cell r="AB184">
            <v>3670506.7980262642</v>
          </cell>
        </row>
        <row r="185">
          <cell r="B185" t="str">
            <v>xohcolu4</v>
          </cell>
          <cell r="AB185">
            <v>1921101.2848484849</v>
          </cell>
        </row>
        <row r="186">
          <cell r="B186" t="str">
            <v>xnj30les</v>
          </cell>
          <cell r="AB186">
            <v>4624186.5827969825</v>
          </cell>
        </row>
        <row r="187">
          <cell r="B187" t="str">
            <v>xtx3662m</v>
          </cell>
          <cell r="AB187">
            <v>3948731.879230286</v>
          </cell>
        </row>
        <row r="188">
          <cell r="B188" t="str">
            <v>xnj128ba</v>
          </cell>
          <cell r="AB188">
            <v>10076574.518800316</v>
          </cell>
        </row>
        <row r="189">
          <cell r="B189" t="str">
            <v>xtx12150</v>
          </cell>
          <cell r="AB189">
            <v>4094917.4507697141</v>
          </cell>
        </row>
        <row r="190">
          <cell r="B190" t="str">
            <v>xnj40pot</v>
          </cell>
          <cell r="AB190">
            <v>22847300.812500227</v>
          </cell>
        </row>
        <row r="191">
          <cell r="B191" t="str">
            <v>xohcolu1</v>
          </cell>
          <cell r="AB191">
            <v>4401851.53939394</v>
          </cell>
        </row>
        <row r="192">
          <cell r="B192" t="str">
            <v>xnj125al</v>
          </cell>
          <cell r="AB192">
            <v>15698818.571932076</v>
          </cell>
        </row>
        <row r="193">
          <cell r="B193" t="str">
            <v>xnj17pol</v>
          </cell>
          <cell r="AB193">
            <v>18259076.667750642</v>
          </cell>
        </row>
        <row r="194">
          <cell r="B194" t="str">
            <v>xnj5thor</v>
          </cell>
          <cell r="AB194">
            <v>28219818.070013888</v>
          </cell>
        </row>
        <row r="195">
          <cell r="B195" t="str">
            <v>xnj19nev</v>
          </cell>
          <cell r="AB195">
            <v>27968334.659775093</v>
          </cell>
        </row>
        <row r="196">
          <cell r="B196" t="str">
            <v>xga800in</v>
          </cell>
          <cell r="AB196">
            <v>7555497.7999999998</v>
          </cell>
        </row>
        <row r="197">
          <cell r="B197" t="str">
            <v>xnj14rol</v>
          </cell>
          <cell r="AB197">
            <v>2136837.0499999998</v>
          </cell>
        </row>
        <row r="198">
          <cell r="B198" t="str">
            <v>xil464no</v>
          </cell>
          <cell r="AB198">
            <v>2183822.4522425313</v>
          </cell>
        </row>
        <row r="199">
          <cell r="B199" t="str">
            <v>xil77whe</v>
          </cell>
          <cell r="AB199">
            <v>6567121.9977574693</v>
          </cell>
        </row>
        <row r="200">
          <cell r="B200" t="str">
            <v>xnj1601s</v>
          </cell>
          <cell r="AB200">
            <v>6467710.5</v>
          </cell>
        </row>
        <row r="201">
          <cell r="B201" t="str">
            <v>xil770ar</v>
          </cell>
          <cell r="AB201">
            <v>5597314.60520548</v>
          </cell>
        </row>
        <row r="202">
          <cell r="B202" t="str">
            <v>xga800wh</v>
          </cell>
          <cell r="AB202">
            <v>4629527.3499999996</v>
          </cell>
        </row>
        <row r="203">
          <cell r="B203" t="str">
            <v>xtx8154b</v>
          </cell>
          <cell r="AB203">
            <v>4689889.05</v>
          </cell>
        </row>
        <row r="204">
          <cell r="B204" t="str">
            <v>xfl3900w</v>
          </cell>
          <cell r="AB204">
            <v>7297049.1200000001</v>
          </cell>
        </row>
        <row r="205">
          <cell r="B205" t="str">
            <v>xfl11660</v>
          </cell>
          <cell r="AB205">
            <v>8387069.8799999999</v>
          </cell>
        </row>
        <row r="206">
          <cell r="B206" t="str">
            <v>xpa18rai</v>
          </cell>
          <cell r="AB206">
            <v>17058122.66</v>
          </cell>
        </row>
        <row r="207">
          <cell r="B207" t="str">
            <v>xil1000a</v>
          </cell>
          <cell r="AB207">
            <v>3145138.0999999996</v>
          </cell>
        </row>
        <row r="208">
          <cell r="B208" t="str">
            <v>xtx2125v</v>
          </cell>
          <cell r="AB208">
            <v>3803684.32</v>
          </cell>
        </row>
        <row r="209">
          <cell r="B209" t="str">
            <v>xnj2075h</v>
          </cell>
          <cell r="AB209">
            <v>3079558.92</v>
          </cell>
        </row>
        <row r="210">
          <cell r="B210" t="str">
            <v>xnj200ri</v>
          </cell>
          <cell r="AB210">
            <v>7521847.7800000003</v>
          </cell>
        </row>
        <row r="211">
          <cell r="B211" t="str">
            <v>xtx1919a</v>
          </cell>
          <cell r="AB211">
            <v>5295146.7205790002</v>
          </cell>
        </row>
        <row r="212">
          <cell r="B212" t="str">
            <v>xga4600f</v>
          </cell>
          <cell r="AB212">
            <v>6405586.8599999994</v>
          </cell>
        </row>
        <row r="213">
          <cell r="B213" t="str">
            <v>xtx310an</v>
          </cell>
          <cell r="AB213">
            <v>8099643.0569000002</v>
          </cell>
        </row>
        <row r="214">
          <cell r="B214" t="str">
            <v>xtx111pl</v>
          </cell>
          <cell r="AB214">
            <v>12788045.882521</v>
          </cell>
        </row>
        <row r="215">
          <cell r="B215" t="str">
            <v>xil1001a</v>
          </cell>
          <cell r="AB215">
            <v>1873776.12</v>
          </cell>
        </row>
        <row r="216">
          <cell r="B216" t="str">
            <v>xtx2616a</v>
          </cell>
          <cell r="AB216">
            <v>2774100.31</v>
          </cell>
        </row>
        <row r="217">
          <cell r="B217" t="str">
            <v>xfl4646g</v>
          </cell>
          <cell r="AB217">
            <v>7030747.9800000004</v>
          </cell>
        </row>
        <row r="218">
          <cell r="B218" t="str">
            <v>xnj9100p</v>
          </cell>
          <cell r="AB218">
            <v>3800972.86</v>
          </cell>
        </row>
        <row r="219">
          <cell r="B219" t="str">
            <v>xnj400wa</v>
          </cell>
          <cell r="AB219">
            <v>2768400.4</v>
          </cell>
        </row>
        <row r="220">
          <cell r="B220" t="str">
            <v>xtx467wa</v>
          </cell>
          <cell r="AB220">
            <v>3046726.56</v>
          </cell>
        </row>
        <row r="221">
          <cell r="B221" t="str">
            <v>xga3350h</v>
          </cell>
          <cell r="AB221">
            <v>8086557.8200000003</v>
          </cell>
        </row>
        <row r="222">
          <cell r="B222" t="str">
            <v>xil121lo</v>
          </cell>
          <cell r="AB222">
            <v>2058593.9</v>
          </cell>
        </row>
        <row r="223">
          <cell r="B223" t="str">
            <v>xfl7720p</v>
          </cell>
          <cell r="AB223">
            <v>9680470.7799999993</v>
          </cell>
        </row>
        <row r="224">
          <cell r="B224" t="str">
            <v>xpa4200m</v>
          </cell>
          <cell r="AB224">
            <v>3610311.38</v>
          </cell>
        </row>
        <row r="225">
          <cell r="B225" t="str">
            <v>xtx10704</v>
          </cell>
          <cell r="AB225">
            <v>3222034.81</v>
          </cell>
        </row>
        <row r="226">
          <cell r="B226" t="str">
            <v>xpa500ma</v>
          </cell>
          <cell r="AB226">
            <v>9548065.9199999981</v>
          </cell>
        </row>
        <row r="227">
          <cell r="B227" t="str">
            <v>xfl420sw</v>
          </cell>
          <cell r="AB227">
            <v>3337421.2399999998</v>
          </cell>
        </row>
        <row r="228">
          <cell r="B228" t="str">
            <v>xnj121mo</v>
          </cell>
          <cell r="AB228">
            <v>18424951.899999999</v>
          </cell>
        </row>
        <row r="229">
          <cell r="B229" t="str">
            <v>xtx2655</v>
          </cell>
          <cell r="AB229">
            <v>2447122.29</v>
          </cell>
        </row>
        <row r="230">
          <cell r="B230" t="str">
            <v>xnj121hi</v>
          </cell>
          <cell r="AB230">
            <v>5957705.0499999998</v>
          </cell>
        </row>
        <row r="231">
          <cell r="B231" t="str">
            <v>xga401wi</v>
          </cell>
          <cell r="AB231">
            <v>7149101.96</v>
          </cell>
        </row>
        <row r="232">
          <cell r="B232" t="str">
            <v>xil1630b</v>
          </cell>
          <cell r="AB232">
            <v>3854886.9000000004</v>
          </cell>
        </row>
        <row r="233">
          <cell r="B233" t="str">
            <v>xil1600b</v>
          </cell>
          <cell r="AB233">
            <v>5782330.3500000006</v>
          </cell>
        </row>
        <row r="234">
          <cell r="B234" t="str">
            <v>xtn3961o</v>
          </cell>
          <cell r="AB234">
            <v>4962678.6900000004</v>
          </cell>
        </row>
        <row r="235">
          <cell r="B235" t="str">
            <v>xil1200p</v>
          </cell>
          <cell r="AB235">
            <v>2911872.57</v>
          </cell>
        </row>
        <row r="236">
          <cell r="B236" t="str">
            <v>xga9335i</v>
          </cell>
          <cell r="AB236">
            <v>3335623.65</v>
          </cell>
        </row>
        <row r="237">
          <cell r="B237" t="str">
            <v>xil141be</v>
          </cell>
          <cell r="AB237">
            <v>1210665.1634962079</v>
          </cell>
        </row>
        <row r="238">
          <cell r="B238" t="str">
            <v>xil201ja</v>
          </cell>
          <cell r="AB238">
            <v>2315417.6018076534</v>
          </cell>
        </row>
        <row r="239">
          <cell r="B239" t="str">
            <v>xil240ja</v>
          </cell>
          <cell r="AB239">
            <v>3416866.0160578857</v>
          </cell>
        </row>
        <row r="240">
          <cell r="B240" t="str">
            <v>xil231ja</v>
          </cell>
          <cell r="AB240">
            <v>4327794.3283412401</v>
          </cell>
        </row>
        <row r="241">
          <cell r="B241" t="str">
            <v>xil11697</v>
          </cell>
          <cell r="AB241">
            <v>4241024.2</v>
          </cell>
        </row>
        <row r="242">
          <cell r="B242" t="str">
            <v>xnj2050h</v>
          </cell>
          <cell r="AB242">
            <v>3050865.14</v>
          </cell>
        </row>
        <row r="243">
          <cell r="B243" t="str">
            <v>xnj6925s</v>
          </cell>
          <cell r="AB243">
            <v>2344214.73</v>
          </cell>
        </row>
        <row r="244">
          <cell r="B244" t="str">
            <v>xtx1709s</v>
          </cell>
          <cell r="AB244">
            <v>23777677.629999999</v>
          </cell>
        </row>
        <row r="245">
          <cell r="B245" t="str">
            <v>xtx3857m</v>
          </cell>
          <cell r="AB245">
            <v>4902158.0199999996</v>
          </cell>
        </row>
        <row r="246">
          <cell r="B246" t="str">
            <v>xtx1050k</v>
          </cell>
          <cell r="AB246">
            <v>6133225.6799999997</v>
          </cell>
        </row>
        <row r="247">
          <cell r="B247" t="str">
            <v>xtx2445s</v>
          </cell>
          <cell r="AB247">
            <v>5449462.1799999997</v>
          </cell>
        </row>
        <row r="248">
          <cell r="B248" t="str">
            <v>xtx11839</v>
          </cell>
          <cell r="AB248">
            <v>15055400.48</v>
          </cell>
        </row>
        <row r="249">
          <cell r="B249" t="str">
            <v>xtx1721s</v>
          </cell>
          <cell r="AB249">
            <v>4895774.09</v>
          </cell>
        </row>
        <row r="250">
          <cell r="B250" t="str">
            <v>xga3471a</v>
          </cell>
          <cell r="AB250">
            <v>4649176.26</v>
          </cell>
        </row>
        <row r="251">
          <cell r="B251" t="str">
            <v>xnj59cha</v>
          </cell>
          <cell r="AB251">
            <v>1556087.9000000001</v>
          </cell>
        </row>
        <row r="252">
          <cell r="B252" t="str">
            <v>xil7760m</v>
          </cell>
          <cell r="AB252">
            <v>5245664.1500000004</v>
          </cell>
        </row>
        <row r="253">
          <cell r="B253" t="str">
            <v>xil2710l</v>
          </cell>
          <cell r="AB253">
            <v>2685605.7</v>
          </cell>
        </row>
        <row r="254">
          <cell r="B254" t="str">
            <v>xga4450c</v>
          </cell>
          <cell r="AB254">
            <v>2090703.79</v>
          </cell>
        </row>
        <row r="255">
          <cell r="B255" t="str">
            <v>xil1000e</v>
          </cell>
          <cell r="AB255">
            <v>2808509.95</v>
          </cell>
        </row>
        <row r="256">
          <cell r="B256" t="str">
            <v>xnj19ind</v>
          </cell>
          <cell r="AB256">
            <v>10237909.35</v>
          </cell>
        </row>
        <row r="257">
          <cell r="B257" t="str">
            <v>xfl3333c</v>
          </cell>
          <cell r="AB257">
            <v>5793314.0200000005</v>
          </cell>
        </row>
        <row r="258">
          <cell r="B258" t="str">
            <v>xga1610s</v>
          </cell>
          <cell r="AB258">
            <v>3236028.63</v>
          </cell>
        </row>
        <row r="259">
          <cell r="B259" t="str">
            <v>xga2900j</v>
          </cell>
          <cell r="AB259">
            <v>10974766.029999999</v>
          </cell>
        </row>
        <row r="260">
          <cell r="B260" t="str">
            <v>xpa3041m</v>
          </cell>
          <cell r="AB260">
            <v>9643812.0500000007</v>
          </cell>
        </row>
        <row r="261">
          <cell r="B261" t="str">
            <v>xtx4666d</v>
          </cell>
          <cell r="AB261">
            <v>13573667.899999999</v>
          </cell>
        </row>
        <row r="262">
          <cell r="B262" t="str">
            <v>xga3651c</v>
          </cell>
          <cell r="AB262">
            <v>3738264.92</v>
          </cell>
        </row>
        <row r="263">
          <cell r="B263" t="str">
            <v>xil222ja</v>
          </cell>
          <cell r="AB263">
            <v>2611348.6800000002</v>
          </cell>
        </row>
        <row r="264">
          <cell r="B264" t="str">
            <v>xnj70cat</v>
          </cell>
          <cell r="AB264">
            <v>1665134.39</v>
          </cell>
        </row>
        <row r="265">
          <cell r="B265" t="str">
            <v>xnj6900r</v>
          </cell>
          <cell r="AB265">
            <v>2004244.22</v>
          </cell>
        </row>
        <row r="266">
          <cell r="B266" t="str">
            <v>xga1585r</v>
          </cell>
          <cell r="AB266">
            <v>6034708.6200000001</v>
          </cell>
        </row>
        <row r="267">
          <cell r="B267" t="str">
            <v>xoh154co</v>
          </cell>
          <cell r="AB267">
            <v>5522033.5</v>
          </cell>
        </row>
        <row r="268">
          <cell r="B268" t="str">
            <v>xnj1803u</v>
          </cell>
          <cell r="AB268">
            <v>1898763.18</v>
          </cell>
        </row>
        <row r="269">
          <cell r="B269" t="str">
            <v>xil1100h</v>
          </cell>
          <cell r="AB269">
            <v>1910869.03</v>
          </cell>
        </row>
        <row r="270">
          <cell r="B270" t="str">
            <v>xil1701b</v>
          </cell>
          <cell r="AB270">
            <v>3946674.92</v>
          </cell>
        </row>
        <row r="271">
          <cell r="B271" t="str">
            <v>xga3100j</v>
          </cell>
          <cell r="AB271">
            <v>5069151.08</v>
          </cell>
        </row>
        <row r="272">
          <cell r="B272" t="str">
            <v>xnj1980o</v>
          </cell>
          <cell r="AB272">
            <v>1757096.22</v>
          </cell>
        </row>
        <row r="273">
          <cell r="B273" t="str">
            <v>xga1145b</v>
          </cell>
          <cell r="AB273">
            <v>5716791.6600000001</v>
          </cell>
        </row>
        <row r="274">
          <cell r="B274"/>
          <cell r="AB274">
            <v>1839023611.5953081</v>
          </cell>
        </row>
        <row r="275">
          <cell r="AB275">
            <v>265</v>
          </cell>
        </row>
        <row r="283">
          <cell r="AB283"/>
        </row>
        <row r="284">
          <cell r="AB284"/>
        </row>
        <row r="285">
          <cell r="B285" t="str">
            <v>Owned Asset</v>
          </cell>
        </row>
        <row r="286">
          <cell r="B286" t="str">
            <v>Owned Asset</v>
          </cell>
        </row>
        <row r="287">
          <cell r="B287" t="str">
            <v>Owned Asset</v>
          </cell>
        </row>
        <row r="288">
          <cell r="B288" t="str">
            <v>Owned Asset</v>
          </cell>
        </row>
        <row r="289">
          <cell r="B289" t="str">
            <v>Owned Asset</v>
          </cell>
        </row>
        <row r="290">
          <cell r="B290" t="str">
            <v>Owned Asset</v>
          </cell>
        </row>
        <row r="291">
          <cell r="B291" t="str">
            <v>Owned Asset</v>
          </cell>
        </row>
        <row r="292">
          <cell r="B292" t="str">
            <v>Owned Asset</v>
          </cell>
        </row>
        <row r="293">
          <cell r="B293" t="str">
            <v>Owned Asset</v>
          </cell>
        </row>
        <row r="294">
          <cell r="B294" t="str">
            <v>Owned Asset</v>
          </cell>
        </row>
        <row r="295">
          <cell r="B295" t="str">
            <v>Owned Asset</v>
          </cell>
        </row>
        <row r="296">
          <cell r="B296" t="str">
            <v>Owned Asset</v>
          </cell>
        </row>
        <row r="297">
          <cell r="B297" t="str">
            <v>Owned Asset</v>
          </cell>
        </row>
        <row r="298">
          <cell r="B298" t="str">
            <v>Owned Asset</v>
          </cell>
        </row>
        <row r="299">
          <cell r="B299" t="str">
            <v>Owned Asset</v>
          </cell>
        </row>
        <row r="300">
          <cell r="B300" t="str">
            <v>Owned Asset</v>
          </cell>
        </row>
        <row r="301">
          <cell r="B301" t="str">
            <v>Owned Asset</v>
          </cell>
        </row>
        <row r="302">
          <cell r="B302"/>
        </row>
        <row r="306">
          <cell r="B306" t="str">
            <v>Owned Asset</v>
          </cell>
        </row>
        <row r="307">
          <cell r="B307" t="str">
            <v>Owned Asset</v>
          </cell>
        </row>
        <row r="312">
          <cell r="B312" t="str">
            <v>Owned Asset</v>
          </cell>
        </row>
        <row r="313">
          <cell r="B313" t="str">
            <v>Owned Asset</v>
          </cell>
        </row>
        <row r="314">
          <cell r="B314" t="str">
            <v>Owned Asset</v>
          </cell>
        </row>
        <row r="315">
          <cell r="B315" t="str">
            <v>Owned Asset</v>
          </cell>
        </row>
        <row r="316">
          <cell r="B316" t="str">
            <v>Owned Asset</v>
          </cell>
        </row>
        <row r="317">
          <cell r="B317" t="str">
            <v>Owned Asset</v>
          </cell>
        </row>
        <row r="318">
          <cell r="B318" t="str">
            <v>Owned Asset</v>
          </cell>
        </row>
        <row r="319">
          <cell r="B319" t="str">
            <v>Owned Asset</v>
          </cell>
        </row>
      </sheetData>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uogTUobnCEuMTwhkpurbszljYEBwFIJJoYnQoxh7ONDPAv4P2bxYRIE1oOFtxc9Q" itemId="01FTGYLXWD7BIWJCCGFZDYAKDWNSWQONLI">
      <xxl21:absoluteUrl r:id="rId3"/>
    </xxl21:alternateUrls>
    <sheetNames>
      <sheetName val="Glossary"/>
      <sheetName val="Performance Table"/>
    </sheetNames>
    <sheetDataSet>
      <sheetData sheetId="0"/>
      <sheetData sheetId="1">
        <row r="4">
          <cell r="B4" t="str">
            <v>3fl00010</v>
          </cell>
          <cell r="C4" t="str">
            <v>12900 NW 38th Ave</v>
          </cell>
          <cell r="D4" t="str">
            <v>Unrealized</v>
          </cell>
          <cell r="E4" t="str">
            <v>Industrial Value Fund III</v>
          </cell>
          <cell r="F4" t="str">
            <v>USD</v>
          </cell>
          <cell r="G4" t="str">
            <v>Last Mile</v>
          </cell>
          <cell r="H4" t="str">
            <v>Miami</v>
          </cell>
          <cell r="I4" t="str">
            <v>Opa Locka</v>
          </cell>
          <cell r="J4" t="str">
            <v>FL</v>
          </cell>
          <cell r="K4">
            <v>33054</v>
          </cell>
          <cell r="L4" t="str">
            <v>United States</v>
          </cell>
          <cell r="M4" t="str">
            <v>Miami-Fort Lauderdale-West Palm Beach, FL</v>
          </cell>
          <cell r="N4">
            <v>25050</v>
          </cell>
          <cell r="O4">
            <v>1</v>
          </cell>
          <cell r="P4" t="str">
            <v>Portfolio</v>
          </cell>
          <cell r="Q4" t="str">
            <v>Property - Private Equity</v>
          </cell>
          <cell r="R4" t="str">
            <v>Industrial</v>
          </cell>
          <cell r="S4" t="str">
            <v>Warehouse</v>
          </cell>
          <cell r="T4">
            <v>1990</v>
          </cell>
          <cell r="U4" t="str">
            <v>Sq. Feet</v>
          </cell>
          <cell r="V4" t="str">
            <v>Value-Add</v>
          </cell>
          <cell r="W4" t="str">
            <v>Industrial / Logistics</v>
          </cell>
          <cell r="X4" t="str">
            <v>Common Equity</v>
          </cell>
          <cell r="Y4">
            <v>407280.86255271995</v>
          </cell>
          <cell r="Z4">
            <v>995567.99791899999</v>
          </cell>
          <cell r="AA4">
            <v>5606767.9979189998</v>
          </cell>
          <cell r="AB4">
            <v>7.2640933725791001E-2</v>
          </cell>
          <cell r="AC4">
            <v>338175</v>
          </cell>
          <cell r="AD4">
            <v>7.3795975050664833E-2</v>
          </cell>
          <cell r="AE4">
            <v>5.7500000000000002E-2</v>
          </cell>
          <cell r="AF4">
            <v>0.16550000000000001</v>
          </cell>
          <cell r="AG4">
            <v>1.77</v>
          </cell>
          <cell r="AH4">
            <v>0.13070000000000001</v>
          </cell>
          <cell r="AI4">
            <v>1.53</v>
          </cell>
          <cell r="AJ4">
            <v>9.376034969159619E-2</v>
          </cell>
          <cell r="AK4">
            <v>0.13560193109114427</v>
          </cell>
          <cell r="AL4">
            <v>1.7798670162272088</v>
          </cell>
          <cell r="AM4">
            <v>6.5554698064193673E-2</v>
          </cell>
          <cell r="AN4">
            <v>0.10234795396972451</v>
          </cell>
          <cell r="AO4">
            <v>1.5678119804329447</v>
          </cell>
          <cell r="AP4" t="str">
            <v>Market deal</v>
          </cell>
          <cell r="AQ4" t="str">
            <v>Rent Optimization</v>
          </cell>
          <cell r="AR4" t="str">
            <v>Leasing Strategy</v>
          </cell>
          <cell r="AS4">
            <v>45279</v>
          </cell>
          <cell r="AT4">
            <v>4582567</v>
          </cell>
          <cell r="AU4">
            <v>4611200</v>
          </cell>
          <cell r="AV4">
            <v>281993.52190799994</v>
          </cell>
          <cell r="AW4">
            <v>286723.57448799978</v>
          </cell>
          <cell r="AX4">
            <v>6.1536148169355723E-2</v>
          </cell>
          <cell r="AY4">
            <v>6.2568332222529374E-2</v>
          </cell>
          <cell r="AZ4">
            <v>11.750002395209499</v>
          </cell>
          <cell r="BA4">
            <v>1</v>
          </cell>
          <cell r="BB4">
            <v>4.1260273972455002</v>
          </cell>
          <cell r="BC4">
            <v>1</v>
          </cell>
          <cell r="BD4">
            <v>0</v>
          </cell>
          <cell r="BE4">
            <v>0</v>
          </cell>
          <cell r="BF4">
            <v>0</v>
          </cell>
          <cell r="BG4">
            <v>10388.850000000002</v>
          </cell>
          <cell r="BH4">
            <v>10388.850000000002</v>
          </cell>
          <cell r="BI4">
            <v>294337.56</v>
          </cell>
          <cell r="BJ4">
            <v>4611200</v>
          </cell>
        </row>
        <row r="5">
          <cell r="B5" t="str">
            <v>3fl00008</v>
          </cell>
          <cell r="C5" t="str">
            <v>13000 NW 38th Ave</v>
          </cell>
          <cell r="D5" t="str">
            <v>Unrealized</v>
          </cell>
          <cell r="E5" t="str">
            <v>Industrial Value Fund III</v>
          </cell>
          <cell r="F5" t="str">
            <v>USD</v>
          </cell>
          <cell r="G5" t="str">
            <v>Last Mile</v>
          </cell>
          <cell r="H5" t="str">
            <v>Miami</v>
          </cell>
          <cell r="I5" t="str">
            <v>Opa-locka</v>
          </cell>
          <cell r="J5" t="str">
            <v>FL</v>
          </cell>
          <cell r="K5">
            <v>33054</v>
          </cell>
          <cell r="L5" t="str">
            <v>United States</v>
          </cell>
          <cell r="M5" t="str">
            <v>Miami-Fort Lauderdale-West Palm Beach, FL</v>
          </cell>
          <cell r="N5">
            <v>58585</v>
          </cell>
          <cell r="O5">
            <v>1</v>
          </cell>
          <cell r="P5" t="str">
            <v>Portfolio</v>
          </cell>
          <cell r="Q5" t="str">
            <v>Property - Private Equity</v>
          </cell>
          <cell r="R5" t="str">
            <v>Industrial</v>
          </cell>
          <cell r="S5" t="str">
            <v>Warehouse</v>
          </cell>
          <cell r="T5">
            <v>1981</v>
          </cell>
          <cell r="U5" t="str">
            <v>Sq. Feet</v>
          </cell>
          <cell r="V5" t="str">
            <v>Value-Add</v>
          </cell>
          <cell r="W5" t="str">
            <v>Industrial / Logistics</v>
          </cell>
          <cell r="X5" t="str">
            <v>Common Equity</v>
          </cell>
          <cell r="Y5">
            <v>862471.50855007977</v>
          </cell>
          <cell r="Z5">
            <v>725881.15545400011</v>
          </cell>
          <cell r="AA5">
            <v>10454815.155454</v>
          </cell>
          <cell r="AB5">
            <v>8.2495146564131386E-2</v>
          </cell>
          <cell r="AC5">
            <v>761605</v>
          </cell>
          <cell r="AD5">
            <v>7.8725860903398129E-2</v>
          </cell>
          <cell r="AE5">
            <v>5.7500000000000002E-2</v>
          </cell>
          <cell r="AF5">
            <v>0.16550000000000001</v>
          </cell>
          <cell r="AG5">
            <v>1.77</v>
          </cell>
          <cell r="AH5">
            <v>0.13070000000000001</v>
          </cell>
          <cell r="AI5">
            <v>1.53</v>
          </cell>
          <cell r="AJ5">
            <v>0.12502965827316159</v>
          </cell>
          <cell r="AK5">
            <v>0.19994830361059535</v>
          </cell>
          <cell r="AL5">
            <v>2.307360221106459</v>
          </cell>
          <cell r="AM5">
            <v>9.2859592329260776E-2</v>
          </cell>
          <cell r="AN5">
            <v>0.15955565242121894</v>
          </cell>
          <cell r="AO5">
            <v>1.988135662200315</v>
          </cell>
          <cell r="AP5" t="str">
            <v>Market deal</v>
          </cell>
          <cell r="AQ5" t="str">
            <v>Rent Optimization</v>
          </cell>
          <cell r="AR5" t="str">
            <v>Leasing Strategy</v>
          </cell>
          <cell r="AS5">
            <v>45279</v>
          </cell>
          <cell r="AT5">
            <v>9674140</v>
          </cell>
          <cell r="AU5">
            <v>9728934</v>
          </cell>
          <cell r="AV5">
            <v>505450.14792000002</v>
          </cell>
          <cell r="AW5">
            <v>511793.51202499931</v>
          </cell>
          <cell r="AX5">
            <v>5.2247553572720679E-2</v>
          </cell>
          <cell r="AY5">
            <v>5.2903256726179203E-2</v>
          </cell>
          <cell r="AZ5">
            <v>8.9282191687291892</v>
          </cell>
          <cell r="BA5">
            <v>1</v>
          </cell>
          <cell r="BB5">
            <v>3.7205479452078101</v>
          </cell>
          <cell r="BC5">
            <v>1</v>
          </cell>
          <cell r="BD5">
            <v>0</v>
          </cell>
          <cell r="BE5">
            <v>0</v>
          </cell>
          <cell r="BF5">
            <v>0</v>
          </cell>
          <cell r="BG5">
            <v>18461.759999999998</v>
          </cell>
          <cell r="BH5">
            <v>18461.759999999998</v>
          </cell>
          <cell r="BI5">
            <v>523059.75692307693</v>
          </cell>
          <cell r="BJ5">
            <v>9728934</v>
          </cell>
        </row>
        <row r="6">
          <cell r="B6" t="str">
            <v>3fl00009</v>
          </cell>
          <cell r="C6" t="str">
            <v>13001 NW 38th Ave</v>
          </cell>
          <cell r="D6" t="str">
            <v>Unrealized</v>
          </cell>
          <cell r="E6" t="str">
            <v>Industrial Value Fund III</v>
          </cell>
          <cell r="F6" t="str">
            <v>USD</v>
          </cell>
          <cell r="G6" t="str">
            <v>Last Mile</v>
          </cell>
          <cell r="H6" t="str">
            <v>Miami</v>
          </cell>
          <cell r="I6" t="str">
            <v>Opa Locka</v>
          </cell>
          <cell r="J6" t="str">
            <v>FL</v>
          </cell>
          <cell r="K6">
            <v>33054</v>
          </cell>
          <cell r="L6" t="str">
            <v>United States</v>
          </cell>
          <cell r="M6" t="str">
            <v>Miami-Fort Lauderdale-West Palm Beach, FL</v>
          </cell>
          <cell r="N6">
            <v>58780</v>
          </cell>
          <cell r="O6">
            <v>1</v>
          </cell>
          <cell r="P6" t="str">
            <v>Portfolio</v>
          </cell>
          <cell r="Q6" t="str">
            <v>Property - Private Equity</v>
          </cell>
          <cell r="R6" t="str">
            <v>Industrial</v>
          </cell>
          <cell r="S6" t="str">
            <v>Warehouse</v>
          </cell>
          <cell r="T6">
            <v>1981</v>
          </cell>
          <cell r="U6" t="str">
            <v>Sq. Feet</v>
          </cell>
          <cell r="V6" t="str">
            <v>Value-Add</v>
          </cell>
          <cell r="W6" t="str">
            <v>Industrial / Logistics</v>
          </cell>
          <cell r="X6" t="str">
            <v>Common Equity</v>
          </cell>
          <cell r="Y6">
            <v>926044.26181384036</v>
          </cell>
          <cell r="Z6">
            <v>668998.84224000003</v>
          </cell>
          <cell r="AA6">
            <v>11118838.84224</v>
          </cell>
          <cell r="AB6">
            <v>8.3286058459255408E-2</v>
          </cell>
          <cell r="AC6">
            <v>793530</v>
          </cell>
          <cell r="AD6">
            <v>7.6350192730043051E-2</v>
          </cell>
          <cell r="AE6">
            <v>5.7500000000000002E-2</v>
          </cell>
          <cell r="AF6">
            <v>0.16550000000000001</v>
          </cell>
          <cell r="AG6">
            <v>1.77</v>
          </cell>
          <cell r="AH6">
            <v>0.13070000000000001</v>
          </cell>
          <cell r="AI6">
            <v>1.53</v>
          </cell>
          <cell r="AJ6">
            <v>0.13510532639642681</v>
          </cell>
          <cell r="AK6">
            <v>0.22186786100451217</v>
          </cell>
          <cell r="AL6">
            <v>2.46212858733533</v>
          </cell>
          <cell r="AM6">
            <v>0.10154688599642325</v>
          </cell>
          <cell r="AN6">
            <v>0.17909313017158435</v>
          </cell>
          <cell r="AO6">
            <v>2.111394071807327</v>
          </cell>
          <cell r="AP6" t="str">
            <v>Market deal</v>
          </cell>
          <cell r="AQ6" t="str">
            <v>Rent Optimization</v>
          </cell>
          <cell r="AR6" t="str">
            <v>Leasing Strategy</v>
          </cell>
          <cell r="AS6">
            <v>45279</v>
          </cell>
          <cell r="AT6">
            <v>10393294</v>
          </cell>
          <cell r="AU6">
            <v>10449840</v>
          </cell>
          <cell r="AV6">
            <v>650967.11807999993</v>
          </cell>
          <cell r="AW6">
            <v>661158.41126800049</v>
          </cell>
          <cell r="AX6">
            <v>6.2633378607398191E-2</v>
          </cell>
          <cell r="AY6">
            <v>6.3613942920117572E-2</v>
          </cell>
          <cell r="AZ6">
            <v>11.5603953725757</v>
          </cell>
          <cell r="BA6">
            <v>1</v>
          </cell>
          <cell r="BB6">
            <v>3.02405440299421</v>
          </cell>
          <cell r="BC6">
            <v>1</v>
          </cell>
          <cell r="BD6">
            <v>0</v>
          </cell>
          <cell r="BE6">
            <v>0</v>
          </cell>
          <cell r="BF6">
            <v>0</v>
          </cell>
          <cell r="BG6">
            <v>23984.14</v>
          </cell>
          <cell r="BH6">
            <v>23984.14</v>
          </cell>
          <cell r="BI6">
            <v>679520.09538461524</v>
          </cell>
          <cell r="BJ6">
            <v>10449840</v>
          </cell>
        </row>
        <row r="7">
          <cell r="B7" t="str">
            <v>3nc00007</v>
          </cell>
          <cell r="C7" t="str">
            <v>12210 Vance Davis</v>
          </cell>
          <cell r="D7" t="str">
            <v>Unrealized</v>
          </cell>
          <cell r="E7" t="str">
            <v>Industrial Value Fund III</v>
          </cell>
          <cell r="F7" t="str">
            <v>USD</v>
          </cell>
          <cell r="G7" t="str">
            <v>Last Mile</v>
          </cell>
          <cell r="H7" t="str">
            <v>Charlotte, NC</v>
          </cell>
          <cell r="I7" t="str">
            <v>Charlotte</v>
          </cell>
          <cell r="J7" t="str">
            <v>NC</v>
          </cell>
          <cell r="K7">
            <v>28269</v>
          </cell>
          <cell r="L7" t="str">
            <v>United States</v>
          </cell>
          <cell r="M7" t="str">
            <v>Charlotte-Concord-Gastonia, NC-SC</v>
          </cell>
          <cell r="N7">
            <v>95507</v>
          </cell>
          <cell r="O7">
            <v>1</v>
          </cell>
          <cell r="P7" t="str">
            <v>Portfolio</v>
          </cell>
          <cell r="Q7" t="str">
            <v>Property - Private Equity</v>
          </cell>
          <cell r="R7" t="str">
            <v>Industrial</v>
          </cell>
          <cell r="S7" t="str">
            <v>Warehouse</v>
          </cell>
          <cell r="T7">
            <v>1997</v>
          </cell>
          <cell r="U7" t="str">
            <v>Sq. Feet</v>
          </cell>
          <cell r="V7" t="str">
            <v>Value-Add</v>
          </cell>
          <cell r="W7" t="str">
            <v>Industrial / Logistics</v>
          </cell>
          <cell r="X7" t="str">
            <v>Common Equity</v>
          </cell>
          <cell r="Y7">
            <v>1001066.1246237603</v>
          </cell>
          <cell r="Z7">
            <v>573387.463659</v>
          </cell>
          <cell r="AA7">
            <v>12061605.463659</v>
          </cell>
          <cell r="AB7">
            <v>8.299609265449126E-2</v>
          </cell>
          <cell r="AC7">
            <v>854716.049999999</v>
          </cell>
          <cell r="AD7">
            <v>7.4485058823529321E-2</v>
          </cell>
          <cell r="AE7">
            <v>5.7500000000000002E-2</v>
          </cell>
          <cell r="AF7">
            <v>0.17</v>
          </cell>
          <cell r="AG7">
            <v>1.94</v>
          </cell>
          <cell r="AH7">
            <v>0.12670000000000001</v>
          </cell>
          <cell r="AI7">
            <v>1.2</v>
          </cell>
          <cell r="AJ7">
            <v>0.14362189843790163</v>
          </cell>
          <cell r="AK7">
            <v>0.24497718914239774</v>
          </cell>
          <cell r="AL7">
            <v>2.5726026806973517</v>
          </cell>
          <cell r="AM7">
            <v>0.10871308423731518</v>
          </cell>
          <cell r="AN7">
            <v>0.19943310320409791</v>
          </cell>
          <cell r="AO7">
            <v>2.1985984186155121</v>
          </cell>
          <cell r="AP7" t="str">
            <v>Market deal</v>
          </cell>
          <cell r="AQ7" t="str">
            <v>Rent Optimization</v>
          </cell>
          <cell r="AR7" t="str">
            <v>Stabilised</v>
          </cell>
          <cell r="AS7">
            <v>45278</v>
          </cell>
          <cell r="AT7">
            <v>11475000</v>
          </cell>
          <cell r="AU7">
            <v>11488218</v>
          </cell>
          <cell r="AV7">
            <v>800593.05611999985</v>
          </cell>
          <cell r="AW7">
            <v>820668.38767133257</v>
          </cell>
          <cell r="AX7">
            <v>6.9768458049673188E-2</v>
          </cell>
          <cell r="AY7">
            <v>7.1517942280726152E-2</v>
          </cell>
          <cell r="AZ7">
            <v>8.3751750133498</v>
          </cell>
          <cell r="BA7">
            <v>1</v>
          </cell>
          <cell r="BB7">
            <v>11.3621592966484</v>
          </cell>
          <cell r="BC7">
            <v>1</v>
          </cell>
          <cell r="BD7">
            <v>0</v>
          </cell>
          <cell r="BE7">
            <v>0</v>
          </cell>
          <cell r="BF7">
            <v>0</v>
          </cell>
          <cell r="BG7">
            <v>27742.82</v>
          </cell>
          <cell r="BH7">
            <v>27742.82</v>
          </cell>
          <cell r="BI7">
            <v>799887.6857142857</v>
          </cell>
          <cell r="BJ7">
            <v>11488218</v>
          </cell>
        </row>
        <row r="8">
          <cell r="B8" t="str">
            <v>3nc00008</v>
          </cell>
          <cell r="C8" t="str">
            <v>12140 Vance Davis</v>
          </cell>
          <cell r="D8" t="str">
            <v>Unrealized</v>
          </cell>
          <cell r="E8" t="str">
            <v>Industrial Value Fund III</v>
          </cell>
          <cell r="F8" t="str">
            <v>USD</v>
          </cell>
          <cell r="G8" t="str">
            <v>Last Mile</v>
          </cell>
          <cell r="H8" t="str">
            <v>Charlotte, NC</v>
          </cell>
          <cell r="I8" t="str">
            <v>Charlotte</v>
          </cell>
          <cell r="J8" t="str">
            <v>NC</v>
          </cell>
          <cell r="K8">
            <v>28269</v>
          </cell>
          <cell r="L8" t="str">
            <v>United States</v>
          </cell>
          <cell r="M8" t="str">
            <v>Charlotte-Concord-Gastonia, NC-SC</v>
          </cell>
          <cell r="N8">
            <v>66380</v>
          </cell>
          <cell r="O8">
            <v>1</v>
          </cell>
          <cell r="P8" t="str">
            <v>Portfolio</v>
          </cell>
          <cell r="Q8" t="str">
            <v>Property - Private Equity</v>
          </cell>
          <cell r="R8" t="str">
            <v>Industrial</v>
          </cell>
          <cell r="S8" t="str">
            <v>Warehouse</v>
          </cell>
          <cell r="T8">
            <v>1997</v>
          </cell>
          <cell r="U8" t="str">
            <v>Sq. Feet</v>
          </cell>
          <cell r="V8" t="str">
            <v>Value-Add</v>
          </cell>
          <cell r="W8" t="str">
            <v>Industrial / Logistics</v>
          </cell>
          <cell r="X8" t="str">
            <v>Common Equity</v>
          </cell>
          <cell r="Y8">
            <v>743287.43049287982</v>
          </cell>
          <cell r="Z8">
            <v>787105.06653300009</v>
          </cell>
          <cell r="AA8">
            <v>8896436.0665329993</v>
          </cell>
          <cell r="AB8">
            <v>8.3548898113145656E-2</v>
          </cell>
          <cell r="AC8">
            <v>594101</v>
          </cell>
          <cell r="AD8">
            <v>7.3345802469135801E-2</v>
          </cell>
          <cell r="AE8">
            <v>5.7500000000000002E-2</v>
          </cell>
          <cell r="AF8">
            <v>0.17</v>
          </cell>
          <cell r="AG8">
            <v>1.94</v>
          </cell>
          <cell r="AH8">
            <v>0.12670000000000001</v>
          </cell>
          <cell r="AI8">
            <v>1.2</v>
          </cell>
          <cell r="AJ8">
            <v>0.12899960729807991</v>
          </cell>
          <cell r="AK8">
            <v>0.20594866571861092</v>
          </cell>
          <cell r="AL8">
            <v>2.4326865148985664</v>
          </cell>
          <cell r="AM8">
            <v>9.6358210415217194E-2</v>
          </cell>
          <cell r="AN8">
            <v>0.16508473827737324</v>
          </cell>
          <cell r="AO8">
            <v>2.0862904734912116</v>
          </cell>
          <cell r="AP8" t="str">
            <v>Market deal</v>
          </cell>
          <cell r="AQ8" t="str">
            <v>Rent Optimization</v>
          </cell>
          <cell r="AR8" t="str">
            <v>Leasing Strategy</v>
          </cell>
          <cell r="AS8">
            <v>45278</v>
          </cell>
          <cell r="AT8">
            <v>8100000</v>
          </cell>
          <cell r="AU8">
            <v>8109331</v>
          </cell>
          <cell r="AV8">
            <v>-70329.3027</v>
          </cell>
          <cell r="AW8">
            <v>1572.8051333333715</v>
          </cell>
          <cell r="AX8">
            <v>-8.6826299629629636E-3</v>
          </cell>
          <cell r="AY8">
            <v>1.9417347325103351E-4</v>
          </cell>
          <cell r="AZ8">
            <v>0</v>
          </cell>
          <cell r="BA8">
            <v>0</v>
          </cell>
          <cell r="BB8">
            <v>3.5616438354926103E-2</v>
          </cell>
          <cell r="BC8">
            <v>1</v>
          </cell>
          <cell r="BD8">
            <v>0</v>
          </cell>
          <cell r="BE8">
            <v>0</v>
          </cell>
          <cell r="BF8">
            <v>0</v>
          </cell>
          <cell r="BG8">
            <v>15170.929999999998</v>
          </cell>
          <cell r="BH8">
            <v>15170.929999999998</v>
          </cell>
          <cell r="BI8">
            <v>399121.98857142858</v>
          </cell>
          <cell r="BJ8">
            <v>8109331</v>
          </cell>
        </row>
        <row r="9">
          <cell r="B9" t="str">
            <v>3nc00006</v>
          </cell>
          <cell r="C9" t="str">
            <v>464 East Plaza Drive</v>
          </cell>
          <cell r="D9" t="str">
            <v>Unrealized</v>
          </cell>
          <cell r="E9" t="str">
            <v>Industrial Value Fund III</v>
          </cell>
          <cell r="F9" t="str">
            <v>USD</v>
          </cell>
          <cell r="G9" t="str">
            <v>Last Mile</v>
          </cell>
          <cell r="H9" t="str">
            <v>Charlotte, NC</v>
          </cell>
          <cell r="I9" t="str">
            <v>Mooresville</v>
          </cell>
          <cell r="J9" t="str">
            <v>NC</v>
          </cell>
          <cell r="K9">
            <v>28115</v>
          </cell>
          <cell r="L9" t="str">
            <v>United States</v>
          </cell>
          <cell r="M9" t="str">
            <v>Charlotte-Concord-Gastonia, NC-SC</v>
          </cell>
          <cell r="N9">
            <v>224293</v>
          </cell>
          <cell r="O9">
            <v>4</v>
          </cell>
          <cell r="P9" t="str">
            <v>Single Asset</v>
          </cell>
          <cell r="Q9" t="str">
            <v>Property - Private Equity</v>
          </cell>
          <cell r="R9" t="str">
            <v>Industrial</v>
          </cell>
          <cell r="S9" t="str">
            <v>Warehouse</v>
          </cell>
          <cell r="T9" t="str">
            <v>Multiple</v>
          </cell>
          <cell r="U9" t="str">
            <v>Sq. Feet</v>
          </cell>
          <cell r="V9" t="str">
            <v>Value-Add</v>
          </cell>
          <cell r="W9" t="str">
            <v>Industrial / Logistics</v>
          </cell>
          <cell r="X9" t="str">
            <v>Common Equity</v>
          </cell>
          <cell r="Y9">
            <v>1669444.8099482402</v>
          </cell>
          <cell r="Z9">
            <v>4369630.0836109994</v>
          </cell>
          <cell r="AA9">
            <v>17131575.083611</v>
          </cell>
          <cell r="AB9">
            <v>9.7448413342058796E-2</v>
          </cell>
          <cell r="AC9">
            <v>1180289.25</v>
          </cell>
          <cell r="AD9">
            <v>9.545404367165386E-2</v>
          </cell>
          <cell r="AE9">
            <v>6.5000000000000002E-2</v>
          </cell>
          <cell r="AF9">
            <v>0.1673</v>
          </cell>
          <cell r="AG9">
            <v>3.04</v>
          </cell>
          <cell r="AH9">
            <v>0.13089999999999999</v>
          </cell>
          <cell r="AI9">
            <v>1.2</v>
          </cell>
          <cell r="AJ9">
            <v>0.14911435578982557</v>
          </cell>
          <cell r="AK9">
            <v>0.24852016744535632</v>
          </cell>
          <cell r="AL9">
            <v>2.489921168089352</v>
          </cell>
          <cell r="AM9">
            <v>0.11332850257905847</v>
          </cell>
          <cell r="AN9">
            <v>0.20236592777850593</v>
          </cell>
          <cell r="AO9">
            <v>2.1387425617782392</v>
          </cell>
          <cell r="AP9" t="str">
            <v>Unsolicited \ Off-market</v>
          </cell>
          <cell r="AQ9" t="str">
            <v>Rent Optimization</v>
          </cell>
          <cell r="AR9" t="str">
            <v>Leasing Strategy</v>
          </cell>
          <cell r="AS9">
            <v>45272</v>
          </cell>
          <cell r="AT9">
            <v>12365000</v>
          </cell>
          <cell r="AU9">
            <v>12761945</v>
          </cell>
          <cell r="AV9">
            <v>955741.39415999979</v>
          </cell>
          <cell r="AW9">
            <v>863528.25502899964</v>
          </cell>
          <cell r="AX9">
            <v>7.7294087679741191E-2</v>
          </cell>
          <cell r="AY9">
            <v>6.9836494543388569E-2</v>
          </cell>
          <cell r="AZ9">
            <v>3.8589946186461401</v>
          </cell>
          <cell r="BA9">
            <v>1</v>
          </cell>
          <cell r="BB9">
            <v>4.0547945205467801</v>
          </cell>
          <cell r="BC9">
            <v>1</v>
          </cell>
          <cell r="BD9">
            <v>0</v>
          </cell>
          <cell r="BE9">
            <v>0</v>
          </cell>
          <cell r="BF9">
            <v>0</v>
          </cell>
          <cell r="BG9">
            <v>85257.54</v>
          </cell>
          <cell r="BH9">
            <v>85257.54</v>
          </cell>
          <cell r="BI9">
            <v>865545.48</v>
          </cell>
          <cell r="BJ9">
            <v>12761945</v>
          </cell>
        </row>
        <row r="10">
          <cell r="B10" t="str">
            <v>3oh00004</v>
          </cell>
          <cell r="C10" t="str">
            <v>4000-4024 Precision Dr</v>
          </cell>
          <cell r="D10" t="str">
            <v>Unrealized</v>
          </cell>
          <cell r="E10" t="str">
            <v>Industrial Value Fund III</v>
          </cell>
          <cell r="F10" t="str">
            <v>USD</v>
          </cell>
          <cell r="G10" t="str">
            <v>Last Mile</v>
          </cell>
          <cell r="H10" t="str">
            <v>Cincinnati</v>
          </cell>
          <cell r="I10" t="str">
            <v>Cincinnati</v>
          </cell>
          <cell r="J10" t="str">
            <v>OH</v>
          </cell>
          <cell r="K10">
            <v>45245</v>
          </cell>
          <cell r="L10" t="str">
            <v>United States</v>
          </cell>
          <cell r="M10" t="str">
            <v>Cincinnati, OH-KY-IN</v>
          </cell>
          <cell r="N10">
            <v>235900</v>
          </cell>
          <cell r="O10">
            <v>1</v>
          </cell>
          <cell r="P10" t="str">
            <v>Single Asset</v>
          </cell>
          <cell r="Q10" t="str">
            <v>Property - Private Equity</v>
          </cell>
          <cell r="R10" t="str">
            <v>Industrial</v>
          </cell>
          <cell r="S10" t="str">
            <v>Warehouse</v>
          </cell>
          <cell r="T10">
            <v>1985</v>
          </cell>
          <cell r="U10" t="str">
            <v>Sq. Feet</v>
          </cell>
          <cell r="V10" t="str">
            <v>Value-Add</v>
          </cell>
          <cell r="W10" t="str">
            <v>Industrial / Logistics</v>
          </cell>
          <cell r="X10" t="str">
            <v>Common Equity</v>
          </cell>
          <cell r="Y10">
            <v>1045509.3763618399</v>
          </cell>
          <cell r="Z10">
            <v>1247775.8529459999</v>
          </cell>
          <cell r="AA10">
            <v>11557794.852946</v>
          </cell>
          <cell r="AB10">
            <v>9.0459243278171439E-2</v>
          </cell>
          <cell r="AC10">
            <v>1065177</v>
          </cell>
          <cell r="AD10">
            <v>0.10598776119402985</v>
          </cell>
          <cell r="AE10">
            <v>5.79E-2</v>
          </cell>
          <cell r="AF10">
            <v>0.2243</v>
          </cell>
          <cell r="AG10">
            <v>2.25</v>
          </cell>
          <cell r="AH10">
            <v>0.18</v>
          </cell>
          <cell r="AI10">
            <v>1.9</v>
          </cell>
          <cell r="AJ10">
            <v>0.16116006064245947</v>
          </cell>
          <cell r="AK10">
            <v>0.26876220744544543</v>
          </cell>
          <cell r="AL10">
            <v>2.8908371259205414</v>
          </cell>
          <cell r="AM10">
            <v>0.12397260402474553</v>
          </cell>
          <cell r="AN10">
            <v>0.22124261252527444</v>
          </cell>
          <cell r="AO10">
            <v>2.4525655119884866</v>
          </cell>
          <cell r="AP10" t="str">
            <v>Market deal</v>
          </cell>
          <cell r="AQ10" t="str">
            <v>Lease-up</v>
          </cell>
          <cell r="AR10" t="str">
            <v>Leasing Strategy</v>
          </cell>
          <cell r="AS10">
            <v>45230</v>
          </cell>
          <cell r="AT10">
            <v>10050000</v>
          </cell>
          <cell r="AU10">
            <v>10310019</v>
          </cell>
          <cell r="AV10">
            <v>376355.88770400005</v>
          </cell>
          <cell r="AW10">
            <v>442253.79957800067</v>
          </cell>
          <cell r="AX10">
            <v>3.7448347035223886E-2</v>
          </cell>
          <cell r="AY10">
            <v>4.4005353191840867E-2</v>
          </cell>
          <cell r="AZ10">
            <v>3.1224249258160199</v>
          </cell>
          <cell r="BA10">
            <v>1</v>
          </cell>
          <cell r="BB10">
            <v>1.2981377063628601</v>
          </cell>
          <cell r="BC10">
            <v>1</v>
          </cell>
          <cell r="BD10">
            <v>0</v>
          </cell>
          <cell r="BE10">
            <v>0</v>
          </cell>
          <cell r="BF10">
            <v>0</v>
          </cell>
          <cell r="BG10">
            <v>86538.489999999991</v>
          </cell>
          <cell r="BH10">
            <v>86538.489999999991</v>
          </cell>
          <cell r="BI10">
            <v>750874.65951612918</v>
          </cell>
          <cell r="BJ10">
            <v>10310019</v>
          </cell>
        </row>
        <row r="11">
          <cell r="B11" t="str">
            <v>3md00005</v>
          </cell>
          <cell r="C11" t="str">
            <v>221 Cockeysville Road</v>
          </cell>
          <cell r="D11" t="str">
            <v>Unrealized</v>
          </cell>
          <cell r="E11" t="str">
            <v>Industrial Value Fund III</v>
          </cell>
          <cell r="F11" t="str">
            <v>USD</v>
          </cell>
          <cell r="G11" t="str">
            <v>Last Mile</v>
          </cell>
          <cell r="H11" t="str">
            <v>Baltimore</v>
          </cell>
          <cell r="I11" t="str">
            <v>Cockeysville</v>
          </cell>
          <cell r="J11" t="str">
            <v>MD</v>
          </cell>
          <cell r="K11">
            <v>21030</v>
          </cell>
          <cell r="L11" t="str">
            <v>United States</v>
          </cell>
          <cell r="M11" t="str">
            <v>Baltimore-Columbia-Towson, MD</v>
          </cell>
          <cell r="N11">
            <v>32699</v>
          </cell>
          <cell r="O11">
            <v>1</v>
          </cell>
          <cell r="P11" t="str">
            <v>Single Asset</v>
          </cell>
          <cell r="Q11" t="str">
            <v>Property - Private Equity</v>
          </cell>
          <cell r="R11" t="str">
            <v>Industrial</v>
          </cell>
          <cell r="S11" t="str">
            <v>Warehouse</v>
          </cell>
          <cell r="T11">
            <v>1973</v>
          </cell>
          <cell r="U11" t="str">
            <v>Sq. Feet</v>
          </cell>
          <cell r="V11" t="str">
            <v>Value-Add</v>
          </cell>
          <cell r="W11" t="str">
            <v>Industrial / Logistics</v>
          </cell>
          <cell r="X11" t="str">
            <v>Common Equity</v>
          </cell>
          <cell r="Y11">
            <v>388206.45567392005</v>
          </cell>
          <cell r="Z11">
            <v>677108.33541900001</v>
          </cell>
          <cell r="AA11">
            <v>4519329.3354190001</v>
          </cell>
          <cell r="AB11">
            <v>8.5899129464068649E-2</v>
          </cell>
          <cell r="AC11">
            <v>376882.2</v>
          </cell>
          <cell r="AD11">
            <v>0.10050192000000001</v>
          </cell>
          <cell r="AE11">
            <v>6.5000000000000002E-2</v>
          </cell>
          <cell r="AF11">
            <v>0.23330000000000001</v>
          </cell>
          <cell r="AG11">
            <v>2.98</v>
          </cell>
          <cell r="AH11">
            <v>0.18160000000000001</v>
          </cell>
          <cell r="AI11">
            <v>1.62</v>
          </cell>
          <cell r="AJ11">
            <v>0.11836889004082418</v>
          </cell>
          <cell r="AK11">
            <v>0.18496832057624313</v>
          </cell>
          <cell r="AL11">
            <v>2.0765978109346781</v>
          </cell>
          <cell r="AM11">
            <v>8.6158370538919504E-2</v>
          </cell>
          <cell r="AN11">
            <v>0.14519142327293655</v>
          </cell>
          <cell r="AO11">
            <v>1.8047693361236705</v>
          </cell>
          <cell r="AP11" t="str">
            <v>Market deal</v>
          </cell>
          <cell r="AQ11" t="str">
            <v>Rent Optimization</v>
          </cell>
          <cell r="AR11" t="str">
            <v>Leasing Strategy</v>
          </cell>
          <cell r="AS11">
            <v>45212</v>
          </cell>
          <cell r="AT11">
            <v>3750000</v>
          </cell>
          <cell r="AU11">
            <v>3842221</v>
          </cell>
          <cell r="AV11">
            <v>172495.03795200001</v>
          </cell>
          <cell r="AW11">
            <v>188925.91540299996</v>
          </cell>
          <cell r="AX11">
            <v>4.5998676787200002E-2</v>
          </cell>
          <cell r="AY11">
            <v>5.0380244107466658E-2</v>
          </cell>
          <cell r="AZ11">
            <v>7.1572427291354401</v>
          </cell>
          <cell r="BA11">
            <v>0.91822379889293204</v>
          </cell>
          <cell r="BB11">
            <v>2.5402917520413402</v>
          </cell>
          <cell r="BC11">
            <v>1</v>
          </cell>
          <cell r="BD11">
            <v>0</v>
          </cell>
          <cell r="BE11">
            <v>0</v>
          </cell>
          <cell r="BF11">
            <v>0</v>
          </cell>
          <cell r="BG11">
            <v>40531.740000000005</v>
          </cell>
          <cell r="BH11">
            <v>40531.740000000005</v>
          </cell>
          <cell r="BI11">
            <v>189460.45750000002</v>
          </cell>
          <cell r="BJ11">
            <v>3842221</v>
          </cell>
        </row>
        <row r="12">
          <cell r="B12" t="str">
            <v>3nj00010</v>
          </cell>
          <cell r="C12" t="str">
            <v>1 Pearl Court</v>
          </cell>
          <cell r="D12" t="str">
            <v>Unrealized</v>
          </cell>
          <cell r="E12" t="str">
            <v>Industrial Value Fund III</v>
          </cell>
          <cell r="F12" t="str">
            <v>USD</v>
          </cell>
          <cell r="G12" t="str">
            <v>Last Mile</v>
          </cell>
          <cell r="H12" t="str">
            <v>Northern NJ/New York</v>
          </cell>
          <cell r="I12" t="str">
            <v>Allendale</v>
          </cell>
          <cell r="J12" t="str">
            <v>NJ</v>
          </cell>
          <cell r="K12" t="str">
            <v>07401</v>
          </cell>
          <cell r="L12" t="str">
            <v>United States</v>
          </cell>
          <cell r="M12" t="str">
            <v>New York-Newark-Jersey City, NY-NJ-PA</v>
          </cell>
          <cell r="N12">
            <v>47579</v>
          </cell>
          <cell r="O12">
            <v>1</v>
          </cell>
          <cell r="P12" t="str">
            <v>Portfolio</v>
          </cell>
          <cell r="Q12" t="str">
            <v>Property - Private Equity</v>
          </cell>
          <cell r="R12" t="str">
            <v>Industrial</v>
          </cell>
          <cell r="S12" t="str">
            <v>Warehouse</v>
          </cell>
          <cell r="T12">
            <v>1978</v>
          </cell>
          <cell r="U12" t="str">
            <v>Sq. Feet</v>
          </cell>
          <cell r="V12" t="str">
            <v>Value-Add</v>
          </cell>
          <cell r="W12" t="str">
            <v>Industrial / Logistics</v>
          </cell>
          <cell r="X12" t="str">
            <v>Common Equity</v>
          </cell>
          <cell r="Y12">
            <v>898240.36674736021</v>
          </cell>
          <cell r="Z12">
            <v>670954.99485699995</v>
          </cell>
          <cell r="AA12">
            <v>10889233.994857</v>
          </cell>
          <cell r="AB12">
            <v>8.248884789982476E-2</v>
          </cell>
          <cell r="AC12">
            <v>689895.5</v>
          </cell>
          <cell r="AD12">
            <v>6.7885100151593658E-2</v>
          </cell>
          <cell r="AE12">
            <v>6.25E-2</v>
          </cell>
          <cell r="AF12">
            <v>0.18509999999999999</v>
          </cell>
          <cell r="AG12">
            <v>2.6</v>
          </cell>
          <cell r="AH12">
            <v>0.1487</v>
          </cell>
          <cell r="AI12">
            <v>1.69</v>
          </cell>
          <cell r="AJ12">
            <v>0.12509709453153595</v>
          </cell>
          <cell r="AK12">
            <v>0.20319369327394288</v>
          </cell>
          <cell r="AL12">
            <v>2.2222187790829815</v>
          </cell>
          <cell r="AM12">
            <v>9.182689998169713E-2</v>
          </cell>
          <cell r="AN12">
            <v>0.16112007614983903</v>
          </cell>
          <cell r="AO12">
            <v>1.9172865042227027</v>
          </cell>
          <cell r="AP12" t="str">
            <v>Market deal</v>
          </cell>
          <cell r="AQ12" t="str">
            <v>Renewal / Re-tenant</v>
          </cell>
          <cell r="AR12" t="str">
            <v>Stabilised</v>
          </cell>
          <cell r="AS12">
            <v>45209</v>
          </cell>
          <cell r="AT12">
            <v>10162694</v>
          </cell>
          <cell r="AU12">
            <v>10218279</v>
          </cell>
          <cell r="AV12">
            <v>671821.45306800003</v>
          </cell>
          <cell r="AW12">
            <v>683854.49278699944</v>
          </cell>
          <cell r="AX12">
            <v>6.6106630099066255E-2</v>
          </cell>
          <cell r="AY12">
            <v>6.7290670444962675E-2</v>
          </cell>
          <cell r="AZ12">
            <v>13.92500388827</v>
          </cell>
          <cell r="BA12">
            <v>1</v>
          </cell>
          <cell r="BB12">
            <v>5.5632304110216602</v>
          </cell>
          <cell r="BC12">
            <v>1</v>
          </cell>
          <cell r="BD12">
            <v>0</v>
          </cell>
          <cell r="BE12">
            <v>0</v>
          </cell>
          <cell r="BF12">
            <v>0</v>
          </cell>
          <cell r="BG12">
            <v>171030.05</v>
          </cell>
          <cell r="BH12">
            <v>171030.05</v>
          </cell>
          <cell r="BI12">
            <v>683579.5178313253</v>
          </cell>
          <cell r="BJ12">
            <v>10218279</v>
          </cell>
        </row>
        <row r="13">
          <cell r="B13" t="str">
            <v>3nj00011</v>
          </cell>
          <cell r="C13" t="str">
            <v>2 Pearl Court</v>
          </cell>
          <cell r="D13" t="str">
            <v>Unrealized</v>
          </cell>
          <cell r="E13" t="str">
            <v>Industrial Value Fund III</v>
          </cell>
          <cell r="F13" t="str">
            <v>USD</v>
          </cell>
          <cell r="G13" t="str">
            <v>Last Mile</v>
          </cell>
          <cell r="H13" t="str">
            <v>Northern NJ/New York</v>
          </cell>
          <cell r="I13" t="str">
            <v>Allendale</v>
          </cell>
          <cell r="J13" t="str">
            <v>NJ</v>
          </cell>
          <cell r="K13" t="str">
            <v>07401</v>
          </cell>
          <cell r="L13" t="str">
            <v>United States</v>
          </cell>
          <cell r="M13" t="str">
            <v>New York-Newark-Jersey City, NY-NJ-PA</v>
          </cell>
          <cell r="N13">
            <v>39170</v>
          </cell>
          <cell r="O13">
            <v>1</v>
          </cell>
          <cell r="P13" t="str">
            <v>Portfolio</v>
          </cell>
          <cell r="Q13" t="str">
            <v>Property - Private Equity</v>
          </cell>
          <cell r="R13" t="str">
            <v>Industrial</v>
          </cell>
          <cell r="S13" t="str">
            <v>Warehouse</v>
          </cell>
          <cell r="T13">
            <v>1979</v>
          </cell>
          <cell r="U13" t="str">
            <v>Sq. Feet</v>
          </cell>
          <cell r="V13" t="str">
            <v>Value-Add</v>
          </cell>
          <cell r="W13" t="str">
            <v>Industrial / Logistics</v>
          </cell>
          <cell r="X13" t="str">
            <v>Common Equity</v>
          </cell>
          <cell r="Y13">
            <v>827593.00397175993</v>
          </cell>
          <cell r="Z13">
            <v>1469564.8896379999</v>
          </cell>
          <cell r="AA13">
            <v>10029984.889637999</v>
          </cell>
          <cell r="AB13">
            <v>8.2511889407405614E-2</v>
          </cell>
          <cell r="AC13">
            <v>607135</v>
          </cell>
          <cell r="AD13">
            <v>7.1436059705384122E-2</v>
          </cell>
          <cell r="AE13">
            <v>6.25E-2</v>
          </cell>
          <cell r="AF13">
            <v>0.18509999999999999</v>
          </cell>
          <cell r="AG13">
            <v>2.6</v>
          </cell>
          <cell r="AH13">
            <v>0.1487</v>
          </cell>
          <cell r="AI13">
            <v>1.69</v>
          </cell>
          <cell r="AJ13">
            <v>0.12672039115890588</v>
          </cell>
          <cell r="AK13">
            <v>0.20657239875772171</v>
          </cell>
          <cell r="AL13">
            <v>2.1790737478899467</v>
          </cell>
          <cell r="AM13">
            <v>9.3048909184735518E-2</v>
          </cell>
          <cell r="AN13">
            <v>0.16382829979842928</v>
          </cell>
          <cell r="AO13">
            <v>1.8852479260791108</v>
          </cell>
          <cell r="AP13" t="str">
            <v>Market deal</v>
          </cell>
          <cell r="AQ13" t="str">
            <v>Renewal / Re-tenant</v>
          </cell>
          <cell r="AR13" t="str">
            <v>Leasing Strategy</v>
          </cell>
          <cell r="AS13">
            <v>45209</v>
          </cell>
          <cell r="AT13">
            <v>8498999</v>
          </cell>
          <cell r="AU13">
            <v>8560420</v>
          </cell>
          <cell r="AV13">
            <v>597727.6096679999</v>
          </cell>
          <cell r="AW13">
            <v>609457.03423400095</v>
          </cell>
          <cell r="AX13">
            <v>7.0329177549967925E-2</v>
          </cell>
          <cell r="AY13">
            <v>7.1709272378311956E-2</v>
          </cell>
          <cell r="AZ13">
            <v>15</v>
          </cell>
          <cell r="BA13">
            <v>1</v>
          </cell>
          <cell r="BB13">
            <v>3.2273972602757199</v>
          </cell>
          <cell r="BC13">
            <v>1</v>
          </cell>
          <cell r="BD13">
            <v>0</v>
          </cell>
          <cell r="BE13">
            <v>0</v>
          </cell>
          <cell r="BF13">
            <v>0</v>
          </cell>
          <cell r="BG13">
            <v>155788.44</v>
          </cell>
          <cell r="BH13">
            <v>155788.44</v>
          </cell>
          <cell r="BI13">
            <v>631598.84722891566</v>
          </cell>
          <cell r="BJ13">
            <v>8560420</v>
          </cell>
        </row>
        <row r="14">
          <cell r="B14" t="str">
            <v>3nj00012</v>
          </cell>
          <cell r="C14" t="str">
            <v>3 Pearl Court</v>
          </cell>
          <cell r="D14" t="str">
            <v>Unrealized</v>
          </cell>
          <cell r="E14" t="str">
            <v>Industrial Value Fund III</v>
          </cell>
          <cell r="F14" t="str">
            <v>USD</v>
          </cell>
          <cell r="G14" t="str">
            <v>Last Mile</v>
          </cell>
          <cell r="H14" t="str">
            <v>Northern NJ/New York</v>
          </cell>
          <cell r="I14" t="str">
            <v>Allendale</v>
          </cell>
          <cell r="J14" t="str">
            <v>NJ</v>
          </cell>
          <cell r="K14" t="str">
            <v>07401</v>
          </cell>
          <cell r="L14" t="str">
            <v>United States</v>
          </cell>
          <cell r="M14" t="str">
            <v>New York-Newark-Jersey City, NY-NJ-PA</v>
          </cell>
          <cell r="N14">
            <v>41500</v>
          </cell>
          <cell r="O14">
            <v>1</v>
          </cell>
          <cell r="P14" t="str">
            <v>Portfolio</v>
          </cell>
          <cell r="Q14" t="str">
            <v>Property - Private Equity</v>
          </cell>
          <cell r="R14" t="str">
            <v>Industrial</v>
          </cell>
          <cell r="S14" t="str">
            <v>Warehouse</v>
          </cell>
          <cell r="T14">
            <v>1978</v>
          </cell>
          <cell r="U14" t="str">
            <v>Sq. Feet</v>
          </cell>
          <cell r="V14" t="str">
            <v>Value-Add</v>
          </cell>
          <cell r="W14" t="str">
            <v>Industrial / Logistics</v>
          </cell>
          <cell r="X14" t="str">
            <v>Common Equity</v>
          </cell>
          <cell r="Y14">
            <v>847669.07168319984</v>
          </cell>
          <cell r="Z14">
            <v>944547.55830299982</v>
          </cell>
          <cell r="AA14">
            <v>10114139.558303</v>
          </cell>
          <cell r="AB14">
            <v>8.3810300104799604E-2</v>
          </cell>
          <cell r="AC14">
            <v>664000</v>
          </cell>
          <cell r="AD14">
            <v>7.283510538000236E-2</v>
          </cell>
          <cell r="AE14">
            <v>6.25E-2</v>
          </cell>
          <cell r="AF14">
            <v>0.18509999999999999</v>
          </cell>
          <cell r="AG14">
            <v>2.6</v>
          </cell>
          <cell r="AH14">
            <v>0.1487</v>
          </cell>
          <cell r="AI14">
            <v>1.69</v>
          </cell>
          <cell r="AJ14">
            <v>0.12247859240631809</v>
          </cell>
          <cell r="AK14">
            <v>0.19480810789957559</v>
          </cell>
          <cell r="AL14">
            <v>2.2131051461556468</v>
          </cell>
          <cell r="AM14">
            <v>8.9722485908013239E-2</v>
          </cell>
          <cell r="AN14">
            <v>0.15397106758157619</v>
          </cell>
          <cell r="AO14">
            <v>1.909857566611078</v>
          </cell>
          <cell r="AP14" t="str">
            <v>Market deal</v>
          </cell>
          <cell r="AQ14" t="str">
            <v>Rent Optimization</v>
          </cell>
          <cell r="AR14" t="str">
            <v>Leasing Strategy</v>
          </cell>
          <cell r="AS14">
            <v>45209</v>
          </cell>
          <cell r="AT14">
            <v>9116483</v>
          </cell>
          <cell r="AU14">
            <v>9169592</v>
          </cell>
          <cell r="AV14">
            <v>389718.1586519999</v>
          </cell>
          <cell r="AW14">
            <v>432199.36932699877</v>
          </cell>
          <cell r="AX14">
            <v>4.2748739689636883E-2</v>
          </cell>
          <cell r="AY14">
            <v>4.7408564171841132E-2</v>
          </cell>
          <cell r="AZ14">
            <v>11.7329204819277</v>
          </cell>
          <cell r="BA14">
            <v>1</v>
          </cell>
          <cell r="BB14">
            <v>2.2046542333975898</v>
          </cell>
          <cell r="BC14">
            <v>1</v>
          </cell>
          <cell r="BD14">
            <v>0</v>
          </cell>
          <cell r="BE14">
            <v>0</v>
          </cell>
          <cell r="BF14">
            <v>0</v>
          </cell>
          <cell r="BG14">
            <v>128047.61000000002</v>
          </cell>
          <cell r="BH14">
            <v>128047.61000000002</v>
          </cell>
          <cell r="BI14">
            <v>525767.8259036144</v>
          </cell>
          <cell r="BJ14">
            <v>9213159.8800000008</v>
          </cell>
        </row>
        <row r="15">
          <cell r="B15" t="str">
            <v>3nj00013</v>
          </cell>
          <cell r="C15" t="str">
            <v>5 Pearl Court</v>
          </cell>
          <cell r="D15" t="str">
            <v>Unrealized</v>
          </cell>
          <cell r="E15" t="str">
            <v>Industrial Value Fund III</v>
          </cell>
          <cell r="F15" t="str">
            <v>USD</v>
          </cell>
          <cell r="G15" t="str">
            <v>Last Mile</v>
          </cell>
          <cell r="H15" t="str">
            <v>Northern NJ/New York</v>
          </cell>
          <cell r="I15" t="str">
            <v>Allendale</v>
          </cell>
          <cell r="J15" t="str">
            <v>NJ</v>
          </cell>
          <cell r="K15" t="str">
            <v>07401</v>
          </cell>
          <cell r="L15" t="str">
            <v>United States</v>
          </cell>
          <cell r="M15" t="str">
            <v>New York-Newark-Jersey City, NY-NJ-PA</v>
          </cell>
          <cell r="N15">
            <v>37405</v>
          </cell>
          <cell r="O15">
            <v>1</v>
          </cell>
          <cell r="P15" t="str">
            <v>Portfolio</v>
          </cell>
          <cell r="Q15" t="str">
            <v>Property - Private Equity</v>
          </cell>
          <cell r="R15" t="str">
            <v>Industrial</v>
          </cell>
          <cell r="S15" t="str">
            <v>Warehouse</v>
          </cell>
          <cell r="T15">
            <v>1977</v>
          </cell>
          <cell r="U15" t="str">
            <v>Sq. Feet</v>
          </cell>
          <cell r="V15" t="str">
            <v>Value-Add</v>
          </cell>
          <cell r="W15" t="str">
            <v>Industrial / Logistics</v>
          </cell>
          <cell r="X15" t="str">
            <v>Common Equity</v>
          </cell>
          <cell r="Y15">
            <v>623545.63523511996</v>
          </cell>
          <cell r="Z15">
            <v>465814.97568500001</v>
          </cell>
          <cell r="AA15">
            <v>8452543.9756850004</v>
          </cell>
          <cell r="AB15">
            <v>7.3770173456516958E-2</v>
          </cell>
          <cell r="AC15">
            <v>597840</v>
          </cell>
          <cell r="AD15">
            <v>7.5312865091156742E-2</v>
          </cell>
          <cell r="AE15">
            <v>6.25E-2</v>
          </cell>
          <cell r="AF15">
            <v>0.18509999999999999</v>
          </cell>
          <cell r="AG15">
            <v>2.6</v>
          </cell>
          <cell r="AH15">
            <v>0.1487</v>
          </cell>
          <cell r="AI15">
            <v>1.69</v>
          </cell>
          <cell r="AJ15">
            <v>9.8492688355925617E-2</v>
          </cell>
          <cell r="AK15">
            <v>0.14828134965794049</v>
          </cell>
          <cell r="AL15">
            <v>1.8157071553528084</v>
          </cell>
          <cell r="AM15">
            <v>6.8671442138246164E-2</v>
          </cell>
          <cell r="AN15">
            <v>0.11211025078719539</v>
          </cell>
          <cell r="AO15">
            <v>1.5915364954639424</v>
          </cell>
          <cell r="AP15" t="str">
            <v>Market deal</v>
          </cell>
          <cell r="AQ15" t="str">
            <v>Rent Optimization</v>
          </cell>
          <cell r="AR15" t="str">
            <v>Stabilised</v>
          </cell>
          <cell r="AS15">
            <v>45209</v>
          </cell>
          <cell r="AT15">
            <v>7938086</v>
          </cell>
          <cell r="AU15">
            <v>7986729</v>
          </cell>
          <cell r="AV15">
            <v>515567.56234800001</v>
          </cell>
          <cell r="AW15">
            <v>515715.1983019996</v>
          </cell>
          <cell r="AX15">
            <v>6.494859873626968E-2</v>
          </cell>
          <cell r="AY15">
            <v>6.496719716843577E-2</v>
          </cell>
          <cell r="AZ15">
            <v>13.633790135008599</v>
          </cell>
          <cell r="BA15">
            <v>1</v>
          </cell>
          <cell r="BB15">
            <v>6.4715049815799999</v>
          </cell>
          <cell r="BC15">
            <v>1</v>
          </cell>
          <cell r="BD15">
            <v>0</v>
          </cell>
          <cell r="BE15">
            <v>0</v>
          </cell>
          <cell r="BF15">
            <v>0</v>
          </cell>
          <cell r="BG15">
            <v>130833.47999999998</v>
          </cell>
          <cell r="BH15">
            <v>130833.47999999998</v>
          </cell>
          <cell r="BI15">
            <v>553578.10903614468</v>
          </cell>
          <cell r="BJ15">
            <v>7986729</v>
          </cell>
        </row>
        <row r="16">
          <cell r="B16" t="str">
            <v>3nj00014</v>
          </cell>
          <cell r="C16" t="str">
            <v>6 Pearl Court</v>
          </cell>
          <cell r="D16" t="str">
            <v>Unrealized</v>
          </cell>
          <cell r="E16" t="str">
            <v>Industrial Value Fund III</v>
          </cell>
          <cell r="F16" t="str">
            <v>USD</v>
          </cell>
          <cell r="G16" t="str">
            <v>Last Mile</v>
          </cell>
          <cell r="H16" t="str">
            <v>Northern NJ/New York</v>
          </cell>
          <cell r="I16" t="str">
            <v>Allendale</v>
          </cell>
          <cell r="J16" t="str">
            <v>NJ</v>
          </cell>
          <cell r="K16" t="str">
            <v>07401</v>
          </cell>
          <cell r="L16" t="str">
            <v>United States</v>
          </cell>
          <cell r="M16" t="str">
            <v>New York-Newark-Jersey City, NY-NJ-PA</v>
          </cell>
          <cell r="N16">
            <v>99700</v>
          </cell>
          <cell r="O16">
            <v>1</v>
          </cell>
          <cell r="P16" t="str">
            <v>Portfolio</v>
          </cell>
          <cell r="Q16" t="str">
            <v>Property - Private Equity</v>
          </cell>
          <cell r="R16" t="str">
            <v>Industrial</v>
          </cell>
          <cell r="S16" t="str">
            <v>Warehouse</v>
          </cell>
          <cell r="T16">
            <v>1980</v>
          </cell>
          <cell r="U16" t="str">
            <v>Sq. Feet</v>
          </cell>
          <cell r="V16" t="str">
            <v>Value-Add</v>
          </cell>
          <cell r="W16" t="str">
            <v>Industrial / Logistics</v>
          </cell>
          <cell r="X16" t="str">
            <v>Common Equity</v>
          </cell>
          <cell r="Y16">
            <v>1820104.2474825603</v>
          </cell>
          <cell r="Z16">
            <v>2558123.0520310001</v>
          </cell>
          <cell r="AA16">
            <v>24349053.052030999</v>
          </cell>
          <cell r="AB16">
            <v>7.4750514674768523E-2</v>
          </cell>
          <cell r="AC16">
            <v>1595200</v>
          </cell>
          <cell r="AD16">
            <v>7.3516182408617251E-2</v>
          </cell>
          <cell r="AE16">
            <v>6.25E-2</v>
          </cell>
          <cell r="AF16">
            <v>0.18509999999999999</v>
          </cell>
          <cell r="AG16">
            <v>2.6</v>
          </cell>
          <cell r="AH16">
            <v>0.1487</v>
          </cell>
          <cell r="AI16">
            <v>1.69</v>
          </cell>
          <cell r="AJ16">
            <v>9.7850478538662689E-2</v>
          </cell>
          <cell r="AK16">
            <v>0.14547776638623011</v>
          </cell>
          <cell r="AL16">
            <v>1.8060248231323111</v>
          </cell>
          <cell r="AM16">
            <v>6.819231037411444E-2</v>
          </cell>
          <cell r="AN16">
            <v>0.109866715982184</v>
          </cell>
          <cell r="AO16">
            <v>1.5845298128891223</v>
          </cell>
          <cell r="AP16" t="str">
            <v>Market deal</v>
          </cell>
          <cell r="AQ16" t="str">
            <v>Rent Optimization</v>
          </cell>
          <cell r="AR16" t="str">
            <v>Leasing Strategy</v>
          </cell>
          <cell r="AS16">
            <v>45209</v>
          </cell>
          <cell r="AT16">
            <v>21698624</v>
          </cell>
          <cell r="AU16">
            <v>21790930</v>
          </cell>
          <cell r="AV16">
            <v>793511.48051999998</v>
          </cell>
          <cell r="AW16">
            <v>1178444.8793930004</v>
          </cell>
          <cell r="AX16">
            <v>3.6569668220436467E-2</v>
          </cell>
          <cell r="AY16">
            <v>5.4309659423242708E-2</v>
          </cell>
          <cell r="AZ16">
            <v>12.063477231695</v>
          </cell>
          <cell r="BA16">
            <v>0.84954864593781299</v>
          </cell>
          <cell r="BB16">
            <v>2.8564790261083202</v>
          </cell>
          <cell r="BC16">
            <v>1</v>
          </cell>
          <cell r="BD16">
            <v>0</v>
          </cell>
          <cell r="BE16">
            <v>0</v>
          </cell>
          <cell r="BF16">
            <v>0</v>
          </cell>
          <cell r="BG16">
            <v>299346.12</v>
          </cell>
          <cell r="BH16">
            <v>299346.12</v>
          </cell>
          <cell r="BI16">
            <v>1413623.1425301209</v>
          </cell>
          <cell r="BJ16">
            <v>21984241.829999998</v>
          </cell>
        </row>
        <row r="17">
          <cell r="B17" t="str">
            <v>3nj00015</v>
          </cell>
          <cell r="C17" t="str">
            <v>7 Pearl Court</v>
          </cell>
          <cell r="D17" t="str">
            <v>Unrealized</v>
          </cell>
          <cell r="E17" t="str">
            <v>Industrial Value Fund III</v>
          </cell>
          <cell r="F17" t="str">
            <v>USD</v>
          </cell>
          <cell r="G17" t="str">
            <v>Last Mile</v>
          </cell>
          <cell r="H17" t="str">
            <v>Northern NJ/New York</v>
          </cell>
          <cell r="I17" t="str">
            <v>Allendale</v>
          </cell>
          <cell r="J17" t="str">
            <v>NJ</v>
          </cell>
          <cell r="K17" t="str">
            <v>07401</v>
          </cell>
          <cell r="L17" t="str">
            <v>United States</v>
          </cell>
          <cell r="M17" t="str">
            <v>New York-Newark-Jersey City, NY-NJ-PA</v>
          </cell>
          <cell r="N17">
            <v>44290</v>
          </cell>
          <cell r="O17">
            <v>1</v>
          </cell>
          <cell r="P17" t="str">
            <v>Portfolio</v>
          </cell>
          <cell r="Q17" t="str">
            <v>Property - Private Equity</v>
          </cell>
          <cell r="R17" t="str">
            <v>Industrial</v>
          </cell>
          <cell r="S17" t="str">
            <v>Warehouse</v>
          </cell>
          <cell r="T17">
            <v>1977</v>
          </cell>
          <cell r="U17" t="str">
            <v>Sq. Feet</v>
          </cell>
          <cell r="V17" t="str">
            <v>Value-Add</v>
          </cell>
          <cell r="W17" t="str">
            <v>Industrial / Logistics</v>
          </cell>
          <cell r="X17" t="str">
            <v>Common Equity</v>
          </cell>
          <cell r="Y17">
            <v>719821.20926456014</v>
          </cell>
          <cell r="Z17">
            <v>718901.20890099998</v>
          </cell>
          <cell r="AA17">
            <v>10283120.208900999</v>
          </cell>
          <cell r="AB17">
            <v>7.0000271769796854E-2</v>
          </cell>
          <cell r="AC17">
            <v>693625</v>
          </cell>
          <cell r="AD17">
            <v>7.2933330445266328E-2</v>
          </cell>
          <cell r="AE17">
            <v>6.25E-2</v>
          </cell>
          <cell r="AF17">
            <v>0.18509999999999999</v>
          </cell>
          <cell r="AG17">
            <v>2.6</v>
          </cell>
          <cell r="AH17">
            <v>0.1487</v>
          </cell>
          <cell r="AI17">
            <v>1.69</v>
          </cell>
          <cell r="AJ17">
            <v>8.5846520431591244E-2</v>
          </cell>
          <cell r="AK17">
            <v>0.11993299513885525</v>
          </cell>
          <cell r="AL17">
            <v>1.6088971805909043</v>
          </cell>
          <cell r="AM17">
            <v>5.7798937518933835E-2</v>
          </cell>
          <cell r="AN17">
            <v>8.7291928964112087E-2</v>
          </cell>
          <cell r="AO17">
            <v>1.4282175485102859</v>
          </cell>
          <cell r="AP17" t="str">
            <v>Market deal</v>
          </cell>
          <cell r="AQ17" t="str">
            <v>Rent Optimization</v>
          </cell>
          <cell r="AR17" t="str">
            <v>Stabilised</v>
          </cell>
          <cell r="AS17">
            <v>45209</v>
          </cell>
          <cell r="AT17">
            <v>9510398</v>
          </cell>
          <cell r="AU17">
            <v>9564219</v>
          </cell>
          <cell r="AV17">
            <v>575790.87352799997</v>
          </cell>
          <cell r="AW17">
            <v>582178.3320209987</v>
          </cell>
          <cell r="AX17">
            <v>6.0543299400088194E-2</v>
          </cell>
          <cell r="AY17">
            <v>6.1214928336437519E-2</v>
          </cell>
          <cell r="AZ17">
            <v>12.9285789117182</v>
          </cell>
          <cell r="BA17">
            <v>1</v>
          </cell>
          <cell r="BB17">
            <v>2.37066222932941</v>
          </cell>
          <cell r="BC17">
            <v>1</v>
          </cell>
          <cell r="BD17">
            <v>0</v>
          </cell>
          <cell r="BE17">
            <v>0</v>
          </cell>
          <cell r="BF17">
            <v>0</v>
          </cell>
          <cell r="BG17">
            <v>147303.95000000001</v>
          </cell>
          <cell r="BH17">
            <v>147303.95000000001</v>
          </cell>
          <cell r="BI17">
            <v>607859.09855421679</v>
          </cell>
          <cell r="BJ17">
            <v>9564219</v>
          </cell>
        </row>
        <row r="18">
          <cell r="B18" t="str">
            <v>3nj00016</v>
          </cell>
          <cell r="C18" t="str">
            <v>59 Route 17</v>
          </cell>
          <cell r="D18" t="str">
            <v>Unrealized</v>
          </cell>
          <cell r="E18" t="str">
            <v>Industrial Value Fund III</v>
          </cell>
          <cell r="F18" t="str">
            <v>USD</v>
          </cell>
          <cell r="G18" t="str">
            <v>Last Mile</v>
          </cell>
          <cell r="H18" t="str">
            <v>Northern NJ/New York</v>
          </cell>
          <cell r="I18" t="str">
            <v>Allendale</v>
          </cell>
          <cell r="J18" t="str">
            <v>NJ</v>
          </cell>
          <cell r="K18" t="str">
            <v>07401</v>
          </cell>
          <cell r="L18" t="str">
            <v>United States</v>
          </cell>
          <cell r="M18" t="str">
            <v>New York-Newark-Jersey City, NY-NJ-PA</v>
          </cell>
          <cell r="N18">
            <v>60000</v>
          </cell>
          <cell r="O18">
            <v>1</v>
          </cell>
          <cell r="P18" t="str">
            <v>Portfolio</v>
          </cell>
          <cell r="Q18" t="str">
            <v>Property - Private Equity</v>
          </cell>
          <cell r="R18" t="str">
            <v>Industrial</v>
          </cell>
          <cell r="S18" t="str">
            <v>Warehouse</v>
          </cell>
          <cell r="T18">
            <v>1979</v>
          </cell>
          <cell r="U18" t="str">
            <v>Sq. Feet</v>
          </cell>
          <cell r="V18" t="str">
            <v>Value-Add</v>
          </cell>
          <cell r="W18" t="str">
            <v>Industrial / Logistics</v>
          </cell>
          <cell r="X18" t="str">
            <v>Common Equity</v>
          </cell>
          <cell r="Y18">
            <v>1272858.0635160003</v>
          </cell>
          <cell r="Z18">
            <v>2141695.6281609996</v>
          </cell>
          <cell r="AA18">
            <v>15072523.628161</v>
          </cell>
          <cell r="AB18">
            <v>8.44489015189092E-2</v>
          </cell>
          <cell r="AC18">
            <v>930000</v>
          </cell>
          <cell r="AD18">
            <v>7.2290763712275302E-2</v>
          </cell>
          <cell r="AE18">
            <v>6.25E-2</v>
          </cell>
          <cell r="AF18">
            <v>0.18509999999999999</v>
          </cell>
          <cell r="AG18">
            <v>2.6</v>
          </cell>
          <cell r="AH18">
            <v>0.1487</v>
          </cell>
          <cell r="AI18">
            <v>1.69</v>
          </cell>
          <cell r="AJ18">
            <v>0.12629531283306417</v>
          </cell>
          <cell r="AK18">
            <v>0.20550993103539783</v>
          </cell>
          <cell r="AL18">
            <v>2.1620712041462151</v>
          </cell>
          <cell r="AM18">
            <v>9.2677021996341757E-2</v>
          </cell>
          <cell r="AN18">
            <v>0.16278764005610724</v>
          </cell>
          <cell r="AO18">
            <v>1.8723740701518632</v>
          </cell>
          <cell r="AP18" t="str">
            <v>Market deal</v>
          </cell>
          <cell r="AQ18" t="str">
            <v>Renewal / Re-tenant</v>
          </cell>
          <cell r="AR18" t="str">
            <v>Leasing Strategy</v>
          </cell>
          <cell r="AS18">
            <v>45209</v>
          </cell>
          <cell r="AT18">
            <v>12864714</v>
          </cell>
          <cell r="AU18">
            <v>12930828</v>
          </cell>
          <cell r="AV18">
            <v>915378.57717599999</v>
          </cell>
          <cell r="AW18">
            <v>933484.09783200035</v>
          </cell>
          <cell r="AX18">
            <v>7.1154211214955881E-2</v>
          </cell>
          <cell r="AY18">
            <v>7.2561589618859806E-2</v>
          </cell>
          <cell r="AZ18">
            <v>15</v>
          </cell>
          <cell r="BA18">
            <v>1</v>
          </cell>
          <cell r="BB18">
            <v>3.2273972602666601</v>
          </cell>
          <cell r="BC18">
            <v>1</v>
          </cell>
          <cell r="BD18">
            <v>0</v>
          </cell>
          <cell r="BE18">
            <v>0</v>
          </cell>
          <cell r="BF18">
            <v>0</v>
          </cell>
          <cell r="BG18">
            <v>233348.08000000002</v>
          </cell>
          <cell r="BH18">
            <v>233348.08000000002</v>
          </cell>
          <cell r="BI18">
            <v>1003822.4138554217</v>
          </cell>
          <cell r="BJ18">
            <v>12930828</v>
          </cell>
        </row>
        <row r="19">
          <cell r="B19" t="str">
            <v>3nj00017</v>
          </cell>
          <cell r="C19" t="str">
            <v>16 McKee Drive</v>
          </cell>
          <cell r="D19" t="str">
            <v>Unrealized</v>
          </cell>
          <cell r="E19" t="str">
            <v>Industrial Value Fund III</v>
          </cell>
          <cell r="F19" t="str">
            <v>USD</v>
          </cell>
          <cell r="G19" t="str">
            <v>Last Mile</v>
          </cell>
          <cell r="H19" t="str">
            <v>Northern NJ/New York</v>
          </cell>
          <cell r="I19" t="str">
            <v>Mahwah</v>
          </cell>
          <cell r="J19" t="str">
            <v>NJ</v>
          </cell>
          <cell r="K19" t="str">
            <v>07430</v>
          </cell>
          <cell r="L19" t="str">
            <v>United States</v>
          </cell>
          <cell r="M19" t="str">
            <v>New York-Newark-Jersey City, NY-NJ-PA</v>
          </cell>
          <cell r="N19">
            <v>113103</v>
          </cell>
          <cell r="O19">
            <v>1</v>
          </cell>
          <cell r="P19" t="str">
            <v>Portfolio</v>
          </cell>
          <cell r="Q19" t="str">
            <v>Property - Private Equity</v>
          </cell>
          <cell r="R19" t="str">
            <v>Industrial</v>
          </cell>
          <cell r="S19" t="str">
            <v>Warehouse</v>
          </cell>
          <cell r="T19">
            <v>1972</v>
          </cell>
          <cell r="U19" t="str">
            <v>Sq. Feet</v>
          </cell>
          <cell r="V19" t="str">
            <v>Value-Add</v>
          </cell>
          <cell r="W19" t="str">
            <v>Industrial / Logistics</v>
          </cell>
          <cell r="X19" t="str">
            <v>Common Equity</v>
          </cell>
          <cell r="Y19">
            <v>1529474.5579443201</v>
          </cell>
          <cell r="Z19">
            <v>1882384.5977410001</v>
          </cell>
          <cell r="AA19">
            <v>19114240.597741</v>
          </cell>
          <cell r="AB19">
            <v>8.0017542424629717E-2</v>
          </cell>
          <cell r="AC19">
            <v>1513442</v>
          </cell>
          <cell r="AD19">
            <v>8.8233229622035989E-2</v>
          </cell>
          <cell r="AE19">
            <v>0.06</v>
          </cell>
          <cell r="AF19">
            <v>0.18509999999999999</v>
          </cell>
          <cell r="AG19">
            <v>2.6</v>
          </cell>
          <cell r="AH19">
            <v>0.1487</v>
          </cell>
          <cell r="AI19">
            <v>1.69</v>
          </cell>
          <cell r="AJ19">
            <v>0.13836597773981962</v>
          </cell>
          <cell r="AK19">
            <v>0.231657666008382</v>
          </cell>
          <cell r="AL19">
            <v>2.3295161846989103</v>
          </cell>
          <cell r="AM19">
            <v>0.10334765379087751</v>
          </cell>
          <cell r="AN19">
            <v>0.18674389307391803</v>
          </cell>
          <cell r="AO19">
            <v>2.006369538574599</v>
          </cell>
          <cell r="AP19" t="str">
            <v>Market deal</v>
          </cell>
          <cell r="AQ19" t="str">
            <v>Renewal / Re-tenant</v>
          </cell>
          <cell r="AR19" t="str">
            <v>Stabilised</v>
          </cell>
          <cell r="AS19">
            <v>45209</v>
          </cell>
          <cell r="AT19">
            <v>17152744</v>
          </cell>
          <cell r="AU19">
            <v>17231856</v>
          </cell>
          <cell r="AV19">
            <v>1283698.9403519998</v>
          </cell>
          <cell r="AW19">
            <v>1297033.30688</v>
          </cell>
          <cell r="AX19">
            <v>7.483927588215622E-2</v>
          </cell>
          <cell r="AY19">
            <v>7.5616665583069398E-2</v>
          </cell>
          <cell r="AZ19">
            <v>11.3213622980822</v>
          </cell>
          <cell r="BA19">
            <v>0.95579250771420698</v>
          </cell>
          <cell r="BB19">
            <v>8.5838023021582099</v>
          </cell>
          <cell r="BC19">
            <v>1</v>
          </cell>
          <cell r="BD19">
            <v>0</v>
          </cell>
          <cell r="BE19">
            <v>0</v>
          </cell>
          <cell r="BF19">
            <v>0</v>
          </cell>
          <cell r="BG19">
            <v>303613.78000000003</v>
          </cell>
          <cell r="BH19">
            <v>303613.78000000003</v>
          </cell>
          <cell r="BI19">
            <v>1240493.9156626507</v>
          </cell>
          <cell r="BJ19">
            <v>17231856</v>
          </cell>
        </row>
        <row r="20">
          <cell r="B20" t="str">
            <v>3nj00018</v>
          </cell>
          <cell r="C20" t="str">
            <v>91 McKee Drive</v>
          </cell>
          <cell r="D20" t="str">
            <v>Unrealized</v>
          </cell>
          <cell r="E20" t="str">
            <v>Industrial Value Fund III</v>
          </cell>
          <cell r="F20" t="str">
            <v>USD</v>
          </cell>
          <cell r="G20" t="str">
            <v>Last Mile</v>
          </cell>
          <cell r="H20" t="str">
            <v>Northern NJ/New York</v>
          </cell>
          <cell r="I20" t="str">
            <v>Mahwah</v>
          </cell>
          <cell r="J20" t="str">
            <v>NJ</v>
          </cell>
          <cell r="K20" t="str">
            <v>07430</v>
          </cell>
          <cell r="L20" t="str">
            <v>United States</v>
          </cell>
          <cell r="M20" t="str">
            <v>New York-Newark-Jersey City, NY-NJ-PA</v>
          </cell>
          <cell r="N20">
            <v>121896</v>
          </cell>
          <cell r="O20">
            <v>1</v>
          </cell>
          <cell r="P20" t="str">
            <v>Portfolio</v>
          </cell>
          <cell r="Q20" t="str">
            <v>Property - Private Equity</v>
          </cell>
          <cell r="R20" t="str">
            <v>Industrial</v>
          </cell>
          <cell r="S20" t="str">
            <v>Warehouse</v>
          </cell>
          <cell r="T20">
            <v>1978</v>
          </cell>
          <cell r="U20" t="str">
            <v>Sq. Feet</v>
          </cell>
          <cell r="V20" t="str">
            <v>Value-Add</v>
          </cell>
          <cell r="W20" t="str">
            <v>Industrial / Logistics</v>
          </cell>
          <cell r="X20" t="str">
            <v>Common Equity</v>
          </cell>
          <cell r="Y20">
            <v>1733376.0741419196</v>
          </cell>
          <cell r="Z20">
            <v>996181.92971199995</v>
          </cell>
          <cell r="AA20">
            <v>22871171.929712001</v>
          </cell>
          <cell r="AB20">
            <v>7.5788686275847811E-2</v>
          </cell>
          <cell r="AC20">
            <v>1706544</v>
          </cell>
          <cell r="AD20">
            <v>7.8779609971353401E-2</v>
          </cell>
          <cell r="AE20">
            <v>0.06</v>
          </cell>
          <cell r="AF20">
            <v>0.18509999999999999</v>
          </cell>
          <cell r="AG20">
            <v>2.6</v>
          </cell>
          <cell r="AH20">
            <v>0.1487</v>
          </cell>
          <cell r="AI20">
            <v>1.69</v>
          </cell>
          <cell r="AJ20">
            <v>0.10970048923949816</v>
          </cell>
          <cell r="AK20">
            <v>0.17143485293608518</v>
          </cell>
          <cell r="AL20">
            <v>2.0138266939043747</v>
          </cell>
          <cell r="AM20">
            <v>7.8522700936843437E-2</v>
          </cell>
          <cell r="AN20">
            <v>0.13289057335696164</v>
          </cell>
          <cell r="AO20">
            <v>1.749209509415248</v>
          </cell>
          <cell r="AP20" t="str">
            <v>Market deal</v>
          </cell>
          <cell r="AQ20" t="str">
            <v>Rent Optimization</v>
          </cell>
          <cell r="AR20" t="str">
            <v>Leasing Strategy</v>
          </cell>
          <cell r="AS20">
            <v>45209</v>
          </cell>
          <cell r="AT20">
            <v>21662255</v>
          </cell>
          <cell r="AU20">
            <v>21874990</v>
          </cell>
          <cell r="AV20">
            <v>684764.51192399987</v>
          </cell>
          <cell r="AW20">
            <v>1381670.6074900008</v>
          </cell>
          <cell r="AX20">
            <v>3.1610952411187103E-2</v>
          </cell>
          <cell r="AY20">
            <v>6.3782399731237616E-2</v>
          </cell>
          <cell r="AZ20">
            <v>11.600642843079299</v>
          </cell>
          <cell r="BA20">
            <v>1</v>
          </cell>
          <cell r="BB20">
            <v>6.2381091089535303</v>
          </cell>
          <cell r="BC20">
            <v>1</v>
          </cell>
          <cell r="BD20">
            <v>0</v>
          </cell>
          <cell r="BE20">
            <v>0</v>
          </cell>
          <cell r="BF20">
            <v>0</v>
          </cell>
          <cell r="BG20">
            <v>250798.84999999998</v>
          </cell>
          <cell r="BH20">
            <v>250798.84999999998</v>
          </cell>
          <cell r="BI20">
            <v>1481597.7272289156</v>
          </cell>
          <cell r="BJ20">
            <v>21979117.140000001</v>
          </cell>
        </row>
        <row r="21">
          <cell r="B21" t="str">
            <v>3nj00019</v>
          </cell>
          <cell r="C21" t="str">
            <v>70-82 McKee Drive</v>
          </cell>
          <cell r="D21" t="str">
            <v>Unrealized</v>
          </cell>
          <cell r="E21" t="str">
            <v>Industrial Value Fund III</v>
          </cell>
          <cell r="F21" t="str">
            <v>USD</v>
          </cell>
          <cell r="G21" t="str">
            <v>Last Mile</v>
          </cell>
          <cell r="H21" t="str">
            <v>Northern NJ/New York</v>
          </cell>
          <cell r="I21" t="str">
            <v>Mahwah</v>
          </cell>
          <cell r="J21" t="str">
            <v>NJ</v>
          </cell>
          <cell r="K21" t="str">
            <v>07430</v>
          </cell>
          <cell r="L21" t="str">
            <v>United States</v>
          </cell>
          <cell r="M21" t="str">
            <v>New York-Newark-Jersey City, NY-NJ-PA</v>
          </cell>
          <cell r="N21">
            <v>170000</v>
          </cell>
          <cell r="O21">
            <v>1</v>
          </cell>
          <cell r="P21" t="str">
            <v>Portfolio</v>
          </cell>
          <cell r="Q21" t="str">
            <v>Property - Private Equity</v>
          </cell>
          <cell r="R21" t="str">
            <v>Industrial</v>
          </cell>
          <cell r="S21" t="str">
            <v>Warehouse</v>
          </cell>
          <cell r="T21">
            <v>1966</v>
          </cell>
          <cell r="U21" t="str">
            <v>Sq. Feet</v>
          </cell>
          <cell r="V21" t="str">
            <v>Value-Add</v>
          </cell>
          <cell r="W21" t="str">
            <v>Industrial / Logistics</v>
          </cell>
          <cell r="X21" t="str">
            <v>Common Equity</v>
          </cell>
          <cell r="Y21">
            <v>2181544.492083841</v>
          </cell>
          <cell r="Z21">
            <v>271341.52158599999</v>
          </cell>
          <cell r="AA21">
            <v>26275630.521586001</v>
          </cell>
          <cell r="AB21">
            <v>8.3025390781456404E-2</v>
          </cell>
          <cell r="AC21">
            <v>2125000</v>
          </cell>
          <cell r="AD21">
            <v>8.2062170995861328E-2</v>
          </cell>
          <cell r="AE21">
            <v>7.0000000000000007E-2</v>
          </cell>
          <cell r="AF21">
            <v>0.18509999999999999</v>
          </cell>
          <cell r="AG21">
            <v>2.6</v>
          </cell>
          <cell r="AH21">
            <v>0.1487</v>
          </cell>
          <cell r="AI21">
            <v>1.69</v>
          </cell>
          <cell r="AJ21">
            <v>0.10597582521706927</v>
          </cell>
          <cell r="AK21">
            <v>0.16635996980390022</v>
          </cell>
          <cell r="AL21">
            <v>1.9329108724190243</v>
          </cell>
          <cell r="AM21">
            <v>7.5058513585711806E-2</v>
          </cell>
          <cell r="AN21">
            <v>0.12792890350107666</v>
          </cell>
          <cell r="AO21">
            <v>1.683974867679481</v>
          </cell>
          <cell r="AP21" t="str">
            <v>Market deal</v>
          </cell>
          <cell r="AQ21" t="str">
            <v>Rent Optimization</v>
          </cell>
          <cell r="AR21" t="str">
            <v>Stabilised</v>
          </cell>
          <cell r="AS21">
            <v>45209</v>
          </cell>
          <cell r="AT21">
            <v>25895001</v>
          </cell>
          <cell r="AU21">
            <v>26004289</v>
          </cell>
          <cell r="AV21">
            <v>1847056.4346960001</v>
          </cell>
          <cell r="AW21">
            <v>1859608.9588699979</v>
          </cell>
          <cell r="AX21">
            <v>7.1328687521425474E-2</v>
          </cell>
          <cell r="AY21">
            <v>7.1813434526223727E-2</v>
          </cell>
          <cell r="AZ21">
            <v>10.733333647058799</v>
          </cell>
          <cell r="BA21">
            <v>1</v>
          </cell>
          <cell r="BB21">
            <v>8.2595766800941099</v>
          </cell>
          <cell r="BC21">
            <v>1</v>
          </cell>
          <cell r="BD21">
            <v>0</v>
          </cell>
          <cell r="BE21">
            <v>0</v>
          </cell>
          <cell r="BF21">
            <v>0</v>
          </cell>
          <cell r="BG21">
            <v>425576.13</v>
          </cell>
          <cell r="BH21">
            <v>425576.13</v>
          </cell>
          <cell r="BI21">
            <v>1896567.6095180726</v>
          </cell>
          <cell r="BJ21">
            <v>26004289</v>
          </cell>
        </row>
        <row r="22">
          <cell r="B22" t="str">
            <v>3nc00005</v>
          </cell>
          <cell r="C22" t="str">
            <v>2200 Executive Street</v>
          </cell>
          <cell r="D22" t="str">
            <v>Unrealized</v>
          </cell>
          <cell r="E22" t="str">
            <v>Industrial Value Fund III</v>
          </cell>
          <cell r="F22" t="str">
            <v>USD</v>
          </cell>
          <cell r="G22" t="str">
            <v>Last Mile</v>
          </cell>
          <cell r="H22" t="str">
            <v>Charlotte, NC</v>
          </cell>
          <cell r="I22" t="str">
            <v>Charlotte</v>
          </cell>
          <cell r="J22" t="str">
            <v>NC</v>
          </cell>
          <cell r="K22">
            <v>28208</v>
          </cell>
          <cell r="L22" t="str">
            <v>United States</v>
          </cell>
          <cell r="M22" t="str">
            <v>Charlotte-Concord-Gastonia, NC-SC</v>
          </cell>
          <cell r="N22">
            <v>22900</v>
          </cell>
          <cell r="O22">
            <v>1</v>
          </cell>
          <cell r="P22" t="str">
            <v>Single Asset</v>
          </cell>
          <cell r="Q22" t="str">
            <v>Property - Private Equity</v>
          </cell>
          <cell r="R22" t="str">
            <v>Industrial</v>
          </cell>
          <cell r="S22" t="str">
            <v>Warehouse</v>
          </cell>
          <cell r="T22">
            <v>1993</v>
          </cell>
          <cell r="U22" t="str">
            <v>Sq. Feet</v>
          </cell>
          <cell r="V22" t="str">
            <v>Value-Add</v>
          </cell>
          <cell r="W22" t="str">
            <v>Industrial / Logistics</v>
          </cell>
          <cell r="X22" t="str">
            <v>Common Equity</v>
          </cell>
          <cell r="Y22">
            <v>343693.18915880017</v>
          </cell>
          <cell r="Z22">
            <v>866332.18620399991</v>
          </cell>
          <cell r="AA22">
            <v>3917147.1862039999</v>
          </cell>
          <cell r="AB22">
            <v>8.7740688011231929E-2</v>
          </cell>
          <cell r="AC22">
            <v>274800</v>
          </cell>
          <cell r="AD22">
            <v>9.1600000000000001E-2</v>
          </cell>
          <cell r="AE22">
            <v>0.06</v>
          </cell>
          <cell r="AF22">
            <v>0.18410000000000001</v>
          </cell>
          <cell r="AG22">
            <v>1.62</v>
          </cell>
          <cell r="AH22">
            <v>0.1605</v>
          </cell>
          <cell r="AI22">
            <v>1.23</v>
          </cell>
          <cell r="AJ22">
            <v>0.13870756994004529</v>
          </cell>
          <cell r="AK22">
            <v>0.22185913022631598</v>
          </cell>
          <cell r="AL22">
            <v>2.4962730806015236</v>
          </cell>
          <cell r="AM22">
            <v>0.10380931763150936</v>
          </cell>
          <cell r="AN22">
            <v>0.17817923600268948</v>
          </cell>
          <cell r="AO22">
            <v>2.1363207783390283</v>
          </cell>
          <cell r="AP22" t="str">
            <v>Unsolicited \ Off-market</v>
          </cell>
          <cell r="AQ22" t="str">
            <v>Rent Optimization</v>
          </cell>
          <cell r="AR22" t="str">
            <v>Leasing Strategy</v>
          </cell>
          <cell r="AS22">
            <v>45198</v>
          </cell>
          <cell r="AT22">
            <v>3000000</v>
          </cell>
          <cell r="AU22">
            <v>3050815</v>
          </cell>
          <cell r="AV22">
            <v>262539.58419600001</v>
          </cell>
          <cell r="AW22">
            <v>98889.178307000024</v>
          </cell>
          <cell r="AX22">
            <v>8.7513194732000005E-2</v>
          </cell>
          <cell r="AY22">
            <v>3.2963059435666672E-2</v>
          </cell>
          <cell r="AZ22">
            <v>12.639998253275101</v>
          </cell>
          <cell r="BA22">
            <v>1</v>
          </cell>
          <cell r="BB22">
            <v>0.58630136986899495</v>
          </cell>
          <cell r="BC22">
            <v>1</v>
          </cell>
          <cell r="BD22">
            <v>0</v>
          </cell>
          <cell r="BE22">
            <v>0</v>
          </cell>
          <cell r="BF22">
            <v>0</v>
          </cell>
          <cell r="BG22">
            <v>65372.97</v>
          </cell>
          <cell r="BH22">
            <v>65372.97</v>
          </cell>
          <cell r="BI22">
            <v>256065.79882978724</v>
          </cell>
          <cell r="BJ22">
            <v>3076696.03</v>
          </cell>
        </row>
        <row r="23">
          <cell r="B23" t="str">
            <v>3nc00004</v>
          </cell>
          <cell r="C23" t="str">
            <v>2101 Westinghouse Boulevard</v>
          </cell>
          <cell r="D23" t="str">
            <v>Unrealized</v>
          </cell>
          <cell r="E23" t="str">
            <v>Industrial Value Fund III</v>
          </cell>
          <cell r="F23" t="str">
            <v>USD</v>
          </cell>
          <cell r="G23" t="str">
            <v>Last Mile</v>
          </cell>
          <cell r="H23" t="str">
            <v>Charlotte, NC</v>
          </cell>
          <cell r="I23" t="str">
            <v>Charlotte</v>
          </cell>
          <cell r="J23" t="str">
            <v>NC</v>
          </cell>
          <cell r="K23">
            <v>28273</v>
          </cell>
          <cell r="L23" t="str">
            <v>United States</v>
          </cell>
          <cell r="M23" t="str">
            <v>Charlotte-Concord-Gastonia, NC-SC</v>
          </cell>
          <cell r="N23">
            <v>200000</v>
          </cell>
          <cell r="O23">
            <v>1</v>
          </cell>
          <cell r="P23" t="str">
            <v>Portfolio</v>
          </cell>
          <cell r="Q23" t="str">
            <v>Property - Private Equity</v>
          </cell>
          <cell r="R23" t="str">
            <v>Industrial</v>
          </cell>
          <cell r="S23" t="str">
            <v>Warehouse</v>
          </cell>
          <cell r="T23">
            <v>1979</v>
          </cell>
          <cell r="U23" t="str">
            <v>Sq. Feet</v>
          </cell>
          <cell r="V23" t="str">
            <v>Value-Add</v>
          </cell>
          <cell r="W23" t="str">
            <v>Industrial / Logistics</v>
          </cell>
          <cell r="X23" t="str">
            <v>Common Equity</v>
          </cell>
          <cell r="Y23">
            <v>1945175.4845380008</v>
          </cell>
          <cell r="Z23">
            <v>1311943.9354160002</v>
          </cell>
          <cell r="AA23">
            <v>23209385.935416002</v>
          </cell>
          <cell r="AB23">
            <v>8.3809864248488825E-2</v>
          </cell>
          <cell r="AC23">
            <v>1500000</v>
          </cell>
          <cell r="AD23">
            <v>6.8851556045166615E-2</v>
          </cell>
          <cell r="AE23">
            <v>5.7500000000000002E-2</v>
          </cell>
          <cell r="AF23">
            <v>0.17</v>
          </cell>
          <cell r="AG23">
            <v>1.94</v>
          </cell>
          <cell r="AH23">
            <v>0.12670000000000001</v>
          </cell>
          <cell r="AI23">
            <v>1.2</v>
          </cell>
          <cell r="AJ23">
            <v>0.12933708229143437</v>
          </cell>
          <cell r="AK23">
            <v>0.20331109378780532</v>
          </cell>
          <cell r="AL23">
            <v>2.357060682159335</v>
          </cell>
          <cell r="AM23">
            <v>9.5717069011630462E-2</v>
          </cell>
          <cell r="AN23">
            <v>0.1617353805370163</v>
          </cell>
          <cell r="AO23">
            <v>2.0242950278001399</v>
          </cell>
          <cell r="AP23" t="str">
            <v>Market deal</v>
          </cell>
          <cell r="AQ23" t="str">
            <v>Rent Optimization</v>
          </cell>
          <cell r="AR23" t="str">
            <v>Leasing Strategy</v>
          </cell>
          <cell r="AS23">
            <v>45176</v>
          </cell>
          <cell r="AT23">
            <v>21786000</v>
          </cell>
          <cell r="AU23">
            <v>21897442</v>
          </cell>
          <cell r="AV23">
            <v>1150333.4448359997</v>
          </cell>
          <cell r="AW23">
            <v>1051874.752807</v>
          </cell>
          <cell r="AX23">
            <v>5.280149843183695E-2</v>
          </cell>
          <cell r="AY23">
            <v>4.828214233025796E-2</v>
          </cell>
          <cell r="AZ23">
            <v>5.3117279999999996</v>
          </cell>
          <cell r="BA23">
            <v>1</v>
          </cell>
          <cell r="BB23">
            <v>3.0312328767149999</v>
          </cell>
          <cell r="BC23">
            <v>1</v>
          </cell>
          <cell r="BD23">
            <v>0</v>
          </cell>
          <cell r="BE23">
            <v>0</v>
          </cell>
          <cell r="BF23">
            <v>0</v>
          </cell>
          <cell r="BG23">
            <v>339935.47000000003</v>
          </cell>
          <cell r="BH23">
            <v>339935.47000000003</v>
          </cell>
          <cell r="BI23">
            <v>1101775.0040517242</v>
          </cell>
          <cell r="BJ23">
            <v>21897442</v>
          </cell>
        </row>
        <row r="24">
          <cell r="B24" t="str">
            <v>3nc00003</v>
          </cell>
          <cell r="C24" t="str">
            <v>9701 Brookford Street</v>
          </cell>
          <cell r="D24" t="str">
            <v>Unrealized</v>
          </cell>
          <cell r="E24" t="str">
            <v>Industrial Value Fund III</v>
          </cell>
          <cell r="F24" t="str">
            <v>USD</v>
          </cell>
          <cell r="G24" t="str">
            <v>Last Mile</v>
          </cell>
          <cell r="H24" t="str">
            <v>Charlotte, NC</v>
          </cell>
          <cell r="I24" t="str">
            <v>Charlotte</v>
          </cell>
          <cell r="J24" t="str">
            <v>NC</v>
          </cell>
          <cell r="K24">
            <v>28273</v>
          </cell>
          <cell r="L24" t="str">
            <v>United States</v>
          </cell>
          <cell r="M24" t="str">
            <v>Charlotte-Concord-Gastonia, NC-SC</v>
          </cell>
          <cell r="N24">
            <v>67200</v>
          </cell>
          <cell r="O24">
            <v>1</v>
          </cell>
          <cell r="P24" t="str">
            <v>Portfolio</v>
          </cell>
          <cell r="Q24" t="str">
            <v>Property - Private Equity</v>
          </cell>
          <cell r="R24" t="str">
            <v>Industrial</v>
          </cell>
          <cell r="S24" t="str">
            <v>Warehouse</v>
          </cell>
          <cell r="T24">
            <v>1972</v>
          </cell>
          <cell r="U24" t="str">
            <v>Sq. Feet</v>
          </cell>
          <cell r="V24" t="str">
            <v>Value-Add</v>
          </cell>
          <cell r="W24" t="str">
            <v>Industrial / Logistics</v>
          </cell>
          <cell r="X24" t="str">
            <v>Common Equity</v>
          </cell>
          <cell r="Y24">
            <v>598170.12201023998</v>
          </cell>
          <cell r="Z24">
            <v>243051.18617999999</v>
          </cell>
          <cell r="AA24">
            <v>7278858.1861800002</v>
          </cell>
          <cell r="AB24">
            <v>8.217911473340081E-2</v>
          </cell>
          <cell r="AC24">
            <v>588000</v>
          </cell>
          <cell r="AD24">
            <v>8.4000000000000005E-2</v>
          </cell>
          <cell r="AE24">
            <v>0.06</v>
          </cell>
          <cell r="AF24">
            <v>0.17</v>
          </cell>
          <cell r="AG24">
            <v>1.94</v>
          </cell>
          <cell r="AH24">
            <v>0.12670000000000001</v>
          </cell>
          <cell r="AI24">
            <v>1.2</v>
          </cell>
          <cell r="AJ24">
            <v>0.11815632185813785</v>
          </cell>
          <cell r="AK24">
            <v>0.18454420826362417</v>
          </cell>
          <cell r="AL24">
            <v>2.1527942101427193</v>
          </cell>
          <cell r="AM24">
            <v>8.5759891817109635E-2</v>
          </cell>
          <cell r="AN24">
            <v>0.14464117541080102</v>
          </cell>
          <cell r="AO24">
            <v>1.8600117349330689</v>
          </cell>
          <cell r="AP24" t="str">
            <v>Market deal</v>
          </cell>
          <cell r="AQ24" t="str">
            <v>Rent Optimization</v>
          </cell>
          <cell r="AR24" t="str">
            <v>Leasing Strategy</v>
          </cell>
          <cell r="AS24">
            <v>45176</v>
          </cell>
          <cell r="AT24">
            <v>7000000</v>
          </cell>
          <cell r="AU24">
            <v>7035807</v>
          </cell>
          <cell r="AV24">
            <v>415932.69465600001</v>
          </cell>
          <cell r="AW24">
            <v>386400.00000900024</v>
          </cell>
          <cell r="AX24">
            <v>5.9418956379428574E-2</v>
          </cell>
          <cell r="AY24">
            <v>5.5200000001285748E-2</v>
          </cell>
          <cell r="AZ24">
            <v>5.75</v>
          </cell>
          <cell r="BA24">
            <v>1</v>
          </cell>
          <cell r="BB24">
            <v>4.9863013698660703</v>
          </cell>
          <cell r="BC24">
            <v>1</v>
          </cell>
          <cell r="BD24">
            <v>0</v>
          </cell>
          <cell r="BE24">
            <v>0</v>
          </cell>
          <cell r="BF24">
            <v>0</v>
          </cell>
          <cell r="BG24">
            <v>123590.92</v>
          </cell>
          <cell r="BH24">
            <v>123590.92</v>
          </cell>
          <cell r="BI24">
            <v>400466.18844827591</v>
          </cell>
          <cell r="BJ24">
            <v>7035807</v>
          </cell>
        </row>
        <row r="25">
          <cell r="B25" t="str">
            <v>3nc00002</v>
          </cell>
          <cell r="C25" t="str">
            <v>4112 Joe Street</v>
          </cell>
          <cell r="D25" t="str">
            <v>Unrealized</v>
          </cell>
          <cell r="E25" t="str">
            <v>Industrial Value Fund III</v>
          </cell>
          <cell r="F25" t="str">
            <v>USD</v>
          </cell>
          <cell r="G25" t="str">
            <v>Last Mile</v>
          </cell>
          <cell r="H25" t="str">
            <v>Charlotte, NC</v>
          </cell>
          <cell r="I25" t="str">
            <v>Charlotte</v>
          </cell>
          <cell r="J25" t="str">
            <v>NC</v>
          </cell>
          <cell r="K25">
            <v>28206</v>
          </cell>
          <cell r="L25" t="str">
            <v>United States</v>
          </cell>
          <cell r="M25" t="str">
            <v>Charlotte-Concord-Gastonia, NC-SC</v>
          </cell>
          <cell r="N25">
            <v>45750</v>
          </cell>
          <cell r="O25">
            <v>1</v>
          </cell>
          <cell r="P25" t="str">
            <v>Portfolio</v>
          </cell>
          <cell r="Q25" t="str">
            <v>Property - Private Equity</v>
          </cell>
          <cell r="R25" t="str">
            <v>Industrial</v>
          </cell>
          <cell r="S25" t="str">
            <v>Warehouse</v>
          </cell>
          <cell r="T25">
            <v>1969</v>
          </cell>
          <cell r="U25" t="str">
            <v>Sq. Feet</v>
          </cell>
          <cell r="V25" t="str">
            <v>Value-Add</v>
          </cell>
          <cell r="W25" t="str">
            <v>Industrial / Logistics</v>
          </cell>
          <cell r="X25" t="str">
            <v>Common Equity</v>
          </cell>
          <cell r="Y25">
            <v>399420.80208991998</v>
          </cell>
          <cell r="Z25">
            <v>390589.54185000004</v>
          </cell>
          <cell r="AA25">
            <v>4913608.5418499997</v>
          </cell>
          <cell r="AB25">
            <v>8.1288690111959133E-2</v>
          </cell>
          <cell r="AC25">
            <v>317962.5</v>
          </cell>
          <cell r="AD25">
            <v>7.0658333333333337E-2</v>
          </cell>
          <cell r="AE25">
            <v>0.06</v>
          </cell>
          <cell r="AF25">
            <v>0.17</v>
          </cell>
          <cell r="AG25">
            <v>1.94</v>
          </cell>
          <cell r="AH25">
            <v>0.12670000000000001</v>
          </cell>
          <cell r="AI25">
            <v>1.2</v>
          </cell>
          <cell r="AJ25">
            <v>0.12137571432028249</v>
          </cell>
          <cell r="AK25">
            <v>0.18986040060551157</v>
          </cell>
          <cell r="AL25">
            <v>2.2041362184864481</v>
          </cell>
          <cell r="AM25">
            <v>8.8552032897340371E-2</v>
          </cell>
          <cell r="AN25">
            <v>0.14937860201284403</v>
          </cell>
          <cell r="AO25">
            <v>1.9014963747219604</v>
          </cell>
          <cell r="AP25" t="str">
            <v>Market deal</v>
          </cell>
          <cell r="AQ25" t="str">
            <v>Rent Optimization</v>
          </cell>
          <cell r="AR25" t="str">
            <v>Leasing Strategy</v>
          </cell>
          <cell r="AS25">
            <v>45176</v>
          </cell>
          <cell r="AT25">
            <v>4500000</v>
          </cell>
          <cell r="AU25">
            <v>4523019</v>
          </cell>
          <cell r="AV25">
            <v>255866.95905600002</v>
          </cell>
          <cell r="AW25">
            <v>245508.97656900014</v>
          </cell>
          <cell r="AX25">
            <v>5.6859324234666671E-2</v>
          </cell>
          <cell r="AY25">
            <v>5.4557550348666696E-2</v>
          </cell>
          <cell r="AZ25">
            <v>5.4500013114754102</v>
          </cell>
          <cell r="BA25">
            <v>1</v>
          </cell>
          <cell r="BB25">
            <v>2.0657534246557301</v>
          </cell>
          <cell r="BC25">
            <v>1</v>
          </cell>
          <cell r="BD25">
            <v>0</v>
          </cell>
          <cell r="BE25">
            <v>0</v>
          </cell>
          <cell r="BF25">
            <v>0</v>
          </cell>
          <cell r="BG25">
            <v>78443</v>
          </cell>
          <cell r="BH25">
            <v>78443</v>
          </cell>
          <cell r="BI25">
            <v>257053.68189655175</v>
          </cell>
          <cell r="BJ25">
            <v>4523019</v>
          </cell>
        </row>
        <row r="26">
          <cell r="B26" t="str">
            <v>3ga00005</v>
          </cell>
          <cell r="C26" t="str">
            <v>370 Gees Mill Business Pkwy</v>
          </cell>
          <cell r="D26" t="str">
            <v>Unrealized</v>
          </cell>
          <cell r="E26" t="str">
            <v>Industrial Value Fund III</v>
          </cell>
          <cell r="F26" t="str">
            <v>USD</v>
          </cell>
          <cell r="G26" t="str">
            <v>Last Mile</v>
          </cell>
          <cell r="H26" t="str">
            <v>Atlanta</v>
          </cell>
          <cell r="I26" t="str">
            <v>Conyers</v>
          </cell>
          <cell r="J26" t="str">
            <v>GA</v>
          </cell>
          <cell r="K26">
            <v>30013</v>
          </cell>
          <cell r="L26" t="str">
            <v>United States</v>
          </cell>
          <cell r="M26" t="str">
            <v>Atlanta-Sandy Springs-Roswell, GA</v>
          </cell>
          <cell r="N26">
            <v>30523</v>
          </cell>
          <cell r="O26">
            <v>1</v>
          </cell>
          <cell r="P26" t="str">
            <v>Single Asset</v>
          </cell>
          <cell r="Q26" t="str">
            <v>Property - Private Equity</v>
          </cell>
          <cell r="R26" t="str">
            <v>Industrial</v>
          </cell>
          <cell r="S26" t="str">
            <v>Warehouse</v>
          </cell>
          <cell r="T26">
            <v>1990</v>
          </cell>
          <cell r="U26" t="str">
            <v>Sq. Feet</v>
          </cell>
          <cell r="V26" t="str">
            <v>Value-Add</v>
          </cell>
          <cell r="W26" t="str">
            <v>Industrial / Logistics</v>
          </cell>
          <cell r="X26" t="str">
            <v>Common Equity</v>
          </cell>
          <cell r="Y26">
            <v>262756.31127719989</v>
          </cell>
          <cell r="Z26">
            <v>765312.6245299998</v>
          </cell>
          <cell r="AA26">
            <v>2990335.6245299997</v>
          </cell>
          <cell r="AB26">
            <v>8.7868501823603201E-2</v>
          </cell>
          <cell r="AC26">
            <v>202500</v>
          </cell>
          <cell r="AD26">
            <v>9.2465753424657529E-2</v>
          </cell>
          <cell r="AE26">
            <v>0.06</v>
          </cell>
          <cell r="AF26">
            <v>0.17899999999999999</v>
          </cell>
          <cell r="AG26">
            <v>2.39</v>
          </cell>
          <cell r="AH26">
            <v>0.14630000000000001</v>
          </cell>
          <cell r="AI26">
            <v>1.95</v>
          </cell>
          <cell r="AJ26">
            <v>0.14573176036279967</v>
          </cell>
          <cell r="AK26">
            <v>0.23707489577915664</v>
          </cell>
          <cell r="AL26">
            <v>2.6215251998023392</v>
          </cell>
          <cell r="AM26">
            <v>0.10966075968804234</v>
          </cell>
          <cell r="AN26">
            <v>0.1917781502333491</v>
          </cell>
          <cell r="AO26">
            <v>2.2335003688629858</v>
          </cell>
          <cell r="AP26" t="str">
            <v>Unsolicited \ Off-market</v>
          </cell>
          <cell r="AQ26" t="str">
            <v>Lease-up</v>
          </cell>
          <cell r="AR26" t="str">
            <v>Leasing Strategy</v>
          </cell>
          <cell r="AS26">
            <v>45136</v>
          </cell>
          <cell r="AT26">
            <v>2190000</v>
          </cell>
          <cell r="AU26">
            <v>2225023</v>
          </cell>
          <cell r="AV26">
            <v>169420.14983999997</v>
          </cell>
          <cell r="AW26">
            <v>107338.819669</v>
          </cell>
          <cell r="AX26">
            <v>7.736079901369862E-2</v>
          </cell>
          <cell r="AY26">
            <v>4.9013159666210046E-2</v>
          </cell>
          <cell r="AZ26">
            <v>5.5290678061396603</v>
          </cell>
          <cell r="BA26">
            <v>1</v>
          </cell>
          <cell r="BB26">
            <v>0.17260273973911999</v>
          </cell>
          <cell r="BC26">
            <v>1</v>
          </cell>
          <cell r="BD26">
            <v>0</v>
          </cell>
          <cell r="BE26">
            <v>0</v>
          </cell>
          <cell r="BF26">
            <v>0</v>
          </cell>
          <cell r="BG26">
            <v>1278.0600000000013</v>
          </cell>
          <cell r="BH26">
            <v>1278.0600000000013</v>
          </cell>
          <cell r="BI26">
            <v>-78659.114423076928</v>
          </cell>
          <cell r="BJ26">
            <v>2543251.31</v>
          </cell>
        </row>
        <row r="27">
          <cell r="B27" t="str">
            <v>3fl00004</v>
          </cell>
          <cell r="C27" t="str">
            <v>13281 NW 43rd Ave</v>
          </cell>
          <cell r="D27" t="str">
            <v>Unrealized</v>
          </cell>
          <cell r="E27" t="str">
            <v>Industrial Value Fund III</v>
          </cell>
          <cell r="F27" t="str">
            <v>USD</v>
          </cell>
          <cell r="G27" t="str">
            <v>Last Mile</v>
          </cell>
          <cell r="H27" t="str">
            <v>Miami</v>
          </cell>
          <cell r="I27" t="str">
            <v>Opa-Locka</v>
          </cell>
          <cell r="J27" t="str">
            <v>FL</v>
          </cell>
          <cell r="K27">
            <v>33054</v>
          </cell>
          <cell r="L27" t="str">
            <v>United States</v>
          </cell>
          <cell r="M27" t="str">
            <v>Miami-Fort Lauderdale-West Palm Beach, FL</v>
          </cell>
          <cell r="N27">
            <v>28341</v>
          </cell>
          <cell r="O27">
            <v>1</v>
          </cell>
          <cell r="P27" t="str">
            <v>Single Asset</v>
          </cell>
          <cell r="Q27" t="str">
            <v>Property - Private Equity</v>
          </cell>
          <cell r="R27" t="str">
            <v>Industrial</v>
          </cell>
          <cell r="S27" t="str">
            <v>Warehouse</v>
          </cell>
          <cell r="T27">
            <v>1988</v>
          </cell>
          <cell r="U27" t="str">
            <v>Sq. Feet</v>
          </cell>
          <cell r="V27" t="str">
            <v>Value-Add</v>
          </cell>
          <cell r="W27" t="str">
            <v>Industrial / Logistics</v>
          </cell>
          <cell r="X27" t="str">
            <v>Common Equity</v>
          </cell>
          <cell r="Y27">
            <v>349755.91333487997</v>
          </cell>
          <cell r="Z27">
            <v>376810.88074200001</v>
          </cell>
          <cell r="AA27">
            <v>4929349.8807420004</v>
          </cell>
          <cell r="AB27">
            <v>7.0953761002299207E-2</v>
          </cell>
          <cell r="AC27">
            <v>258583.75</v>
          </cell>
          <cell r="AD27">
            <v>5.7463055555555559E-2</v>
          </cell>
          <cell r="AE27">
            <v>0.05</v>
          </cell>
          <cell r="AF27">
            <v>0.16450000000000001</v>
          </cell>
          <cell r="AG27">
            <v>2.08</v>
          </cell>
          <cell r="AH27">
            <v>0.13150000000000001</v>
          </cell>
          <cell r="AI27">
            <v>2.04</v>
          </cell>
          <cell r="AJ27">
            <v>0.10844403238109424</v>
          </cell>
          <cell r="AK27">
            <v>0.1609854440761056</v>
          </cell>
          <cell r="AL27">
            <v>2.2299160951555552</v>
          </cell>
          <cell r="AM27">
            <v>7.8210304456159063E-2</v>
          </cell>
          <cell r="AN27">
            <v>0.125570591042512</v>
          </cell>
          <cell r="AO27">
            <v>1.9115417574119733</v>
          </cell>
          <cell r="AP27" t="str">
            <v>Unsolicited \ Off-market</v>
          </cell>
          <cell r="AQ27" t="str">
            <v>Rent Optimization</v>
          </cell>
          <cell r="AR27" t="str">
            <v>Stabilised</v>
          </cell>
          <cell r="AS27">
            <v>44774</v>
          </cell>
          <cell r="AT27">
            <v>4500000</v>
          </cell>
          <cell r="AU27">
            <v>4552539</v>
          </cell>
          <cell r="AV27">
            <v>284222.989092</v>
          </cell>
          <cell r="AW27">
            <v>240898.49999900023</v>
          </cell>
          <cell r="AX27">
            <v>6.316066424266667E-2</v>
          </cell>
          <cell r="AY27">
            <v>5.3532999999777828E-2</v>
          </cell>
          <cell r="AZ27">
            <v>8.5000021170741995</v>
          </cell>
          <cell r="BA27">
            <v>1</v>
          </cell>
          <cell r="BB27">
            <v>5</v>
          </cell>
          <cell r="BC27">
            <v>1</v>
          </cell>
          <cell r="BD27">
            <v>0</v>
          </cell>
          <cell r="BE27">
            <v>0</v>
          </cell>
          <cell r="BF27">
            <v>125392.31</v>
          </cell>
          <cell r="BG27">
            <v>221753.8</v>
          </cell>
          <cell r="BH27">
            <v>221753.8</v>
          </cell>
          <cell r="BI27">
            <v>280294.76999999996</v>
          </cell>
          <cell r="BJ27">
            <v>4552539</v>
          </cell>
        </row>
        <row r="28">
          <cell r="B28" t="str">
            <v>3tx00012</v>
          </cell>
          <cell r="C28" t="str">
            <v>4525 McEwen Road</v>
          </cell>
          <cell r="D28" t="str">
            <v>Unrealized</v>
          </cell>
          <cell r="E28" t="str">
            <v>Industrial Value Fund III</v>
          </cell>
          <cell r="F28" t="str">
            <v>USD</v>
          </cell>
          <cell r="G28" t="str">
            <v>Last Mile</v>
          </cell>
          <cell r="H28" t="str">
            <v>Dallas</v>
          </cell>
          <cell r="I28" t="str">
            <v>Farmers Branch</v>
          </cell>
          <cell r="J28" t="str">
            <v>TX</v>
          </cell>
          <cell r="K28">
            <v>75244</v>
          </cell>
          <cell r="L28" t="str">
            <v>United States</v>
          </cell>
          <cell r="M28" t="str">
            <v>Dallas-Fort Worth-Arlington, TX</v>
          </cell>
          <cell r="N28">
            <v>36122</v>
          </cell>
          <cell r="O28">
            <v>1</v>
          </cell>
          <cell r="P28" t="str">
            <v>Portfolio</v>
          </cell>
          <cell r="Q28" t="str">
            <v>Property - Private Equity</v>
          </cell>
          <cell r="R28" t="str">
            <v>Industrial</v>
          </cell>
          <cell r="S28" t="str">
            <v>Warehouse</v>
          </cell>
          <cell r="T28">
            <v>1968</v>
          </cell>
          <cell r="U28" t="str">
            <v>Sq. Feet</v>
          </cell>
          <cell r="V28" t="str">
            <v>Value-Add</v>
          </cell>
          <cell r="W28" t="str">
            <v>Industrial / Logistics</v>
          </cell>
          <cell r="X28" t="str">
            <v>Common Equity</v>
          </cell>
          <cell r="Y28">
            <v>415055.29908751987</v>
          </cell>
          <cell r="Z28">
            <v>507438.82754099992</v>
          </cell>
          <cell r="AA28">
            <v>4830761.8275410002</v>
          </cell>
          <cell r="AB28">
            <v>8.591922224797309E-2</v>
          </cell>
          <cell r="AC28">
            <v>340991.68</v>
          </cell>
          <cell r="AD28">
            <v>7.9300390697674417E-2</v>
          </cell>
          <cell r="AE28">
            <v>5.7500000000000002E-2</v>
          </cell>
          <cell r="AF28">
            <v>0.1704</v>
          </cell>
          <cell r="AG28">
            <v>2.41</v>
          </cell>
          <cell r="AH28">
            <v>0.12119999999999999</v>
          </cell>
          <cell r="AI28">
            <v>1.89</v>
          </cell>
          <cell r="AJ28">
            <v>0.15625275326125454</v>
          </cell>
          <cell r="AK28">
            <v>0.25483560013813111</v>
          </cell>
          <cell r="AL28">
            <v>2.6973917620980967</v>
          </cell>
          <cell r="AM28">
            <v>0.118082909383322</v>
          </cell>
          <cell r="AN28">
            <v>0.20695813960838505</v>
          </cell>
          <cell r="AO28">
            <v>2.2940749457206224</v>
          </cell>
          <cell r="AP28" t="str">
            <v>Unsolicited \ Off-market</v>
          </cell>
          <cell r="AQ28" t="str">
            <v>Rent Optimization</v>
          </cell>
          <cell r="AR28" t="str">
            <v>Leasing Strategy</v>
          </cell>
          <cell r="AS28">
            <v>45077</v>
          </cell>
          <cell r="AT28">
            <v>4300000</v>
          </cell>
          <cell r="AU28">
            <v>4323323</v>
          </cell>
          <cell r="AV28">
            <v>205627.839912</v>
          </cell>
          <cell r="AW28">
            <v>212827.53515900002</v>
          </cell>
          <cell r="AX28">
            <v>4.7820427886511627E-2</v>
          </cell>
          <cell r="AY28">
            <v>4.9494775618372101E-2</v>
          </cell>
          <cell r="AZ28">
            <v>5.6018758651237404</v>
          </cell>
          <cell r="BA28">
            <v>1</v>
          </cell>
          <cell r="BB28">
            <v>0.77118668622999798</v>
          </cell>
          <cell r="BC28">
            <v>1</v>
          </cell>
          <cell r="BD28">
            <v>0</v>
          </cell>
          <cell r="BE28">
            <v>0</v>
          </cell>
          <cell r="BF28">
            <v>0</v>
          </cell>
          <cell r="BG28">
            <v>139473.19</v>
          </cell>
          <cell r="BH28">
            <v>139473.19</v>
          </cell>
          <cell r="BI28">
            <v>279439.91465116281</v>
          </cell>
          <cell r="BJ28">
            <v>4385434.0999999996</v>
          </cell>
        </row>
        <row r="29">
          <cell r="B29" t="str">
            <v>3tx00013</v>
          </cell>
          <cell r="C29" t="str">
            <v>4450 Alpha Road</v>
          </cell>
          <cell r="D29" t="str">
            <v>Unrealized</v>
          </cell>
          <cell r="E29" t="str">
            <v>Industrial Value Fund III</v>
          </cell>
          <cell r="F29" t="str">
            <v>USD</v>
          </cell>
          <cell r="G29" t="str">
            <v>Last Mile</v>
          </cell>
          <cell r="H29" t="str">
            <v>Dallas</v>
          </cell>
          <cell r="I29" t="str">
            <v>Farmers Branch</v>
          </cell>
          <cell r="J29" t="str">
            <v>TX</v>
          </cell>
          <cell r="K29">
            <v>75244</v>
          </cell>
          <cell r="L29" t="str">
            <v>United States</v>
          </cell>
          <cell r="M29" t="str">
            <v>Dallas-Fort Worth-Arlington, TX</v>
          </cell>
          <cell r="N29">
            <v>81324</v>
          </cell>
          <cell r="O29">
            <v>1</v>
          </cell>
          <cell r="P29" t="str">
            <v>Portfolio</v>
          </cell>
          <cell r="Q29" t="str">
            <v>Property - Private Equity</v>
          </cell>
          <cell r="R29" t="str">
            <v>Industrial</v>
          </cell>
          <cell r="S29" t="str">
            <v>Warehouse</v>
          </cell>
          <cell r="T29">
            <v>1973</v>
          </cell>
          <cell r="U29" t="str">
            <v>Sq. Feet</v>
          </cell>
          <cell r="V29" t="str">
            <v>Value-Add</v>
          </cell>
          <cell r="W29" t="str">
            <v>Industrial / Logistics</v>
          </cell>
          <cell r="X29" t="str">
            <v>Common Equity</v>
          </cell>
          <cell r="Y29">
            <v>874766.03755112027</v>
          </cell>
          <cell r="Z29">
            <v>1203549.6311890001</v>
          </cell>
          <cell r="AA29">
            <v>11848493.631189</v>
          </cell>
          <cell r="AB29">
            <v>7.3829303941933863E-2</v>
          </cell>
          <cell r="AC29">
            <v>731916</v>
          </cell>
          <cell r="AD29">
            <v>6.9048679245283018E-2</v>
          </cell>
          <cell r="AE29">
            <v>5.7500000000000002E-2</v>
          </cell>
          <cell r="AF29">
            <v>0.1704</v>
          </cell>
          <cell r="AG29">
            <v>2.41</v>
          </cell>
          <cell r="AH29">
            <v>0.12119999999999999</v>
          </cell>
          <cell r="AI29">
            <v>1.89</v>
          </cell>
          <cell r="AJ29">
            <v>0.11893969044364971</v>
          </cell>
          <cell r="AK29">
            <v>0.18519968056403835</v>
          </cell>
          <cell r="AL29">
            <v>2.0570656588106808</v>
          </cell>
          <cell r="AM29">
            <v>8.5022436176455107E-2</v>
          </cell>
          <cell r="AN29">
            <v>0.14337432621731971</v>
          </cell>
          <cell r="AO29">
            <v>1.781624079930769</v>
          </cell>
          <cell r="AP29" t="str">
            <v>Unsolicited \ Off-market</v>
          </cell>
          <cell r="AQ29" t="str">
            <v>Rent Optimization</v>
          </cell>
          <cell r="AR29" t="str">
            <v>Stabilised</v>
          </cell>
          <cell r="AS29">
            <v>45077</v>
          </cell>
          <cell r="AT29">
            <v>10600000</v>
          </cell>
          <cell r="AU29">
            <v>10644944</v>
          </cell>
          <cell r="AV29">
            <v>695971.33025999996</v>
          </cell>
          <cell r="AW29">
            <v>692451.95999700064</v>
          </cell>
          <cell r="AX29">
            <v>6.5657672666037725E-2</v>
          </cell>
          <cell r="AY29">
            <v>6.5325656603490628E-2</v>
          </cell>
          <cell r="AZ29">
            <v>8.3879858344400091</v>
          </cell>
          <cell r="BA29">
            <v>1</v>
          </cell>
          <cell r="BB29">
            <v>5.9032170994786197</v>
          </cell>
          <cell r="BC29">
            <v>1</v>
          </cell>
          <cell r="BD29">
            <v>0</v>
          </cell>
          <cell r="BE29">
            <v>0</v>
          </cell>
          <cell r="BF29">
            <v>0</v>
          </cell>
          <cell r="BG29">
            <v>409459.44999999995</v>
          </cell>
          <cell r="BH29">
            <v>409459.44999999995</v>
          </cell>
          <cell r="BI29">
            <v>686332.33767441858</v>
          </cell>
          <cell r="BJ29">
            <v>10644944</v>
          </cell>
        </row>
        <row r="30">
          <cell r="B30" t="str">
            <v>3tx00011</v>
          </cell>
          <cell r="C30" t="str">
            <v>1101 Venture Ct.</v>
          </cell>
          <cell r="D30" t="str">
            <v>Unrealized</v>
          </cell>
          <cell r="E30" t="str">
            <v>Industrial Value Fund III</v>
          </cell>
          <cell r="F30" t="str">
            <v>USD</v>
          </cell>
          <cell r="G30" t="str">
            <v>Last Mile</v>
          </cell>
          <cell r="H30" t="str">
            <v>Dallas</v>
          </cell>
          <cell r="I30" t="str">
            <v>Carrollton</v>
          </cell>
          <cell r="J30" t="str">
            <v>TX</v>
          </cell>
          <cell r="K30">
            <v>75006</v>
          </cell>
          <cell r="L30" t="str">
            <v>United States</v>
          </cell>
          <cell r="M30" t="str">
            <v>Dallas-Fort Worth-Arlington, TX</v>
          </cell>
          <cell r="N30">
            <v>46310</v>
          </cell>
          <cell r="O30">
            <v>1</v>
          </cell>
          <cell r="P30" t="str">
            <v>Portfolio</v>
          </cell>
          <cell r="Q30" t="str">
            <v>Property - Private Equity</v>
          </cell>
          <cell r="R30" t="str">
            <v>Industrial</v>
          </cell>
          <cell r="S30" t="str">
            <v>Warehouse</v>
          </cell>
          <cell r="T30">
            <v>1981</v>
          </cell>
          <cell r="U30" t="str">
            <v>Sq. Feet</v>
          </cell>
          <cell r="V30" t="str">
            <v>Value-Add</v>
          </cell>
          <cell r="W30" t="str">
            <v>Industrial / Logistics</v>
          </cell>
          <cell r="X30" t="str">
            <v>Common Equity</v>
          </cell>
          <cell r="Y30">
            <v>521301.40356424003</v>
          </cell>
          <cell r="Z30">
            <v>1075616.9418869996</v>
          </cell>
          <cell r="AA30">
            <v>6230319.9418869996</v>
          </cell>
          <cell r="AB30">
            <v>8.3671690768155255E-2</v>
          </cell>
          <cell r="AC30">
            <v>428367.5</v>
          </cell>
          <cell r="AD30">
            <v>8.3632858258492773E-2</v>
          </cell>
          <cell r="AE30">
            <v>5.7500000000000002E-2</v>
          </cell>
          <cell r="AF30">
            <v>0.1704</v>
          </cell>
          <cell r="AG30">
            <v>2.41</v>
          </cell>
          <cell r="AH30">
            <v>0.12119999999999999</v>
          </cell>
          <cell r="AI30">
            <v>1.89</v>
          </cell>
          <cell r="AJ30">
            <v>0.14635594913102135</v>
          </cell>
          <cell r="AK30">
            <v>0.23609861447127756</v>
          </cell>
          <cell r="AL30">
            <v>2.5551333963169802</v>
          </cell>
          <cell r="AM30">
            <v>0.10927887489772026</v>
          </cell>
          <cell r="AN30">
            <v>0.18964511665051798</v>
          </cell>
          <cell r="AO30">
            <v>2.1794635282576365</v>
          </cell>
          <cell r="AP30" t="str">
            <v>Unsolicited \ Off-market</v>
          </cell>
          <cell r="AQ30" t="str">
            <v>Rent Optimization</v>
          </cell>
          <cell r="AR30" t="str">
            <v>Leasing Strategy</v>
          </cell>
          <cell r="AS30">
            <v>45077</v>
          </cell>
          <cell r="AT30">
            <v>5122000</v>
          </cell>
          <cell r="AU30">
            <v>5154703</v>
          </cell>
          <cell r="AV30">
            <v>309799.78764</v>
          </cell>
          <cell r="AW30">
            <v>220914.82431300002</v>
          </cell>
          <cell r="AX30">
            <v>6.0484144404529483E-2</v>
          </cell>
          <cell r="AY30">
            <v>4.3130578741311994E-2</v>
          </cell>
          <cell r="AZ30">
            <v>6.6807298639602601</v>
          </cell>
          <cell r="BA30">
            <v>1</v>
          </cell>
          <cell r="BB30">
            <v>0.70834998209889799</v>
          </cell>
          <cell r="BC30">
            <v>1</v>
          </cell>
          <cell r="BD30">
            <v>0</v>
          </cell>
          <cell r="BE30">
            <v>0</v>
          </cell>
          <cell r="BF30">
            <v>0</v>
          </cell>
          <cell r="BG30">
            <v>191075.94</v>
          </cell>
          <cell r="BH30">
            <v>191075.94</v>
          </cell>
          <cell r="BI30">
            <v>313481.31069767446</v>
          </cell>
          <cell r="BJ30">
            <v>5154703</v>
          </cell>
        </row>
        <row r="31">
          <cell r="B31" t="str">
            <v>3tx00010</v>
          </cell>
          <cell r="C31" t="str">
            <v>1501 Kings Road</v>
          </cell>
          <cell r="D31" t="str">
            <v>Unrealized</v>
          </cell>
          <cell r="E31" t="str">
            <v>Industrial Value Fund III</v>
          </cell>
          <cell r="F31" t="str">
            <v>USD</v>
          </cell>
          <cell r="G31" t="str">
            <v>Last Mile</v>
          </cell>
          <cell r="H31" t="str">
            <v>Dallas</v>
          </cell>
          <cell r="I31" t="str">
            <v>Garland</v>
          </cell>
          <cell r="J31" t="str">
            <v>TX</v>
          </cell>
          <cell r="K31">
            <v>75042</v>
          </cell>
          <cell r="L31" t="str">
            <v>United States</v>
          </cell>
          <cell r="M31" t="str">
            <v>Dallas-Fort Worth-Arlington, TX</v>
          </cell>
          <cell r="N31">
            <v>154923</v>
          </cell>
          <cell r="O31">
            <v>1</v>
          </cell>
          <cell r="P31" t="str">
            <v>Portfolio</v>
          </cell>
          <cell r="Q31" t="str">
            <v>Property - Private Equity</v>
          </cell>
          <cell r="R31" t="str">
            <v>Industrial</v>
          </cell>
          <cell r="S31" t="str">
            <v>Warehouse</v>
          </cell>
          <cell r="T31">
            <v>1978</v>
          </cell>
          <cell r="U31" t="str">
            <v>Sq. Feet</v>
          </cell>
          <cell r="V31" t="str">
            <v>Value-Add</v>
          </cell>
          <cell r="W31" t="str">
            <v>Industrial / Logistics</v>
          </cell>
          <cell r="X31" t="str">
            <v>Common Equity</v>
          </cell>
          <cell r="Y31">
            <v>1318080.6955700801</v>
          </cell>
          <cell r="Z31">
            <v>2548205.7455389993</v>
          </cell>
          <cell r="AA31">
            <v>16194593.745538998</v>
          </cell>
          <cell r="AB31">
            <v>8.1390167378120354E-2</v>
          </cell>
          <cell r="AC31">
            <v>1084461</v>
          </cell>
          <cell r="AD31">
            <v>7.9739779411764702E-2</v>
          </cell>
          <cell r="AE31">
            <v>5.7500000000000002E-2</v>
          </cell>
          <cell r="AF31">
            <v>0.1704</v>
          </cell>
          <cell r="AG31">
            <v>2.41</v>
          </cell>
          <cell r="AH31">
            <v>0.12119999999999999</v>
          </cell>
          <cell r="AI31">
            <v>1.89</v>
          </cell>
          <cell r="AJ31">
            <v>0.12455710119054486</v>
          </cell>
          <cell r="AK31">
            <v>0.18694000981772096</v>
          </cell>
          <cell r="AL31">
            <v>2.3166118332551258</v>
          </cell>
          <cell r="AM31">
            <v>9.1071045680860552E-2</v>
          </cell>
          <cell r="AN31">
            <v>0.1472178511403599</v>
          </cell>
          <cell r="AO31">
            <v>1.9875869905122816</v>
          </cell>
          <cell r="AP31" t="str">
            <v>Unsolicited \ Off-market</v>
          </cell>
          <cell r="AQ31" t="str">
            <v>Lease-up</v>
          </cell>
          <cell r="AR31" t="str">
            <v>Leasing Strategy</v>
          </cell>
          <cell r="AS31">
            <v>45077</v>
          </cell>
          <cell r="AT31">
            <v>13600000</v>
          </cell>
          <cell r="AU31">
            <v>13646388</v>
          </cell>
          <cell r="AV31">
            <v>-263223.43903199997</v>
          </cell>
          <cell r="AW31">
            <v>-271900.79525900015</v>
          </cell>
          <cell r="AX31">
            <v>-1.9354664634705879E-2</v>
          </cell>
          <cell r="AY31">
            <v>-1.9992705533750012E-2</v>
          </cell>
          <cell r="AZ31">
            <v>0</v>
          </cell>
          <cell r="BA31">
            <v>0</v>
          </cell>
          <cell r="BB31">
            <v>0</v>
          </cell>
          <cell r="BC31">
            <v>1</v>
          </cell>
          <cell r="BD31">
            <v>0</v>
          </cell>
          <cell r="BE31">
            <v>0</v>
          </cell>
          <cell r="BF31">
            <v>0</v>
          </cell>
          <cell r="BG31">
            <v>10365.829999999987</v>
          </cell>
          <cell r="BH31">
            <v>10365.829999999987</v>
          </cell>
          <cell r="BI31">
            <v>-303619.47790697671</v>
          </cell>
          <cell r="BJ31">
            <v>13774552.439999999</v>
          </cell>
        </row>
        <row r="32">
          <cell r="B32" t="str">
            <v>3oh00003</v>
          </cell>
          <cell r="C32" t="str">
            <v>3232 Allegheny Avenue</v>
          </cell>
          <cell r="D32" t="str">
            <v>Unrealized</v>
          </cell>
          <cell r="E32" t="str">
            <v>Industrial Value Fund III</v>
          </cell>
          <cell r="F32" t="str">
            <v>USD</v>
          </cell>
          <cell r="G32" t="str">
            <v>Last Mile</v>
          </cell>
          <cell r="H32" t="str">
            <v>Columbus</v>
          </cell>
          <cell r="I32" t="str">
            <v>Columbus</v>
          </cell>
          <cell r="J32" t="str">
            <v>OH</v>
          </cell>
          <cell r="K32">
            <v>43209</v>
          </cell>
          <cell r="L32" t="str">
            <v>United States</v>
          </cell>
          <cell r="M32" t="str">
            <v>Columbus, OH</v>
          </cell>
          <cell r="N32">
            <v>33466</v>
          </cell>
          <cell r="O32">
            <v>1</v>
          </cell>
          <cell r="P32" t="str">
            <v>Single Asset</v>
          </cell>
          <cell r="Q32" t="str">
            <v>Property - Private Equity</v>
          </cell>
          <cell r="R32" t="str">
            <v>Industrial</v>
          </cell>
          <cell r="S32" t="str">
            <v>Warehouse</v>
          </cell>
          <cell r="T32">
            <v>1961</v>
          </cell>
          <cell r="U32" t="str">
            <v>Sq. Feet</v>
          </cell>
          <cell r="V32" t="str">
            <v>Value-Add</v>
          </cell>
          <cell r="W32" t="str">
            <v>Industrial / Logistics</v>
          </cell>
          <cell r="X32" t="str">
            <v>Common Equity</v>
          </cell>
          <cell r="Y32">
            <v>258515.65740832005</v>
          </cell>
          <cell r="Z32">
            <v>1147067.954292</v>
          </cell>
          <cell r="AA32">
            <v>2990053.9542920003</v>
          </cell>
          <cell r="AB32">
            <v>8.6458525953098622E-2</v>
          </cell>
          <cell r="AC32">
            <v>217529</v>
          </cell>
          <cell r="AD32">
            <v>0.12084944444444444</v>
          </cell>
          <cell r="AE32">
            <v>6.25E-2</v>
          </cell>
          <cell r="AF32">
            <v>0.23370000000000002</v>
          </cell>
          <cell r="AG32">
            <v>2.08</v>
          </cell>
          <cell r="AH32">
            <v>0.1782</v>
          </cell>
          <cell r="AI32">
            <v>1.75</v>
          </cell>
          <cell r="AJ32">
            <v>0.17384218254571659</v>
          </cell>
          <cell r="AK32">
            <v>0.30689776837399485</v>
          </cell>
          <cell r="AL32">
            <v>2.4453976829613602</v>
          </cell>
          <cell r="AM32">
            <v>0.13145806184255471</v>
          </cell>
          <cell r="AN32">
            <v>0.25015633990975439</v>
          </cell>
          <cell r="AO32">
            <v>2.1031985223046714</v>
          </cell>
          <cell r="AP32" t="str">
            <v>Unsolicited \ Off-market</v>
          </cell>
          <cell r="AQ32" t="str">
            <v>Rent Optimization</v>
          </cell>
          <cell r="AR32" t="str">
            <v>Leasing Strategy</v>
          </cell>
          <cell r="AS32">
            <v>45064</v>
          </cell>
          <cell r="AT32">
            <v>1800000</v>
          </cell>
          <cell r="AU32">
            <v>1842986</v>
          </cell>
          <cell r="AV32">
            <v>193409.83935600001</v>
          </cell>
          <cell r="AW32">
            <v>192429.50000499992</v>
          </cell>
          <cell r="AX32">
            <v>0.10744991075333334</v>
          </cell>
          <cell r="AY32">
            <v>0.10690527778055552</v>
          </cell>
          <cell r="AZ32">
            <v>5.7499994023785304</v>
          </cell>
          <cell r="BA32">
            <v>1</v>
          </cell>
          <cell r="BB32">
            <v>3.0383561643757799</v>
          </cell>
          <cell r="BC32">
            <v>1</v>
          </cell>
          <cell r="BD32">
            <v>0</v>
          </cell>
          <cell r="BE32">
            <v>0</v>
          </cell>
          <cell r="BF32">
            <v>0</v>
          </cell>
          <cell r="BG32">
            <v>118754.23999999999</v>
          </cell>
          <cell r="BH32">
            <v>118754.23999999999</v>
          </cell>
          <cell r="BI32">
            <v>193677.75052631577</v>
          </cell>
          <cell r="BJ32">
            <v>1842986</v>
          </cell>
        </row>
        <row r="33">
          <cell r="B33" t="str">
            <v>3nj00009</v>
          </cell>
          <cell r="C33" t="str">
            <v>1654 High Hill Road</v>
          </cell>
          <cell r="D33" t="str">
            <v>Unrealized</v>
          </cell>
          <cell r="E33" t="str">
            <v>Industrial Value Fund III</v>
          </cell>
          <cell r="F33" t="str">
            <v>USD</v>
          </cell>
          <cell r="G33" t="str">
            <v>Last Mile</v>
          </cell>
          <cell r="H33" t="str">
            <v>Northern NJ/New York</v>
          </cell>
          <cell r="I33" t="str">
            <v>Swedesboro</v>
          </cell>
          <cell r="J33" t="str">
            <v>NJ</v>
          </cell>
          <cell r="K33" t="str">
            <v>08085</v>
          </cell>
          <cell r="L33" t="str">
            <v>United States</v>
          </cell>
          <cell r="M33" t="str">
            <v>Philadelphia-Camden-Wilmington, PA-NJ-DE-MD</v>
          </cell>
          <cell r="N33">
            <v>119093</v>
          </cell>
          <cell r="O33">
            <v>1</v>
          </cell>
          <cell r="P33" t="str">
            <v>Single Asset</v>
          </cell>
          <cell r="Q33" t="str">
            <v>Property - Private Equity</v>
          </cell>
          <cell r="R33" t="str">
            <v>Industrial</v>
          </cell>
          <cell r="S33" t="str">
            <v>Warehouse</v>
          </cell>
          <cell r="T33">
            <v>1984</v>
          </cell>
          <cell r="U33" t="str">
            <v>Sq. Feet</v>
          </cell>
          <cell r="V33" t="str">
            <v>Value-Add</v>
          </cell>
          <cell r="W33" t="str">
            <v>Industrial / Logistics</v>
          </cell>
          <cell r="X33" t="str">
            <v>Common Equity</v>
          </cell>
          <cell r="Y33">
            <v>1073653.1883168002</v>
          </cell>
          <cell r="Z33">
            <v>98893.884583000006</v>
          </cell>
          <cell r="AA33">
            <v>13216826.884583</v>
          </cell>
          <cell r="AB33">
            <v>8.1233808817544689E-2</v>
          </cell>
          <cell r="AC33">
            <v>874494</v>
          </cell>
          <cell r="AD33">
            <v>6.7011034482758622E-2</v>
          </cell>
          <cell r="AE33">
            <v>5.7500000000000002E-2</v>
          </cell>
          <cell r="AF33">
            <v>0.2029</v>
          </cell>
          <cell r="AG33">
            <v>2.6</v>
          </cell>
          <cell r="AH33">
            <v>0.16239999999999999</v>
          </cell>
          <cell r="AI33">
            <v>2.21</v>
          </cell>
          <cell r="AJ33">
            <v>0.1466759199435872</v>
          </cell>
          <cell r="AK33">
            <v>0.24104485162552214</v>
          </cell>
          <cell r="AL33">
            <v>2.5396684600543398</v>
          </cell>
          <cell r="AM33">
            <v>0.10902208100384958</v>
          </cell>
          <cell r="AN33">
            <v>0.19337200457158277</v>
          </cell>
          <cell r="AO33">
            <v>2.1640088401480049</v>
          </cell>
          <cell r="AP33" t="str">
            <v>Market deal</v>
          </cell>
          <cell r="AQ33" t="str">
            <v>Renewal / Re-tenant</v>
          </cell>
          <cell r="AR33" t="str">
            <v>Stabilised</v>
          </cell>
          <cell r="AS33">
            <v>45048</v>
          </cell>
          <cell r="AT33">
            <v>13050000</v>
          </cell>
          <cell r="AU33">
            <v>13117933</v>
          </cell>
          <cell r="AV33">
            <v>899234.04604800011</v>
          </cell>
          <cell r="AW33">
            <v>909572.78665899928</v>
          </cell>
          <cell r="AX33">
            <v>6.8906823451954036E-2</v>
          </cell>
          <cell r="AY33">
            <v>6.9699064111800713E-2</v>
          </cell>
          <cell r="AZ33">
            <v>7.5000005038079403</v>
          </cell>
          <cell r="BA33">
            <v>1</v>
          </cell>
          <cell r="BB33">
            <v>9.8356164383548901</v>
          </cell>
          <cell r="BC33">
            <v>1</v>
          </cell>
          <cell r="BD33">
            <v>0</v>
          </cell>
          <cell r="BE33">
            <v>0</v>
          </cell>
          <cell r="BF33">
            <v>0</v>
          </cell>
          <cell r="BG33">
            <v>566143.42000000004</v>
          </cell>
          <cell r="BH33">
            <v>566143.42000000004</v>
          </cell>
          <cell r="BI33">
            <v>952380.78127049177</v>
          </cell>
          <cell r="BJ33">
            <v>13117933</v>
          </cell>
        </row>
        <row r="34">
          <cell r="B34" t="str">
            <v>3nj00007</v>
          </cell>
          <cell r="C34" t="str">
            <v>1145 Edgewater Avenue</v>
          </cell>
          <cell r="D34" t="str">
            <v>Unrealized</v>
          </cell>
          <cell r="E34" t="str">
            <v>Industrial Value Fund III</v>
          </cell>
          <cell r="F34" t="str">
            <v>USD</v>
          </cell>
          <cell r="G34" t="str">
            <v>Last Mile</v>
          </cell>
          <cell r="H34" t="str">
            <v>Northern NJ/New York</v>
          </cell>
          <cell r="I34" t="str">
            <v>Ridgefield</v>
          </cell>
          <cell r="J34" t="str">
            <v>NJ</v>
          </cell>
          <cell r="K34" t="str">
            <v>07657</v>
          </cell>
          <cell r="L34" t="str">
            <v>United States</v>
          </cell>
          <cell r="M34" t="str">
            <v>New York-Newark-Jersey City, NY-NJ-PA</v>
          </cell>
          <cell r="N34">
            <v>56628</v>
          </cell>
          <cell r="O34">
            <v>1</v>
          </cell>
          <cell r="P34" t="str">
            <v>Portfolio</v>
          </cell>
          <cell r="Q34" t="str">
            <v>Property - Private Equity</v>
          </cell>
          <cell r="R34" t="str">
            <v>Industrial</v>
          </cell>
          <cell r="S34" t="str">
            <v>Warehouse</v>
          </cell>
          <cell r="T34">
            <v>1975</v>
          </cell>
          <cell r="U34" t="str">
            <v>Sq. Feet</v>
          </cell>
          <cell r="V34" t="str">
            <v>Value-Add</v>
          </cell>
          <cell r="W34" t="str">
            <v>Industrial / Logistics</v>
          </cell>
          <cell r="X34" t="str">
            <v>Common Equity</v>
          </cell>
          <cell r="Y34">
            <v>1225271.1800773607</v>
          </cell>
          <cell r="Z34">
            <v>0</v>
          </cell>
          <cell r="AA34">
            <v>14456066</v>
          </cell>
          <cell r="AB34">
            <v>8.4758272415009772E-2</v>
          </cell>
          <cell r="AC34">
            <v>907184.25</v>
          </cell>
          <cell r="AD34">
            <v>6.4079694853298244E-2</v>
          </cell>
          <cell r="AE34">
            <v>0.06</v>
          </cell>
          <cell r="AF34">
            <v>0.18789999999999998</v>
          </cell>
          <cell r="AG34">
            <v>2.39</v>
          </cell>
          <cell r="AH34">
            <v>0.1484</v>
          </cell>
          <cell r="AI34">
            <v>2.04</v>
          </cell>
          <cell r="AJ34">
            <v>0.15217246461182121</v>
          </cell>
          <cell r="AK34">
            <v>0.25406084324506395</v>
          </cell>
          <cell r="AL34">
            <v>2.5973002878158473</v>
          </cell>
          <cell r="AM34">
            <v>0.11342223868916235</v>
          </cell>
          <cell r="AN34">
            <v>0.20449898416256174</v>
          </cell>
          <cell r="AO34">
            <v>2.2091279014855543</v>
          </cell>
          <cell r="AP34" t="str">
            <v>Unsolicited \ Off-market</v>
          </cell>
          <cell r="AQ34" t="str">
            <v>Renewal / Re-tenant</v>
          </cell>
          <cell r="AR34" t="str">
            <v>Stabilised</v>
          </cell>
          <cell r="AS34">
            <v>45026</v>
          </cell>
          <cell r="AT34">
            <v>14157125</v>
          </cell>
          <cell r="AU34">
            <v>14456066</v>
          </cell>
          <cell r="AV34">
            <v>1142382.0243239999</v>
          </cell>
          <cell r="AW34">
            <v>1095784.1019989997</v>
          </cell>
          <cell r="AX34">
            <v>8.0693080291655256E-2</v>
          </cell>
          <cell r="AY34">
            <v>7.7401598276415559E-2</v>
          </cell>
          <cell r="AZ34">
            <v>19.248429752066102</v>
          </cell>
          <cell r="BA34">
            <v>1</v>
          </cell>
          <cell r="BB34">
            <v>12.983561643833401</v>
          </cell>
          <cell r="BC34">
            <v>1</v>
          </cell>
          <cell r="BD34">
            <v>0</v>
          </cell>
          <cell r="BE34">
            <v>0</v>
          </cell>
          <cell r="BF34">
            <v>0</v>
          </cell>
          <cell r="BG34">
            <v>772687.47</v>
          </cell>
          <cell r="BH34">
            <v>772687.47</v>
          </cell>
          <cell r="BI34">
            <v>1020952.1940601504</v>
          </cell>
          <cell r="BJ34">
            <v>14456066</v>
          </cell>
        </row>
        <row r="35">
          <cell r="B35" t="str">
            <v>3nj00008</v>
          </cell>
          <cell r="C35" t="str">
            <v>1125 Hendricks Causeway</v>
          </cell>
          <cell r="D35" t="str">
            <v>Unrealized</v>
          </cell>
          <cell r="E35" t="str">
            <v>Industrial Value Fund III</v>
          </cell>
          <cell r="F35" t="str">
            <v>USD</v>
          </cell>
          <cell r="G35" t="str">
            <v>Last Mile</v>
          </cell>
          <cell r="H35" t="str">
            <v>Northern NJ/New York</v>
          </cell>
          <cell r="I35" t="str">
            <v>Ridgefield</v>
          </cell>
          <cell r="J35" t="str">
            <v>NJ</v>
          </cell>
          <cell r="K35" t="str">
            <v>07657</v>
          </cell>
          <cell r="L35" t="str">
            <v>United States</v>
          </cell>
          <cell r="M35" t="str">
            <v>New York-Newark-Jersey City, NY-NJ-PA</v>
          </cell>
          <cell r="N35">
            <v>56629</v>
          </cell>
          <cell r="O35">
            <v>1</v>
          </cell>
          <cell r="P35" t="str">
            <v>Portfolio</v>
          </cell>
          <cell r="Q35" t="str">
            <v>Property - Private Equity</v>
          </cell>
          <cell r="R35" t="str">
            <v>Industrial</v>
          </cell>
          <cell r="S35" t="str">
            <v>Warehouse</v>
          </cell>
          <cell r="T35">
            <v>1950</v>
          </cell>
          <cell r="U35" t="str">
            <v>Sq. Feet</v>
          </cell>
          <cell r="V35" t="str">
            <v>Value-Add</v>
          </cell>
          <cell r="W35" t="str">
            <v>Industrial / Logistics</v>
          </cell>
          <cell r="X35" t="str">
            <v>Common Equity</v>
          </cell>
          <cell r="Y35">
            <v>1212340.0024943992</v>
          </cell>
          <cell r="Z35">
            <v>0</v>
          </cell>
          <cell r="AA35">
            <v>14455534</v>
          </cell>
          <cell r="AB35">
            <v>8.3866843140792943E-2</v>
          </cell>
          <cell r="AC35">
            <v>845700</v>
          </cell>
          <cell r="AD35">
            <v>5.9736705016025501E-2</v>
          </cell>
          <cell r="AE35">
            <v>6.25E-2</v>
          </cell>
          <cell r="AF35">
            <v>0.18789999999999998</v>
          </cell>
          <cell r="AG35">
            <v>2.39</v>
          </cell>
          <cell r="AH35">
            <v>0.1484</v>
          </cell>
          <cell r="AI35">
            <v>2.04</v>
          </cell>
          <cell r="AJ35">
            <v>0.1414815588269176</v>
          </cell>
          <cell r="AK35">
            <v>0.23327238478166756</v>
          </cell>
          <cell r="AL35">
            <v>2.4109895245156063</v>
          </cell>
          <cell r="AM35">
            <v>0.10397845135911865</v>
          </cell>
          <cell r="AN35">
            <v>0.18557924744150145</v>
          </cell>
          <cell r="AO35">
            <v>2.0600792908453611</v>
          </cell>
          <cell r="AP35" t="str">
            <v>Unsolicited \ Off-market</v>
          </cell>
          <cell r="AQ35" t="str">
            <v>Renewal / Re-tenant</v>
          </cell>
          <cell r="AR35" t="str">
            <v>Stabilised</v>
          </cell>
          <cell r="AS35">
            <v>45026</v>
          </cell>
          <cell r="AT35">
            <v>14157125</v>
          </cell>
          <cell r="AU35">
            <v>14455534</v>
          </cell>
          <cell r="AV35">
            <v>1127602.6718400002</v>
          </cell>
          <cell r="AW35">
            <v>1084215.9099989976</v>
          </cell>
          <cell r="AX35">
            <v>7.9649128748951512E-2</v>
          </cell>
          <cell r="AY35">
            <v>7.6584469657433804E-2</v>
          </cell>
          <cell r="AZ35">
            <v>19.248089847957701</v>
          </cell>
          <cell r="BA35">
            <v>1</v>
          </cell>
          <cell r="BB35">
            <v>12.9835616438397</v>
          </cell>
          <cell r="BC35">
            <v>1</v>
          </cell>
          <cell r="BD35">
            <v>0</v>
          </cell>
          <cell r="BE35">
            <v>0</v>
          </cell>
          <cell r="BF35">
            <v>0</v>
          </cell>
          <cell r="BG35">
            <v>771262.54</v>
          </cell>
          <cell r="BH35">
            <v>771262.54</v>
          </cell>
          <cell r="BI35">
            <v>1027367.2912781956</v>
          </cell>
          <cell r="BJ35">
            <v>14455534</v>
          </cell>
        </row>
        <row r="36">
          <cell r="B36" t="str">
            <v>3nj00001</v>
          </cell>
          <cell r="C36" t="str">
            <v>1000 Brighton Street</v>
          </cell>
          <cell r="D36" t="str">
            <v>Unrealized</v>
          </cell>
          <cell r="E36" t="str">
            <v>Industrial Value Fund III</v>
          </cell>
          <cell r="F36" t="str">
            <v>USD</v>
          </cell>
          <cell r="G36" t="str">
            <v>Last Mile</v>
          </cell>
          <cell r="H36" t="str">
            <v>Northern NJ/New York</v>
          </cell>
          <cell r="I36" t="str">
            <v>Union</v>
          </cell>
          <cell r="J36" t="str">
            <v>NJ</v>
          </cell>
          <cell r="K36" t="str">
            <v>07083</v>
          </cell>
          <cell r="L36" t="str">
            <v>United States</v>
          </cell>
          <cell r="M36" t="str">
            <v>New York-Newark-Jersey City, NY-NJ-PA</v>
          </cell>
          <cell r="N36">
            <v>30812</v>
          </cell>
          <cell r="O36">
            <v>1</v>
          </cell>
          <cell r="P36" t="str">
            <v>Single Asset</v>
          </cell>
          <cell r="Q36" t="str">
            <v>Property - Private Equity</v>
          </cell>
          <cell r="R36" t="str">
            <v>Industrial</v>
          </cell>
          <cell r="S36" t="str">
            <v>Warehouse</v>
          </cell>
          <cell r="T36">
            <v>1954</v>
          </cell>
          <cell r="U36" t="str">
            <v>Sq. Feet</v>
          </cell>
          <cell r="V36" t="str">
            <v>Value-Add</v>
          </cell>
          <cell r="W36" t="str">
            <v>Industrial / Logistics</v>
          </cell>
          <cell r="X36" t="str">
            <v>Common Equity</v>
          </cell>
          <cell r="Y36">
            <v>559803.5149532801</v>
          </cell>
          <cell r="Z36">
            <v>251177.07618</v>
          </cell>
          <cell r="AA36">
            <v>6881831.0761799999</v>
          </cell>
          <cell r="AB36">
            <v>8.1345140378542763E-2</v>
          </cell>
          <cell r="AC36">
            <v>415962</v>
          </cell>
          <cell r="AD36">
            <v>6.331654023258472E-2</v>
          </cell>
          <cell r="AE36">
            <v>0.05</v>
          </cell>
          <cell r="AF36">
            <v>0.20710000000000001</v>
          </cell>
          <cell r="AG36">
            <v>3.08</v>
          </cell>
          <cell r="AH36">
            <v>0.17460000000000001</v>
          </cell>
          <cell r="AI36">
            <v>2.61</v>
          </cell>
          <cell r="AJ36">
            <v>0.14468020174342078</v>
          </cell>
          <cell r="AK36">
            <v>0.22966721597588968</v>
          </cell>
          <cell r="AL36">
            <v>2.9879941023161201</v>
          </cell>
          <cell r="AM36">
            <v>0.10944853755585404</v>
          </cell>
          <cell r="AN36">
            <v>0.18693577849935328</v>
          </cell>
          <cell r="AO36">
            <v>2.5125992942309581</v>
          </cell>
          <cell r="AP36" t="str">
            <v>Unsolicited \ Off-market</v>
          </cell>
          <cell r="AQ36" t="str">
            <v>Rent Optimization</v>
          </cell>
          <cell r="AR36" t="str">
            <v>Leasing Strategy</v>
          </cell>
          <cell r="AS36">
            <v>44684</v>
          </cell>
          <cell r="AT36">
            <v>6569563</v>
          </cell>
          <cell r="AU36">
            <v>6630654</v>
          </cell>
          <cell r="AV36">
            <v>369854.92320000002</v>
          </cell>
          <cell r="AW36">
            <v>373441.44000000012</v>
          </cell>
          <cell r="AX36">
            <v>5.6298253506359558E-2</v>
          </cell>
          <cell r="AY36">
            <v>5.6844182786587191E-2</v>
          </cell>
          <cell r="AZ36">
            <v>12</v>
          </cell>
          <cell r="BA36">
            <v>1</v>
          </cell>
          <cell r="BB36">
            <v>4.6657534246722001</v>
          </cell>
          <cell r="BC36">
            <v>1</v>
          </cell>
          <cell r="BD36">
            <v>0</v>
          </cell>
          <cell r="BE36">
            <v>0</v>
          </cell>
          <cell r="BF36">
            <v>227808.58</v>
          </cell>
          <cell r="BG36">
            <v>403461.04000000004</v>
          </cell>
          <cell r="BH36">
            <v>403461.04000000004</v>
          </cell>
          <cell r="BI36">
            <v>385089.52999999997</v>
          </cell>
          <cell r="BJ36">
            <v>6630654</v>
          </cell>
        </row>
        <row r="37">
          <cell r="B37" t="str">
            <v>3fl00001</v>
          </cell>
          <cell r="C37" t="str">
            <v>14735 NW 25th Court</v>
          </cell>
          <cell r="D37" t="str">
            <v>Unrealized</v>
          </cell>
          <cell r="E37" t="str">
            <v>Industrial Value Fund III</v>
          </cell>
          <cell r="F37" t="str">
            <v>USD</v>
          </cell>
          <cell r="G37" t="str">
            <v>Last Mile</v>
          </cell>
          <cell r="H37" t="str">
            <v>Miami</v>
          </cell>
          <cell r="I37" t="str">
            <v>Opa-Locka</v>
          </cell>
          <cell r="J37" t="str">
            <v>FL</v>
          </cell>
          <cell r="K37">
            <v>33054</v>
          </cell>
          <cell r="L37" t="str">
            <v>United States</v>
          </cell>
          <cell r="M37" t="str">
            <v>Miami-Fort Lauderdale-West Palm Beach, FL</v>
          </cell>
          <cell r="N37">
            <v>25327</v>
          </cell>
          <cell r="O37">
            <v>1</v>
          </cell>
          <cell r="P37" t="str">
            <v>Single Asset</v>
          </cell>
          <cell r="Q37" t="str">
            <v>Property - Private Equity</v>
          </cell>
          <cell r="R37" t="str">
            <v>Industrial</v>
          </cell>
          <cell r="S37" t="str">
            <v>Warehouse</v>
          </cell>
          <cell r="T37">
            <v>1967</v>
          </cell>
          <cell r="U37" t="str">
            <v>Sq. Feet</v>
          </cell>
          <cell r="V37" t="str">
            <v>Value-Add</v>
          </cell>
          <cell r="W37" t="str">
            <v>Industrial / Logistics</v>
          </cell>
          <cell r="X37" t="str">
            <v>Common Equity</v>
          </cell>
          <cell r="Y37">
            <v>301305.90277528006</v>
          </cell>
          <cell r="Z37">
            <v>734331.4721619999</v>
          </cell>
          <cell r="AA37">
            <v>4175251.4721619999</v>
          </cell>
          <cell r="AB37">
            <v>7.2164731821353009E-2</v>
          </cell>
          <cell r="AC37">
            <v>219747.5</v>
          </cell>
          <cell r="AD37">
            <v>6.4631617647058826E-2</v>
          </cell>
          <cell r="AE37">
            <v>0.05</v>
          </cell>
          <cell r="AF37">
            <v>0.1691</v>
          </cell>
          <cell r="AG37">
            <v>2.31</v>
          </cell>
          <cell r="AH37">
            <v>0.13769999999999999</v>
          </cell>
          <cell r="AI37">
            <v>2.0299999999999998</v>
          </cell>
          <cell r="AJ37">
            <v>0.12392063279228838</v>
          </cell>
          <cell r="AK37">
            <v>0.19376719254622188</v>
          </cell>
          <cell r="AL37">
            <v>2.4631225684355695</v>
          </cell>
          <cell r="AM37">
            <v>9.0769730935394088E-2</v>
          </cell>
          <cell r="AN37">
            <v>0.15360886904270621</v>
          </cell>
          <cell r="AO37">
            <v>2.0946304255970909</v>
          </cell>
          <cell r="AP37" t="str">
            <v>Unsolicited \ Off-market</v>
          </cell>
          <cell r="AQ37" t="str">
            <v>Rent Optimization</v>
          </cell>
          <cell r="AR37" t="str">
            <v>Leasing Strategy</v>
          </cell>
          <cell r="AS37">
            <v>44687</v>
          </cell>
          <cell r="AT37">
            <v>3400000</v>
          </cell>
          <cell r="AU37">
            <v>3440920</v>
          </cell>
          <cell r="AV37">
            <v>344784.77941999998</v>
          </cell>
          <cell r="AW37">
            <v>214407.79197299998</v>
          </cell>
          <cell r="AX37">
            <v>0.10140728806470588</v>
          </cell>
          <cell r="AY37">
            <v>6.3061115286176472E-2</v>
          </cell>
          <cell r="AZ37">
            <v>9.5068314447032805</v>
          </cell>
          <cell r="BA37">
            <v>1</v>
          </cell>
          <cell r="BB37">
            <v>0.50410958905515801</v>
          </cell>
          <cell r="BC37">
            <v>1</v>
          </cell>
          <cell r="BD37">
            <v>0</v>
          </cell>
          <cell r="BE37">
            <v>0</v>
          </cell>
          <cell r="BF37">
            <v>203476.93000000002</v>
          </cell>
          <cell r="BG37">
            <v>242133.53999999998</v>
          </cell>
          <cell r="BH37">
            <v>242133.53999999998</v>
          </cell>
          <cell r="BI37">
            <v>239359.45</v>
          </cell>
          <cell r="BJ37">
            <v>3707472.01</v>
          </cell>
        </row>
        <row r="38">
          <cell r="B38" t="str">
            <v>3md00001</v>
          </cell>
          <cell r="C38" t="str">
            <v>9176 Red Branch</v>
          </cell>
          <cell r="D38" t="str">
            <v>Unrealized</v>
          </cell>
          <cell r="E38" t="str">
            <v>Industrial Value Fund III</v>
          </cell>
          <cell r="F38" t="str">
            <v>USD</v>
          </cell>
          <cell r="G38" t="str">
            <v>Last Mile</v>
          </cell>
          <cell r="H38" t="str">
            <v>Baltimore</v>
          </cell>
          <cell r="I38" t="str">
            <v>Columbia</v>
          </cell>
          <cell r="J38" t="str">
            <v>MD</v>
          </cell>
          <cell r="K38">
            <v>21045</v>
          </cell>
          <cell r="L38" t="str">
            <v>United States</v>
          </cell>
          <cell r="M38" t="str">
            <v>Baltimore-Columbia-Towson, MD</v>
          </cell>
          <cell r="N38">
            <v>81319</v>
          </cell>
          <cell r="O38">
            <v>1</v>
          </cell>
          <cell r="P38" t="str">
            <v>Single Asset</v>
          </cell>
          <cell r="Q38" t="str">
            <v>Property - Private Equity</v>
          </cell>
          <cell r="R38" t="str">
            <v>Industrial</v>
          </cell>
          <cell r="S38" t="str">
            <v>Warehouse</v>
          </cell>
          <cell r="T38">
            <v>1973</v>
          </cell>
          <cell r="U38" t="str">
            <v>Sq. Feet</v>
          </cell>
          <cell r="V38" t="str">
            <v>Value-Add</v>
          </cell>
          <cell r="W38" t="str">
            <v>Industrial / Logistics</v>
          </cell>
          <cell r="X38" t="str">
            <v>Common Equity</v>
          </cell>
          <cell r="Y38">
            <v>1178068.7002312797</v>
          </cell>
          <cell r="Z38">
            <v>1406304.3411380001</v>
          </cell>
          <cell r="AA38">
            <v>11100056.341138</v>
          </cell>
          <cell r="AB38">
            <v>0.10613177663479335</v>
          </cell>
          <cell r="AC38">
            <v>972804</v>
          </cell>
          <cell r="AD38">
            <v>0.10218529411764705</v>
          </cell>
          <cell r="AE38">
            <v>7.9600000000000004E-2</v>
          </cell>
          <cell r="AF38">
            <v>0.2102</v>
          </cell>
          <cell r="AG38">
            <v>2.79</v>
          </cell>
          <cell r="AH38">
            <v>0.17119999999999999</v>
          </cell>
          <cell r="AI38">
            <v>2.4300000000000002</v>
          </cell>
          <cell r="AJ38">
            <v>0.14184590806237063</v>
          </cell>
          <cell r="AK38">
            <v>0.2377666566590646</v>
          </cell>
          <cell r="AL38">
            <v>2.618259512679495</v>
          </cell>
          <cell r="AM38">
            <v>0.1062967237343766</v>
          </cell>
          <cell r="AN38">
            <v>0.19348364080322877</v>
          </cell>
          <cell r="AO38">
            <v>2.2227479527883927</v>
          </cell>
          <cell r="AP38" t="str">
            <v>Market deal</v>
          </cell>
          <cell r="AQ38" t="str">
            <v>Rent Optimization</v>
          </cell>
          <cell r="AR38" t="str">
            <v>Leasing Strategy</v>
          </cell>
          <cell r="AS38">
            <v>44715</v>
          </cell>
          <cell r="AT38">
            <v>9520000</v>
          </cell>
          <cell r="AU38">
            <v>9693752</v>
          </cell>
          <cell r="AV38">
            <v>718198.73595600016</v>
          </cell>
          <cell r="AW38">
            <v>758110.1129980007</v>
          </cell>
          <cell r="AX38">
            <v>7.544104369285716E-2</v>
          </cell>
          <cell r="AY38">
            <v>7.9633415230882423E-2</v>
          </cell>
          <cell r="AZ38">
            <v>10.340248862361101</v>
          </cell>
          <cell r="BA38">
            <v>1</v>
          </cell>
          <cell r="BB38">
            <v>2.37324583488512</v>
          </cell>
          <cell r="BC38">
            <v>1</v>
          </cell>
          <cell r="BD38">
            <v>0</v>
          </cell>
          <cell r="BE38">
            <v>0</v>
          </cell>
          <cell r="BF38">
            <v>635270.1</v>
          </cell>
          <cell r="BG38">
            <v>722430.79</v>
          </cell>
          <cell r="BH38">
            <v>722430.79</v>
          </cell>
          <cell r="BI38">
            <v>601615.82000000007</v>
          </cell>
          <cell r="BJ38">
            <v>9772433.6699999999</v>
          </cell>
        </row>
        <row r="39">
          <cell r="B39" t="str">
            <v>3ga00001</v>
          </cell>
          <cell r="C39" t="str">
            <v>2160 Hills Avenue</v>
          </cell>
          <cell r="D39" t="str">
            <v>Unrealized</v>
          </cell>
          <cell r="E39" t="str">
            <v>Industrial Value Fund III</v>
          </cell>
          <cell r="F39" t="str">
            <v>USD</v>
          </cell>
          <cell r="G39" t="str">
            <v>Last Mile</v>
          </cell>
          <cell r="H39" t="str">
            <v>Atlanta</v>
          </cell>
          <cell r="I39" t="str">
            <v>Atlanta</v>
          </cell>
          <cell r="J39" t="str">
            <v>GA</v>
          </cell>
          <cell r="K39">
            <v>30318</v>
          </cell>
          <cell r="L39" t="str">
            <v>United States</v>
          </cell>
          <cell r="M39" t="str">
            <v>Atlanta-Sandy Springs-Roswell, GA</v>
          </cell>
          <cell r="N39">
            <v>32287</v>
          </cell>
          <cell r="O39">
            <v>1</v>
          </cell>
          <cell r="P39" t="str">
            <v>Single Asset</v>
          </cell>
          <cell r="Q39" t="str">
            <v>Property - Private Equity</v>
          </cell>
          <cell r="R39" t="str">
            <v>Industrial</v>
          </cell>
          <cell r="S39" t="str">
            <v>Warehouse</v>
          </cell>
          <cell r="T39">
            <v>1968</v>
          </cell>
          <cell r="U39" t="str">
            <v>Sq. Feet</v>
          </cell>
          <cell r="V39" t="str">
            <v>Value-Add</v>
          </cell>
          <cell r="W39" t="str">
            <v>Industrial / Logistics</v>
          </cell>
          <cell r="X39" t="str">
            <v>Common Equity</v>
          </cell>
          <cell r="Y39">
            <v>485380.20662664005</v>
          </cell>
          <cell r="Z39">
            <v>679249.41928600008</v>
          </cell>
          <cell r="AA39">
            <v>6798189.4192859996</v>
          </cell>
          <cell r="AB39">
            <v>7.1398452836522838E-2</v>
          </cell>
          <cell r="AC39">
            <v>383724</v>
          </cell>
          <cell r="AD39">
            <v>6.3157894736842107E-2</v>
          </cell>
          <cell r="AE39">
            <v>0.05</v>
          </cell>
          <cell r="AF39">
            <v>0.17369999999999999</v>
          </cell>
          <cell r="AG39">
            <v>2.59</v>
          </cell>
          <cell r="AH39">
            <v>0.1406</v>
          </cell>
          <cell r="AI39">
            <v>2.23</v>
          </cell>
          <cell r="AJ39">
            <v>0.11096383692601552</v>
          </cell>
          <cell r="AK39">
            <v>0.16325086171937331</v>
          </cell>
          <cell r="AL39">
            <v>2.3092280998049644</v>
          </cell>
          <cell r="AM39">
            <v>8.0185068095921075E-2</v>
          </cell>
          <cell r="AN39">
            <v>0.12762826476912248</v>
          </cell>
          <cell r="AO39">
            <v>1.9720067075972927</v>
          </cell>
          <cell r="AP39" t="str">
            <v>Unsolicited \ Off-market</v>
          </cell>
          <cell r="AQ39" t="str">
            <v>Rent Optimization</v>
          </cell>
          <cell r="AR39" t="str">
            <v>Leasing Strategy</v>
          </cell>
          <cell r="AS39">
            <v>44727</v>
          </cell>
          <cell r="AT39">
            <v>6075630</v>
          </cell>
          <cell r="AU39">
            <v>6118940</v>
          </cell>
          <cell r="AV39">
            <v>108922.28680799999</v>
          </cell>
          <cell r="AW39">
            <v>123538.95427699987</v>
          </cell>
          <cell r="AX39">
            <v>1.7927735363740056E-2</v>
          </cell>
          <cell r="AY39">
            <v>2.0333521672155786E-2</v>
          </cell>
          <cell r="AZ39">
            <v>6.4198457583547501</v>
          </cell>
          <cell r="BA39">
            <v>1</v>
          </cell>
          <cell r="BB39">
            <v>0.72973668098615496</v>
          </cell>
          <cell r="BC39">
            <v>1</v>
          </cell>
          <cell r="BD39">
            <v>0</v>
          </cell>
          <cell r="BE39">
            <v>0</v>
          </cell>
          <cell r="BF39">
            <v>44564.58</v>
          </cell>
          <cell r="BG39">
            <v>235101.23000000004</v>
          </cell>
          <cell r="BH39">
            <v>235101.23000000004</v>
          </cell>
          <cell r="BI39">
            <v>376133.04000000004</v>
          </cell>
          <cell r="BJ39">
            <v>6683358.3399999999</v>
          </cell>
        </row>
        <row r="40">
          <cell r="B40" t="str">
            <v>3pa00001</v>
          </cell>
          <cell r="C40" t="str">
            <v>9 S. Forrest Avenue</v>
          </cell>
          <cell r="D40" t="str">
            <v>Unrealized</v>
          </cell>
          <cell r="E40" t="str">
            <v>Industrial Value Fund III</v>
          </cell>
          <cell r="F40" t="str">
            <v>USD</v>
          </cell>
          <cell r="G40" t="str">
            <v>Last Mile</v>
          </cell>
          <cell r="H40" t="str">
            <v>Philadelphia</v>
          </cell>
          <cell r="I40" t="str">
            <v>Norristown</v>
          </cell>
          <cell r="J40" t="str">
            <v>PA</v>
          </cell>
          <cell r="K40">
            <v>19401</v>
          </cell>
          <cell r="L40" t="str">
            <v>United States</v>
          </cell>
          <cell r="M40" t="str">
            <v>Philadelphia-Camden-Wilmington, PA-NJ-DE-MD</v>
          </cell>
          <cell r="N40">
            <v>49939</v>
          </cell>
          <cell r="O40">
            <v>1</v>
          </cell>
          <cell r="P40" t="str">
            <v>Single Asset</v>
          </cell>
          <cell r="Q40" t="str">
            <v>Property - Private Equity</v>
          </cell>
          <cell r="R40" t="str">
            <v>Industrial</v>
          </cell>
          <cell r="S40" t="str">
            <v>Warehouse</v>
          </cell>
          <cell r="T40">
            <v>1950</v>
          </cell>
          <cell r="U40" t="str">
            <v>Sq. Feet</v>
          </cell>
          <cell r="V40" t="str">
            <v>Value-Add</v>
          </cell>
          <cell r="W40" t="str">
            <v>Industrial / Logistics</v>
          </cell>
          <cell r="X40" t="str">
            <v>Common Equity</v>
          </cell>
          <cell r="Y40">
            <v>442992.79297416017</v>
          </cell>
          <cell r="Z40">
            <v>1454912.8438840001</v>
          </cell>
          <cell r="AA40">
            <v>6069271.8438840006</v>
          </cell>
          <cell r="AB40">
            <v>7.2989446571018829E-2</v>
          </cell>
          <cell r="AC40">
            <v>372000</v>
          </cell>
          <cell r="AD40">
            <v>8.2483370288248342E-2</v>
          </cell>
          <cell r="AE40">
            <v>5.5599999999999997E-2</v>
          </cell>
          <cell r="AF40">
            <v>0.16930000000000001</v>
          </cell>
          <cell r="AG40">
            <v>2.3199999999999998</v>
          </cell>
          <cell r="AH40">
            <v>0.13750000000000001</v>
          </cell>
          <cell r="AI40">
            <v>2.06</v>
          </cell>
          <cell r="AJ40">
            <v>0.11490904283163217</v>
          </cell>
          <cell r="AK40">
            <v>0.17905546963351449</v>
          </cell>
          <cell r="AL40">
            <v>2.1979058071546902</v>
          </cell>
          <cell r="AM40">
            <v>8.2675644348581434E-2</v>
          </cell>
          <cell r="AN40">
            <v>0.13988243619724261</v>
          </cell>
          <cell r="AO40">
            <v>1.8864656496756915</v>
          </cell>
          <cell r="AP40" t="str">
            <v>Market deal</v>
          </cell>
          <cell r="AQ40" t="str">
            <v>Rent Optimization</v>
          </cell>
          <cell r="AR40" t="str">
            <v>Leasing Strategy</v>
          </cell>
          <cell r="AS40">
            <v>44729</v>
          </cell>
          <cell r="AT40">
            <v>4510000</v>
          </cell>
          <cell r="AU40">
            <v>4614359</v>
          </cell>
          <cell r="AV40">
            <v>349077.03106799995</v>
          </cell>
          <cell r="AW40">
            <v>346791.6192490001</v>
          </cell>
          <cell r="AX40">
            <v>7.740067207716185E-2</v>
          </cell>
          <cell r="AY40">
            <v>7.6893928880044371E-2</v>
          </cell>
          <cell r="AZ40">
            <v>3.5354032258064501</v>
          </cell>
          <cell r="BA40">
            <v>0.40282258064516102</v>
          </cell>
          <cell r="BB40">
            <v>0.66108705258064504</v>
          </cell>
          <cell r="BC40">
            <v>1</v>
          </cell>
          <cell r="BD40">
            <v>0</v>
          </cell>
          <cell r="BE40">
            <v>0</v>
          </cell>
          <cell r="BF40">
            <v>149664.08999999997</v>
          </cell>
          <cell r="BG40">
            <v>315581.03000000003</v>
          </cell>
          <cell r="BH40">
            <v>315581.03000000003</v>
          </cell>
          <cell r="BI40">
            <v>336857.01999999996</v>
          </cell>
          <cell r="BJ40">
            <v>4810271.66</v>
          </cell>
        </row>
        <row r="41">
          <cell r="B41" t="str">
            <v>3fl00011</v>
          </cell>
          <cell r="C41" t="str">
            <v>2479 Eunice Ave</v>
          </cell>
          <cell r="D41" t="str">
            <v>Unrealized</v>
          </cell>
          <cell r="E41" t="str">
            <v>Industrial Value Fund III</v>
          </cell>
          <cell r="F41" t="str">
            <v>USD</v>
          </cell>
          <cell r="G41" t="str">
            <v>Last Mile</v>
          </cell>
          <cell r="H41" t="str">
            <v>Miami</v>
          </cell>
          <cell r="I41" t="str">
            <v>Orlando</v>
          </cell>
          <cell r="J41" t="str">
            <v>FL</v>
          </cell>
          <cell r="K41">
            <v>32808</v>
          </cell>
          <cell r="L41" t="str">
            <v>United States</v>
          </cell>
          <cell r="M41" t="str">
            <v>Orlando-Kissimmee-Sanford, FL</v>
          </cell>
          <cell r="N41">
            <v>121440</v>
          </cell>
          <cell r="O41">
            <v>1</v>
          </cell>
          <cell r="P41" t="str">
            <v>Single Asset</v>
          </cell>
          <cell r="Q41" t="str">
            <v>Property - Private Equity</v>
          </cell>
          <cell r="R41" t="str">
            <v>Industrial</v>
          </cell>
          <cell r="S41" t="str">
            <v>Warehouse</v>
          </cell>
          <cell r="T41">
            <v>1972</v>
          </cell>
          <cell r="U41" t="str">
            <v>Sq. Feet</v>
          </cell>
          <cell r="V41" t="str">
            <v>Value-Add</v>
          </cell>
          <cell r="W41" t="str">
            <v>Industrial / Logistics</v>
          </cell>
          <cell r="X41" t="str">
            <v>Common Equity</v>
          </cell>
          <cell r="Y41">
            <v>1153946.77294832</v>
          </cell>
          <cell r="Z41">
            <v>21090.179088000001</v>
          </cell>
          <cell r="AA41">
            <v>14251355.179088</v>
          </cell>
          <cell r="AB41">
            <v>8.0971020541371813E-2</v>
          </cell>
          <cell r="AC41">
            <v>953304</v>
          </cell>
          <cell r="AD41">
            <v>6.8093142857142852E-2</v>
          </cell>
          <cell r="AE41">
            <v>0.06</v>
          </cell>
          <cell r="AF41">
            <v>0.16919999999999999</v>
          </cell>
          <cell r="AG41">
            <v>1.8</v>
          </cell>
          <cell r="AH41">
            <v>0.12670000000000001</v>
          </cell>
          <cell r="AI41">
            <v>1.57</v>
          </cell>
          <cell r="AJ41">
            <v>0.12229745832928796</v>
          </cell>
          <cell r="AK41">
            <v>0.19875424612797188</v>
          </cell>
          <cell r="AL41">
            <v>2.2849104962343931</v>
          </cell>
          <cell r="AM41">
            <v>9.0377661251941799E-2</v>
          </cell>
          <cell r="AN41">
            <v>0.1583884618129725</v>
          </cell>
          <cell r="AO41">
            <v>1.9676457181726621</v>
          </cell>
          <cell r="AP41" t="str">
            <v>Soft marketed</v>
          </cell>
          <cell r="AQ41" t="str">
            <v>Renewal / Re-tenant</v>
          </cell>
          <cell r="AR41" t="str">
            <v>Stabilised</v>
          </cell>
          <cell r="AS41">
            <v>45281</v>
          </cell>
          <cell r="AT41">
            <v>14000000</v>
          </cell>
          <cell r="AU41">
            <v>14230265</v>
          </cell>
          <cell r="AV41">
            <v>951354.84367199987</v>
          </cell>
          <cell r="AW41">
            <v>951703.98074599891</v>
          </cell>
          <cell r="AX41">
            <v>6.7953917405142852E-2</v>
          </cell>
          <cell r="AY41">
            <v>6.7978855767571345E-2</v>
          </cell>
          <cell r="AZ41">
            <v>8.15</v>
          </cell>
          <cell r="BA41">
            <v>1</v>
          </cell>
          <cell r="BB41">
            <v>7.0328767123270701</v>
          </cell>
          <cell r="BC41">
            <v>1</v>
          </cell>
          <cell r="BD41">
            <v>0</v>
          </cell>
          <cell r="BE41">
            <v>0</v>
          </cell>
          <cell r="BF41">
            <v>0</v>
          </cell>
          <cell r="BG41">
            <v>29559.059999999998</v>
          </cell>
          <cell r="BH41">
            <v>29559.059999999998</v>
          </cell>
          <cell r="BI41">
            <v>989736.09818181826</v>
          </cell>
          <cell r="BJ41">
            <v>14230265</v>
          </cell>
        </row>
        <row r="42">
          <cell r="B42" t="str">
            <v>3fl00003</v>
          </cell>
          <cell r="C42" t="str">
            <v>3330 NW 60th St</v>
          </cell>
          <cell r="D42" t="str">
            <v>Unrealized</v>
          </cell>
          <cell r="E42" t="str">
            <v>Industrial Value Fund III</v>
          </cell>
          <cell r="F42" t="str">
            <v>USD</v>
          </cell>
          <cell r="G42" t="str">
            <v>Last Mile</v>
          </cell>
          <cell r="H42" t="str">
            <v>Miami</v>
          </cell>
          <cell r="I42" t="str">
            <v>Miami</v>
          </cell>
          <cell r="J42" t="str">
            <v>FL</v>
          </cell>
          <cell r="K42">
            <v>33142</v>
          </cell>
          <cell r="L42" t="str">
            <v>United States</v>
          </cell>
          <cell r="M42" t="str">
            <v>Miami-Fort Lauderdale-West Palm Beach, FL</v>
          </cell>
          <cell r="N42">
            <v>32774</v>
          </cell>
          <cell r="O42">
            <v>1</v>
          </cell>
          <cell r="P42" t="str">
            <v>Single Asset</v>
          </cell>
          <cell r="Q42" t="str">
            <v>Property - Private Equity</v>
          </cell>
          <cell r="R42" t="str">
            <v>Industrial</v>
          </cell>
          <cell r="S42" t="str">
            <v>Warehouse</v>
          </cell>
          <cell r="T42">
            <v>1965</v>
          </cell>
          <cell r="U42" t="str">
            <v>Sq. Feet</v>
          </cell>
          <cell r="V42" t="str">
            <v>Value-Add</v>
          </cell>
          <cell r="W42" t="str">
            <v>Industrial / Logistics</v>
          </cell>
          <cell r="X42" t="str">
            <v>Common Equity</v>
          </cell>
          <cell r="Y42">
            <v>549283.84340959997</v>
          </cell>
          <cell r="Z42">
            <v>346823.66386500001</v>
          </cell>
          <cell r="AA42">
            <v>6697420.663865</v>
          </cell>
          <cell r="AB42">
            <v>8.2014236670720775E-2</v>
          </cell>
          <cell r="AC42">
            <v>393288</v>
          </cell>
          <cell r="AD42">
            <v>6.2426666666666665E-2</v>
          </cell>
          <cell r="AE42">
            <v>5.2499999999999998E-2</v>
          </cell>
          <cell r="AF42">
            <v>0.18379999999999999</v>
          </cell>
          <cell r="AG42">
            <v>2.5099999999999998</v>
          </cell>
          <cell r="AH42">
            <v>0.14860000000000001</v>
          </cell>
          <cell r="AI42">
            <v>2.2599999999999998</v>
          </cell>
          <cell r="AJ42">
            <v>0.12695314771343158</v>
          </cell>
          <cell r="AK42">
            <v>0.19261795730888376</v>
          </cell>
          <cell r="AL42">
            <v>2.7116482401929889</v>
          </cell>
          <cell r="AM42">
            <v>9.4502661768389951E-2</v>
          </cell>
          <cell r="AN42">
            <v>0.15426682750653486</v>
          </cell>
          <cell r="AO42">
            <v>2.2928492553882105</v>
          </cell>
          <cell r="AP42" t="str">
            <v>Market deal</v>
          </cell>
          <cell r="AQ42" t="str">
            <v>Rent Optimization</v>
          </cell>
          <cell r="AR42" t="str">
            <v>Leasing Strategy</v>
          </cell>
          <cell r="AS42">
            <v>44735</v>
          </cell>
          <cell r="AT42">
            <v>6300000</v>
          </cell>
          <cell r="AU42">
            <v>6350597</v>
          </cell>
          <cell r="AV42">
            <v>364392.26195999997</v>
          </cell>
          <cell r="AW42">
            <v>311352.99999800004</v>
          </cell>
          <cell r="AX42">
            <v>5.7840041580952378E-2</v>
          </cell>
          <cell r="AY42">
            <v>4.9421111110793656E-2</v>
          </cell>
          <cell r="AZ42">
            <v>9.4999987795203502</v>
          </cell>
          <cell r="BA42">
            <v>1</v>
          </cell>
          <cell r="BB42">
            <v>2.0219178082321299</v>
          </cell>
          <cell r="BC42">
            <v>1</v>
          </cell>
          <cell r="BD42">
            <v>0</v>
          </cell>
          <cell r="BE42">
            <v>0</v>
          </cell>
          <cell r="BF42">
            <v>170963.02000000002</v>
          </cell>
          <cell r="BG42">
            <v>319729.58</v>
          </cell>
          <cell r="BH42">
            <v>319729.58</v>
          </cell>
          <cell r="BI42">
            <v>345480.29</v>
          </cell>
          <cell r="BJ42">
            <v>6363711.04</v>
          </cell>
        </row>
        <row r="43">
          <cell r="B43" t="str">
            <v>3nj00002</v>
          </cell>
          <cell r="C43" t="str">
            <v>153 Bauer Drive</v>
          </cell>
          <cell r="D43" t="str">
            <v>Unrealized</v>
          </cell>
          <cell r="E43" t="str">
            <v>Industrial Value Fund III</v>
          </cell>
          <cell r="F43" t="str">
            <v>USD</v>
          </cell>
          <cell r="G43" t="str">
            <v>Last Mile</v>
          </cell>
          <cell r="H43" t="str">
            <v>Northern NJ/New York</v>
          </cell>
          <cell r="I43" t="str">
            <v>Oakland</v>
          </cell>
          <cell r="J43" t="str">
            <v>NJ</v>
          </cell>
          <cell r="K43" t="str">
            <v>07436</v>
          </cell>
          <cell r="L43" t="str">
            <v>United States</v>
          </cell>
          <cell r="M43" t="str">
            <v>New York-Newark-Jersey City, NY-NJ-PA</v>
          </cell>
          <cell r="N43">
            <v>44301</v>
          </cell>
          <cell r="O43">
            <v>1</v>
          </cell>
          <cell r="P43" t="str">
            <v>Single Asset</v>
          </cell>
          <cell r="Q43" t="str">
            <v>Property - Private Equity</v>
          </cell>
          <cell r="R43" t="str">
            <v>Industrial</v>
          </cell>
          <cell r="S43" t="str">
            <v>Warehouse</v>
          </cell>
          <cell r="T43">
            <v>1984</v>
          </cell>
          <cell r="U43" t="str">
            <v>Sq. Feet</v>
          </cell>
          <cell r="V43" t="str">
            <v>Value-Add</v>
          </cell>
          <cell r="W43" t="str">
            <v>Industrial / Logistics</v>
          </cell>
          <cell r="X43" t="str">
            <v>Common Equity</v>
          </cell>
          <cell r="Y43">
            <v>828053.68635599979</v>
          </cell>
          <cell r="Z43">
            <v>694397.35124600003</v>
          </cell>
          <cell r="AA43">
            <v>10646386.351245999</v>
          </cell>
          <cell r="AB43">
            <v>7.7777910648441625E-2</v>
          </cell>
          <cell r="AC43">
            <v>586975</v>
          </cell>
          <cell r="AD43">
            <v>6.1143229166666667E-2</v>
          </cell>
          <cell r="AE43">
            <v>5.5E-2</v>
          </cell>
          <cell r="AF43">
            <v>0.17760000000000001</v>
          </cell>
          <cell r="AG43">
            <v>2.77</v>
          </cell>
          <cell r="AH43">
            <v>0.14380000000000001</v>
          </cell>
          <cell r="AI43">
            <v>2.34</v>
          </cell>
          <cell r="AJ43">
            <v>0.11099586815723295</v>
          </cell>
          <cell r="AK43">
            <v>0.16380670611120163</v>
          </cell>
          <cell r="AL43">
            <v>2.3367914493533273</v>
          </cell>
          <cell r="AM43">
            <v>8.0309491810001798E-2</v>
          </cell>
          <cell r="AN43">
            <v>0.12811107199330118</v>
          </cell>
          <cell r="AO43">
            <v>1.9934574894823047</v>
          </cell>
          <cell r="AP43" t="str">
            <v>Unsolicited \ Off-market</v>
          </cell>
          <cell r="AQ43" t="str">
            <v>Rent Optimization</v>
          </cell>
          <cell r="AR43" t="str">
            <v>Leasing Strategy</v>
          </cell>
          <cell r="AS43">
            <v>44739</v>
          </cell>
          <cell r="AT43">
            <v>9600000</v>
          </cell>
          <cell r="AU43">
            <v>9951989</v>
          </cell>
          <cell r="AV43">
            <v>422184.08419200004</v>
          </cell>
          <cell r="AW43">
            <v>425029.41752400005</v>
          </cell>
          <cell r="AX43">
            <v>4.3977508770000007E-2</v>
          </cell>
          <cell r="AY43">
            <v>4.4273897658750005E-2</v>
          </cell>
          <cell r="AZ43">
            <v>9.93205661271754</v>
          </cell>
          <cell r="BA43">
            <v>1</v>
          </cell>
          <cell r="BB43">
            <v>2</v>
          </cell>
          <cell r="BC43">
            <v>1</v>
          </cell>
          <cell r="BD43">
            <v>0</v>
          </cell>
          <cell r="BE43">
            <v>0</v>
          </cell>
          <cell r="BF43">
            <v>264484.69</v>
          </cell>
          <cell r="BG43">
            <v>418307.64999999997</v>
          </cell>
          <cell r="BH43">
            <v>418307.64999999997</v>
          </cell>
          <cell r="BI43">
            <v>419867.08999999991</v>
          </cell>
          <cell r="BJ43">
            <v>9951989</v>
          </cell>
        </row>
        <row r="44">
          <cell r="B44" t="str">
            <v>3tn00004</v>
          </cell>
          <cell r="C44" t="str">
            <v>3272 Democrat</v>
          </cell>
          <cell r="D44" t="str">
            <v>Unrealized</v>
          </cell>
          <cell r="E44" t="str">
            <v>Industrial Value Fund III</v>
          </cell>
          <cell r="F44" t="str">
            <v>USD</v>
          </cell>
          <cell r="G44" t="str">
            <v>Last Mile</v>
          </cell>
          <cell r="H44" t="str">
            <v>Memphis</v>
          </cell>
          <cell r="I44" t="str">
            <v>Memphis</v>
          </cell>
          <cell r="J44" t="str">
            <v>TN</v>
          </cell>
          <cell r="K44">
            <v>38118</v>
          </cell>
          <cell r="L44" t="str">
            <v>United States</v>
          </cell>
          <cell r="M44" t="str">
            <v>Memphis, TN-MS-AR</v>
          </cell>
          <cell r="N44">
            <v>30000</v>
          </cell>
          <cell r="O44">
            <v>1</v>
          </cell>
          <cell r="P44" t="str">
            <v>Portfolio</v>
          </cell>
          <cell r="Q44" t="str">
            <v>Property - Private Equity</v>
          </cell>
          <cell r="R44" t="str">
            <v>Industrial</v>
          </cell>
          <cell r="S44" t="str">
            <v>Warehouse</v>
          </cell>
          <cell r="T44">
            <v>1987</v>
          </cell>
          <cell r="U44" t="str">
            <v>Sq. Feet</v>
          </cell>
          <cell r="V44" t="str">
            <v>Value-Add</v>
          </cell>
          <cell r="W44" t="str">
            <v>Industrial / Logistics</v>
          </cell>
          <cell r="X44" t="str">
            <v>Common Equity</v>
          </cell>
          <cell r="Y44">
            <v>165291.568936</v>
          </cell>
          <cell r="Z44">
            <v>102213.87179500001</v>
          </cell>
          <cell r="AA44">
            <v>2094792.871795</v>
          </cell>
          <cell r="AB44">
            <v>7.890592485851064E-2</v>
          </cell>
          <cell r="AC44">
            <v>121500</v>
          </cell>
          <cell r="AD44">
            <v>6.2201375802282563E-2</v>
          </cell>
          <cell r="AE44">
            <v>0.05</v>
          </cell>
          <cell r="AF44">
            <v>0.15690000000000001</v>
          </cell>
          <cell r="AG44">
            <v>2.59</v>
          </cell>
          <cell r="AH44">
            <v>0.12479999999999999</v>
          </cell>
          <cell r="AI44">
            <v>2.1800000000000002</v>
          </cell>
          <cell r="AJ44">
            <v>0.14171607640526385</v>
          </cell>
          <cell r="AK44">
            <v>0.22727648481216756</v>
          </cell>
          <cell r="AL44">
            <v>2.9224929455761277</v>
          </cell>
          <cell r="AM44">
            <v>0.10708164952722332</v>
          </cell>
          <cell r="AN44">
            <v>0.18496453856978001</v>
          </cell>
          <cell r="AO44">
            <v>2.4612876098572656</v>
          </cell>
          <cell r="AP44" t="str">
            <v>Market deal</v>
          </cell>
          <cell r="AQ44" t="str">
            <v>Rent Optimization</v>
          </cell>
          <cell r="AR44" t="str">
            <v>Leasing Strategy</v>
          </cell>
          <cell r="AS44">
            <v>44732</v>
          </cell>
          <cell r="AT44">
            <v>1953333</v>
          </cell>
          <cell r="AU44">
            <v>1992579</v>
          </cell>
          <cell r="AV44">
            <v>130947.00544800001</v>
          </cell>
          <cell r="AW44">
            <v>130499.99999799998</v>
          </cell>
          <cell r="AX44">
            <v>6.7037727539543956E-2</v>
          </cell>
          <cell r="AY44">
            <v>6.680888511994626E-2</v>
          </cell>
          <cell r="AZ44">
            <v>2.93</v>
          </cell>
          <cell r="BA44">
            <v>1</v>
          </cell>
          <cell r="BB44">
            <v>0.44657534246666603</v>
          </cell>
          <cell r="BC44">
            <v>1</v>
          </cell>
          <cell r="BD44">
            <v>0</v>
          </cell>
          <cell r="BE44">
            <v>0</v>
          </cell>
          <cell r="BF44">
            <v>45069.869999999995</v>
          </cell>
          <cell r="BG44">
            <v>143403.39000000001</v>
          </cell>
          <cell r="BH44">
            <v>143403.39000000001</v>
          </cell>
          <cell r="BI44">
            <v>134319.29</v>
          </cell>
          <cell r="BJ44">
            <v>2003199</v>
          </cell>
        </row>
        <row r="45">
          <cell r="B45" t="str">
            <v>3tn00002</v>
          </cell>
          <cell r="C45" t="str">
            <v>3298 Democrat</v>
          </cell>
          <cell r="D45" t="str">
            <v>Unrealized</v>
          </cell>
          <cell r="E45" t="str">
            <v>Industrial Value Fund III</v>
          </cell>
          <cell r="F45" t="str">
            <v>USD</v>
          </cell>
          <cell r="G45" t="str">
            <v>Last Mile</v>
          </cell>
          <cell r="H45" t="str">
            <v>Memphis</v>
          </cell>
          <cell r="I45" t="str">
            <v>Memphis</v>
          </cell>
          <cell r="J45" t="str">
            <v>TN</v>
          </cell>
          <cell r="K45">
            <v>38118</v>
          </cell>
          <cell r="L45" t="str">
            <v>United States</v>
          </cell>
          <cell r="M45" t="str">
            <v>Memphis, TN-MS-AR</v>
          </cell>
          <cell r="N45">
            <v>34200</v>
          </cell>
          <cell r="O45">
            <v>1</v>
          </cell>
          <cell r="P45" t="str">
            <v>Portfolio</v>
          </cell>
          <cell r="Q45" t="str">
            <v>Property - Private Equity</v>
          </cell>
          <cell r="R45" t="str">
            <v>Industrial</v>
          </cell>
          <cell r="S45" t="str">
            <v>Warehouse</v>
          </cell>
          <cell r="T45">
            <v>1972</v>
          </cell>
          <cell r="U45" t="str">
            <v>Sq. Feet</v>
          </cell>
          <cell r="V45" t="str">
            <v>Value-Add</v>
          </cell>
          <cell r="W45" t="str">
            <v>Industrial / Logistics</v>
          </cell>
          <cell r="X45" t="str">
            <v>Common Equity</v>
          </cell>
          <cell r="Y45">
            <v>185500.71714719993</v>
          </cell>
          <cell r="Z45">
            <v>556235.77419199992</v>
          </cell>
          <cell r="AA45">
            <v>2874414.7741919998</v>
          </cell>
          <cell r="AB45">
            <v>6.4535125136679111E-2</v>
          </cell>
          <cell r="AC45">
            <v>138510</v>
          </cell>
          <cell r="AD45">
            <v>6.0874231490845129E-2</v>
          </cell>
          <cell r="AE45">
            <v>0.05</v>
          </cell>
          <cell r="AF45">
            <v>0.15690000000000001</v>
          </cell>
          <cell r="AG45">
            <v>2.59</v>
          </cell>
          <cell r="AH45">
            <v>0.12479999999999999</v>
          </cell>
          <cell r="AI45">
            <v>2.1800000000000002</v>
          </cell>
          <cell r="AJ45">
            <v>0.10571459745744582</v>
          </cell>
          <cell r="AK45">
            <v>0.15754808906678841</v>
          </cell>
          <cell r="AL45">
            <v>2.0340728727192414</v>
          </cell>
          <cell r="AM45">
            <v>7.4869019507862733E-2</v>
          </cell>
          <cell r="AN45">
            <v>0.12110968080723072</v>
          </cell>
          <cell r="AO45">
            <v>1.7574919873732162</v>
          </cell>
          <cell r="AP45" t="str">
            <v>Market deal</v>
          </cell>
          <cell r="AQ45" t="str">
            <v>Rent Optimization</v>
          </cell>
          <cell r="AR45" t="str">
            <v>Leasing Strategy</v>
          </cell>
          <cell r="AS45">
            <v>44732</v>
          </cell>
          <cell r="AT45">
            <v>2275347</v>
          </cell>
          <cell r="AU45">
            <v>2318179</v>
          </cell>
          <cell r="AV45">
            <v>135602.70775199999</v>
          </cell>
          <cell r="AW45">
            <v>135089.999996</v>
          </cell>
          <cell r="AX45">
            <v>5.9596495722190938E-2</v>
          </cell>
          <cell r="AY45">
            <v>5.9371164044868759E-2</v>
          </cell>
          <cell r="AZ45">
            <v>3.26</v>
          </cell>
          <cell r="BA45">
            <v>1</v>
          </cell>
          <cell r="BB45">
            <v>0.36438356163742602</v>
          </cell>
          <cell r="BC45">
            <v>1</v>
          </cell>
          <cell r="BD45">
            <v>0</v>
          </cell>
          <cell r="BE45">
            <v>0</v>
          </cell>
          <cell r="BF45">
            <v>62778.969999999994</v>
          </cell>
          <cell r="BG45">
            <v>138154.65</v>
          </cell>
          <cell r="BH45">
            <v>138154.65</v>
          </cell>
          <cell r="BI45">
            <v>129828.72</v>
          </cell>
          <cell r="BJ45">
            <v>2318179</v>
          </cell>
        </row>
        <row r="46">
          <cell r="B46" t="str">
            <v>3tn00003</v>
          </cell>
          <cell r="C46" t="str">
            <v>3276 Democrat</v>
          </cell>
          <cell r="D46" t="str">
            <v>Unrealized</v>
          </cell>
          <cell r="E46" t="str">
            <v>Industrial Value Fund III</v>
          </cell>
          <cell r="F46" t="str">
            <v>USD</v>
          </cell>
          <cell r="G46" t="str">
            <v>Last Mile</v>
          </cell>
          <cell r="H46" t="str">
            <v>Memphis</v>
          </cell>
          <cell r="I46" t="str">
            <v>Memphis</v>
          </cell>
          <cell r="J46" t="str">
            <v>TN</v>
          </cell>
          <cell r="K46">
            <v>38118</v>
          </cell>
          <cell r="L46" t="str">
            <v>United States</v>
          </cell>
          <cell r="M46" t="str">
            <v>Memphis, TN-MS-AR</v>
          </cell>
          <cell r="N46">
            <v>147025</v>
          </cell>
          <cell r="O46">
            <v>1</v>
          </cell>
          <cell r="P46" t="str">
            <v>Portfolio</v>
          </cell>
          <cell r="Q46" t="str">
            <v>Property - Private Equity</v>
          </cell>
          <cell r="R46" t="str">
            <v>Industrial</v>
          </cell>
          <cell r="S46" t="str">
            <v>Warehouse</v>
          </cell>
          <cell r="T46">
            <v>1974</v>
          </cell>
          <cell r="U46" t="str">
            <v>Sq. Feet</v>
          </cell>
          <cell r="V46" t="str">
            <v>Value-Add</v>
          </cell>
          <cell r="W46" t="str">
            <v>Industrial / Logistics</v>
          </cell>
          <cell r="X46" t="str">
            <v>Common Equity</v>
          </cell>
          <cell r="Y46">
            <v>750774.50800560007</v>
          </cell>
          <cell r="Z46">
            <v>1033811.39755</v>
          </cell>
          <cell r="AA46">
            <v>9526039.3975499999</v>
          </cell>
          <cell r="AB46">
            <v>7.8812870351837053E-2</v>
          </cell>
          <cell r="AC46">
            <v>588100</v>
          </cell>
          <cell r="AD46">
            <v>7.0616084209050023E-2</v>
          </cell>
          <cell r="AE46">
            <v>0.05</v>
          </cell>
          <cell r="AF46">
            <v>0.15690000000000001</v>
          </cell>
          <cell r="AG46">
            <v>2.59</v>
          </cell>
          <cell r="AH46">
            <v>0.12479999999999999</v>
          </cell>
          <cell r="AI46">
            <v>2.1800000000000002</v>
          </cell>
          <cell r="AJ46">
            <v>0.13837583374187079</v>
          </cell>
          <cell r="AK46">
            <v>0.21866482396360043</v>
          </cell>
          <cell r="AL46">
            <v>2.8313709977312174</v>
          </cell>
          <cell r="AM46">
            <v>0.10419371271324063</v>
          </cell>
          <cell r="AN46">
            <v>0.17726410089648703</v>
          </cell>
          <cell r="AO46">
            <v>2.390180495763111</v>
          </cell>
          <cell r="AP46" t="str">
            <v>Market deal</v>
          </cell>
          <cell r="AQ46" t="str">
            <v>Rent Optimization</v>
          </cell>
          <cell r="AR46" t="str">
            <v>Leasing Strategy</v>
          </cell>
          <cell r="AS46">
            <v>44732</v>
          </cell>
          <cell r="AT46">
            <v>8328131</v>
          </cell>
          <cell r="AU46">
            <v>8492228</v>
          </cell>
          <cell r="AV46">
            <v>452355.217932</v>
          </cell>
          <cell r="AW46">
            <v>428774.76243499969</v>
          </cell>
          <cell r="AX46">
            <v>5.4316534878233784E-2</v>
          </cell>
          <cell r="AY46">
            <v>5.1485112618305316E-2</v>
          </cell>
          <cell r="AZ46">
            <v>3.0663234143853</v>
          </cell>
          <cell r="BA46">
            <v>1</v>
          </cell>
          <cell r="BB46">
            <v>2.9313927134772899</v>
          </cell>
          <cell r="BC46">
            <v>1</v>
          </cell>
          <cell r="BD46">
            <v>0</v>
          </cell>
          <cell r="BE46">
            <v>0</v>
          </cell>
          <cell r="BF46">
            <v>279117.09999999998</v>
          </cell>
          <cell r="BG46">
            <v>528239.35000000009</v>
          </cell>
          <cell r="BH46">
            <v>528239.35000000009</v>
          </cell>
          <cell r="BI46">
            <v>764167.77999999991</v>
          </cell>
          <cell r="BJ46">
            <v>8817723.2100000009</v>
          </cell>
        </row>
        <row r="47">
          <cell r="B47" t="str">
            <v>3tn00001</v>
          </cell>
          <cell r="C47" t="str">
            <v>3338-3352 Democrat</v>
          </cell>
          <cell r="D47" t="str">
            <v>Unrealized</v>
          </cell>
          <cell r="E47" t="str">
            <v>Industrial Value Fund III</v>
          </cell>
          <cell r="F47" t="str">
            <v>USD</v>
          </cell>
          <cell r="G47" t="str">
            <v>Last Mile</v>
          </cell>
          <cell r="H47" t="str">
            <v>Memphis</v>
          </cell>
          <cell r="I47" t="str">
            <v>Memphis</v>
          </cell>
          <cell r="J47" t="str">
            <v>TN</v>
          </cell>
          <cell r="K47">
            <v>38118</v>
          </cell>
          <cell r="L47" t="str">
            <v>United States</v>
          </cell>
          <cell r="M47" t="str">
            <v>Memphis, TN-MS-AR</v>
          </cell>
          <cell r="N47">
            <v>168000</v>
          </cell>
          <cell r="O47">
            <v>1</v>
          </cell>
          <cell r="P47" t="str">
            <v>Portfolio</v>
          </cell>
          <cell r="Q47" t="str">
            <v>Property - Private Equity</v>
          </cell>
          <cell r="R47" t="str">
            <v>Industrial</v>
          </cell>
          <cell r="S47" t="str">
            <v>Warehouse</v>
          </cell>
          <cell r="T47">
            <v>1973</v>
          </cell>
          <cell r="U47" t="str">
            <v>Sq. Feet</v>
          </cell>
          <cell r="V47" t="str">
            <v>Value-Add</v>
          </cell>
          <cell r="W47" t="str">
            <v>Industrial / Logistics</v>
          </cell>
          <cell r="X47" t="str">
            <v>Common Equity</v>
          </cell>
          <cell r="Y47">
            <v>907841.23554488004</v>
          </cell>
          <cell r="Z47">
            <v>677458.73350799992</v>
          </cell>
          <cell r="AA47">
            <v>10379725.733508</v>
          </cell>
          <cell r="AB47">
            <v>8.7462930991921317E-2</v>
          </cell>
          <cell r="AC47">
            <v>672000</v>
          </cell>
          <cell r="AD47">
            <v>7.0616756452579851E-2</v>
          </cell>
          <cell r="AE47">
            <v>0.05</v>
          </cell>
          <cell r="AF47">
            <v>0.15690000000000001</v>
          </cell>
          <cell r="AG47">
            <v>2.59</v>
          </cell>
          <cell r="AH47">
            <v>0.12479999999999999</v>
          </cell>
          <cell r="AI47">
            <v>2.1800000000000002</v>
          </cell>
          <cell r="AJ47">
            <v>0.15889462663355935</v>
          </cell>
          <cell r="AK47">
            <v>0.25484384903954238</v>
          </cell>
          <cell r="AL47">
            <v>3.3445253377877275</v>
          </cell>
          <cell r="AM47">
            <v>0.12273028392548579</v>
          </cell>
          <cell r="AN47">
            <v>0.21085205984429489</v>
          </cell>
          <cell r="AO47">
            <v>2.7999155961617115</v>
          </cell>
          <cell r="AP47" t="str">
            <v>Market deal</v>
          </cell>
          <cell r="AQ47" t="str">
            <v>Rent Optimization</v>
          </cell>
          <cell r="AR47" t="str">
            <v>Leasing Strategy</v>
          </cell>
          <cell r="AS47">
            <v>44732</v>
          </cell>
          <cell r="AT47">
            <v>9516155</v>
          </cell>
          <cell r="AU47">
            <v>9702267</v>
          </cell>
          <cell r="AV47">
            <v>536125.61965199991</v>
          </cell>
          <cell r="AW47">
            <v>509254.00445599947</v>
          </cell>
          <cell r="AX47">
            <v>5.6338470700824012E-2</v>
          </cell>
          <cell r="AY47">
            <v>5.3514681555312991E-2</v>
          </cell>
          <cell r="AZ47">
            <v>2.9792592857142801</v>
          </cell>
          <cell r="BA47">
            <v>1</v>
          </cell>
          <cell r="BB47">
            <v>1.77426614481547</v>
          </cell>
          <cell r="BC47">
            <v>1</v>
          </cell>
          <cell r="BD47">
            <v>0</v>
          </cell>
          <cell r="BE47">
            <v>0</v>
          </cell>
          <cell r="BF47">
            <v>288409.95</v>
          </cell>
          <cell r="BG47">
            <v>582087.03</v>
          </cell>
          <cell r="BH47">
            <v>582087.03</v>
          </cell>
          <cell r="BI47">
            <v>540451.1100000001</v>
          </cell>
          <cell r="BJ47">
            <v>9808093.4700000007</v>
          </cell>
        </row>
        <row r="48">
          <cell r="B48" t="str">
            <v>3tn00005</v>
          </cell>
          <cell r="C48" t="str">
            <v>3262 Democrat</v>
          </cell>
          <cell r="D48" t="str">
            <v>Unrealized</v>
          </cell>
          <cell r="E48" t="str">
            <v>Industrial Value Fund III</v>
          </cell>
          <cell r="F48" t="str">
            <v>USD</v>
          </cell>
          <cell r="G48" t="str">
            <v>Last Mile</v>
          </cell>
          <cell r="H48" t="str">
            <v>Memphis</v>
          </cell>
          <cell r="I48" t="str">
            <v>Memphis</v>
          </cell>
          <cell r="J48" t="str">
            <v>TN</v>
          </cell>
          <cell r="K48">
            <v>38118</v>
          </cell>
          <cell r="L48" t="str">
            <v>United States</v>
          </cell>
          <cell r="M48" t="str">
            <v>Memphis, TN-MS-AR</v>
          </cell>
          <cell r="N48">
            <v>260000</v>
          </cell>
          <cell r="O48">
            <v>1</v>
          </cell>
          <cell r="P48" t="str">
            <v>Portfolio</v>
          </cell>
          <cell r="Q48" t="str">
            <v>Property - Private Equity</v>
          </cell>
          <cell r="R48" t="str">
            <v>Industrial</v>
          </cell>
          <cell r="S48" t="str">
            <v>Warehouse</v>
          </cell>
          <cell r="T48">
            <v>1975</v>
          </cell>
          <cell r="U48" t="str">
            <v>Sq. Feet</v>
          </cell>
          <cell r="V48" t="str">
            <v>Value-Add</v>
          </cell>
          <cell r="W48" t="str">
            <v>Industrial / Logistics</v>
          </cell>
          <cell r="X48" t="str">
            <v>Common Equity</v>
          </cell>
          <cell r="Y48">
            <v>854577.10156935989</v>
          </cell>
          <cell r="Z48">
            <v>1572831.4648760003</v>
          </cell>
          <cell r="AA48">
            <v>16579564.464876</v>
          </cell>
          <cell r="AB48">
            <v>5.1544001857213521E-2</v>
          </cell>
          <cell r="AC48">
            <v>1027000</v>
          </cell>
          <cell r="AD48">
            <v>6.973569357307835E-2</v>
          </cell>
          <cell r="AE48">
            <v>0.05</v>
          </cell>
          <cell r="AF48">
            <v>0.15690000000000001</v>
          </cell>
          <cell r="AG48">
            <v>2.59</v>
          </cell>
          <cell r="AH48">
            <v>0.12479999999999999</v>
          </cell>
          <cell r="AI48">
            <v>2.1800000000000002</v>
          </cell>
          <cell r="AJ48">
            <v>5.1559712579076766E-2</v>
          </cell>
          <cell r="AK48">
            <v>3.5389835717962059E-2</v>
          </cell>
          <cell r="AL48">
            <v>1.2121226479920515</v>
          </cell>
          <cell r="AM48">
            <v>2.8488967094311368E-2</v>
          </cell>
          <cell r="AN48">
            <v>1.552927677200211E-2</v>
          </cell>
          <cell r="AO48">
            <v>1.0926924718536732</v>
          </cell>
          <cell r="AP48" t="str">
            <v>Market deal</v>
          </cell>
          <cell r="AQ48" t="str">
            <v>Rent Optimization</v>
          </cell>
          <cell r="AR48" t="str">
            <v>Leasing Strategy</v>
          </cell>
          <cell r="AS48">
            <v>44732</v>
          </cell>
          <cell r="AT48">
            <v>14727035</v>
          </cell>
          <cell r="AU48">
            <v>15006733</v>
          </cell>
          <cell r="AV48">
            <v>680334.40321200003</v>
          </cell>
          <cell r="AW48">
            <v>678700.00001899968</v>
          </cell>
          <cell r="AX48">
            <v>4.6196291596509412E-2</v>
          </cell>
          <cell r="AY48">
            <v>4.6085311810490005E-2</v>
          </cell>
          <cell r="AZ48">
            <v>2.6</v>
          </cell>
          <cell r="BA48">
            <v>1</v>
          </cell>
          <cell r="BB48">
            <v>9.6537407797653803</v>
          </cell>
          <cell r="BC48">
            <v>1</v>
          </cell>
          <cell r="BD48">
            <v>0</v>
          </cell>
          <cell r="BE48">
            <v>0</v>
          </cell>
          <cell r="BF48">
            <v>381276.24</v>
          </cell>
          <cell r="BG48">
            <v>663751.38000000012</v>
          </cell>
          <cell r="BH48">
            <v>663751.38000000012</v>
          </cell>
          <cell r="BI48">
            <v>621792.28</v>
          </cell>
          <cell r="BJ48">
            <v>16342809.300000001</v>
          </cell>
        </row>
        <row r="49">
          <cell r="B49" t="str">
            <v>3il00001</v>
          </cell>
          <cell r="C49" t="str">
            <v>410 Factory</v>
          </cell>
          <cell r="D49" t="str">
            <v>Unrealized</v>
          </cell>
          <cell r="E49" t="str">
            <v>Industrial Value Fund III</v>
          </cell>
          <cell r="F49" t="str">
            <v>USD</v>
          </cell>
          <cell r="G49" t="str">
            <v>Last Mile</v>
          </cell>
          <cell r="H49" t="str">
            <v>Chicago</v>
          </cell>
          <cell r="I49" t="str">
            <v>Addison</v>
          </cell>
          <cell r="J49" t="str">
            <v>IL</v>
          </cell>
          <cell r="K49">
            <v>60101</v>
          </cell>
          <cell r="L49" t="str">
            <v>United States</v>
          </cell>
          <cell r="M49" t="str">
            <v>Chicago-Naperville-Elgin, IL-IN-WI</v>
          </cell>
          <cell r="N49">
            <v>41634</v>
          </cell>
          <cell r="O49">
            <v>1</v>
          </cell>
          <cell r="P49" t="str">
            <v>Single Asset</v>
          </cell>
          <cell r="Q49" t="str">
            <v>Property - Private Equity</v>
          </cell>
          <cell r="R49" t="str">
            <v>Industrial</v>
          </cell>
          <cell r="S49" t="str">
            <v>Warehouse</v>
          </cell>
          <cell r="T49">
            <v>1960</v>
          </cell>
          <cell r="U49" t="str">
            <v>Sq. Feet</v>
          </cell>
          <cell r="V49" t="str">
            <v>Value-Add</v>
          </cell>
          <cell r="W49" t="str">
            <v>Industrial / Logistics</v>
          </cell>
          <cell r="X49" t="str">
            <v>Common Equity</v>
          </cell>
          <cell r="Y49">
            <v>293648.44768688007</v>
          </cell>
          <cell r="Z49">
            <v>513744.72267099994</v>
          </cell>
          <cell r="AA49">
            <v>2628526.7226709998</v>
          </cell>
          <cell r="AB49">
            <v>0.11171598338878089</v>
          </cell>
          <cell r="AC49">
            <v>233139.19999999899</v>
          </cell>
          <cell r="AD49">
            <v>0.1165695999999995</v>
          </cell>
          <cell r="AE49">
            <v>6.25E-2</v>
          </cell>
          <cell r="AF49">
            <v>0.22159999999999999</v>
          </cell>
          <cell r="AG49">
            <v>3.26</v>
          </cell>
          <cell r="AH49">
            <v>0.1855</v>
          </cell>
          <cell r="AI49">
            <v>2.74</v>
          </cell>
          <cell r="AJ49">
            <v>0.16547538523071159</v>
          </cell>
          <cell r="AK49">
            <v>0.26559580873529809</v>
          </cell>
          <cell r="AL49">
            <v>3.4238884221190169</v>
          </cell>
          <cell r="AM49">
            <v>0.12878832915269434</v>
          </cell>
          <cell r="AN49">
            <v>0.22075571179373377</v>
          </cell>
          <cell r="AO49">
            <v>2.8672895710530284</v>
          </cell>
          <cell r="AP49" t="str">
            <v>Unsolicited \ Off-market</v>
          </cell>
          <cell r="AQ49" t="str">
            <v>Rent Optimization</v>
          </cell>
          <cell r="AR49" t="str">
            <v>Leasing Strategy</v>
          </cell>
          <cell r="AS49">
            <v>44754</v>
          </cell>
          <cell r="AT49">
            <v>2000000</v>
          </cell>
          <cell r="AU49">
            <v>2114782</v>
          </cell>
          <cell r="AV49">
            <v>137218.14032399998</v>
          </cell>
          <cell r="AW49">
            <v>139702.49649200024</v>
          </cell>
          <cell r="AX49">
            <v>6.8609070161999991E-2</v>
          </cell>
          <cell r="AY49">
            <v>6.9851248246000114E-2</v>
          </cell>
          <cell r="AZ49">
            <v>4.8998414757169604</v>
          </cell>
          <cell r="BA49">
            <v>1</v>
          </cell>
          <cell r="BB49">
            <v>4.4739726027285398</v>
          </cell>
          <cell r="BC49">
            <v>1</v>
          </cell>
          <cell r="BD49">
            <v>0</v>
          </cell>
          <cell r="BE49">
            <v>0</v>
          </cell>
          <cell r="BF49">
            <v>68522.7</v>
          </cell>
          <cell r="BG49">
            <v>153347.64000000001</v>
          </cell>
          <cell r="BH49">
            <v>153347.64000000001</v>
          </cell>
          <cell r="BI49">
            <v>150306.15000000002</v>
          </cell>
          <cell r="BJ49">
            <v>2549383.29</v>
          </cell>
        </row>
        <row r="50">
          <cell r="B50" t="str">
            <v>3md00002</v>
          </cell>
          <cell r="C50" t="str">
            <v>6704 Curtis</v>
          </cell>
          <cell r="D50" t="str">
            <v>Unrealized</v>
          </cell>
          <cell r="E50" t="str">
            <v>Industrial Value Fund III</v>
          </cell>
          <cell r="F50" t="str">
            <v>USD</v>
          </cell>
          <cell r="G50" t="str">
            <v>Last Mile</v>
          </cell>
          <cell r="H50" t="str">
            <v>Baltimore</v>
          </cell>
          <cell r="I50" t="str">
            <v>Glen Burnie</v>
          </cell>
          <cell r="J50" t="str">
            <v>MD</v>
          </cell>
          <cell r="K50">
            <v>21060</v>
          </cell>
          <cell r="L50" t="str">
            <v>United States</v>
          </cell>
          <cell r="M50" t="str">
            <v>Baltimore-Columbia-Towson, MD</v>
          </cell>
          <cell r="N50">
            <v>59452</v>
          </cell>
          <cell r="O50">
            <v>1</v>
          </cell>
          <cell r="P50" t="str">
            <v>Single Asset</v>
          </cell>
          <cell r="Q50" t="str">
            <v>Property - Private Equity</v>
          </cell>
          <cell r="R50" t="str">
            <v>Industrial</v>
          </cell>
          <cell r="S50" t="str">
            <v>Warehouse</v>
          </cell>
          <cell r="T50">
            <v>1979</v>
          </cell>
          <cell r="U50" t="str">
            <v>Sq. Feet</v>
          </cell>
          <cell r="V50" t="str">
            <v>Value-Add</v>
          </cell>
          <cell r="W50" t="str">
            <v>Industrial / Logistics</v>
          </cell>
          <cell r="X50" t="str">
            <v>Common Equity</v>
          </cell>
          <cell r="Y50">
            <v>803309.49115560018</v>
          </cell>
          <cell r="Z50">
            <v>678202.65991999989</v>
          </cell>
          <cell r="AA50">
            <v>10871793.65992</v>
          </cell>
          <cell r="AB50">
            <v>7.3889324639878365E-2</v>
          </cell>
          <cell r="AC50">
            <v>794920.5</v>
          </cell>
          <cell r="AD50">
            <v>7.9317551386948709E-2</v>
          </cell>
          <cell r="AE50">
            <v>5.5E-2</v>
          </cell>
          <cell r="AF50">
            <v>0.20699999999999999</v>
          </cell>
          <cell r="AG50">
            <v>2.93</v>
          </cell>
          <cell r="AH50">
            <v>0.17199999999999999</v>
          </cell>
          <cell r="AI50">
            <v>2.5</v>
          </cell>
          <cell r="AJ50">
            <v>0.11332350983675998</v>
          </cell>
          <cell r="AK50">
            <v>0.17471766134145961</v>
          </cell>
          <cell r="AL50">
            <v>2.3269469669628489</v>
          </cell>
          <cell r="AM50">
            <v>8.2011007958190829E-2</v>
          </cell>
          <cell r="AN50">
            <v>0.13719803158061561</v>
          </cell>
          <cell r="AO50">
            <v>1.9845627621937054</v>
          </cell>
          <cell r="AP50" t="str">
            <v>Market deal</v>
          </cell>
          <cell r="AQ50" t="str">
            <v>Rent Optimization</v>
          </cell>
          <cell r="AR50" t="str">
            <v>Leasing Strategy</v>
          </cell>
          <cell r="AS50">
            <v>44756</v>
          </cell>
          <cell r="AT50">
            <v>10022000</v>
          </cell>
          <cell r="AU50">
            <v>10193591</v>
          </cell>
          <cell r="AV50">
            <v>528721.284384</v>
          </cell>
          <cell r="AW50">
            <v>618565.8869599998</v>
          </cell>
          <cell r="AX50">
            <v>5.2756065095190582E-2</v>
          </cell>
          <cell r="AY50">
            <v>6.1720802929554959E-2</v>
          </cell>
          <cell r="AZ50">
            <v>9.0918703191073806</v>
          </cell>
          <cell r="BA50">
            <v>0.81658543212811796</v>
          </cell>
          <cell r="BB50">
            <v>5.6892513805512603</v>
          </cell>
          <cell r="BC50">
            <v>1</v>
          </cell>
          <cell r="BD50">
            <v>0</v>
          </cell>
          <cell r="BE50">
            <v>0</v>
          </cell>
          <cell r="BF50">
            <v>245039.14</v>
          </cell>
          <cell r="BG50">
            <v>513651.26</v>
          </cell>
          <cell r="BH50">
            <v>513651.26</v>
          </cell>
          <cell r="BI50">
            <v>667670.43999999994</v>
          </cell>
          <cell r="BJ50">
            <v>10784939.74</v>
          </cell>
        </row>
        <row r="51">
          <cell r="B51" t="str">
            <v>3il00002</v>
          </cell>
          <cell r="C51" t="str">
            <v>150-152 Railroad</v>
          </cell>
          <cell r="D51" t="str">
            <v>Unrealized</v>
          </cell>
          <cell r="E51" t="str">
            <v>Industrial Value Fund III</v>
          </cell>
          <cell r="F51" t="str">
            <v>USD</v>
          </cell>
          <cell r="G51" t="str">
            <v>Last Mile</v>
          </cell>
          <cell r="H51" t="str">
            <v>Chicago</v>
          </cell>
          <cell r="I51" t="str">
            <v>Northlake</v>
          </cell>
          <cell r="J51" t="str">
            <v>IL</v>
          </cell>
          <cell r="K51">
            <v>60164</v>
          </cell>
          <cell r="L51" t="str">
            <v>United States</v>
          </cell>
          <cell r="M51" t="str">
            <v>Chicago-Naperville-Elgin, IL-IN-WI</v>
          </cell>
          <cell r="N51">
            <v>40590</v>
          </cell>
          <cell r="O51">
            <v>1</v>
          </cell>
          <cell r="P51" t="str">
            <v>Single Asset</v>
          </cell>
          <cell r="Q51" t="str">
            <v>Property - Private Equity</v>
          </cell>
          <cell r="R51" t="str">
            <v>Industrial</v>
          </cell>
          <cell r="S51" t="str">
            <v>Warehouse</v>
          </cell>
          <cell r="T51">
            <v>1978</v>
          </cell>
          <cell r="U51" t="str">
            <v>Sq. Feet</v>
          </cell>
          <cell r="V51" t="str">
            <v>Value-Add</v>
          </cell>
          <cell r="W51" t="str">
            <v>Industrial / Logistics</v>
          </cell>
          <cell r="X51" t="str">
            <v>Common Equity</v>
          </cell>
          <cell r="Y51">
            <v>305047.72552175989</v>
          </cell>
          <cell r="Z51">
            <v>669207.36065100005</v>
          </cell>
          <cell r="AA51">
            <v>3623206.3606509999</v>
          </cell>
          <cell r="AB51">
            <v>8.4192755023467777E-2</v>
          </cell>
          <cell r="AC51">
            <v>246516</v>
          </cell>
          <cell r="AD51">
            <v>8.4351646546768494E-2</v>
          </cell>
          <cell r="AE51">
            <v>0.06</v>
          </cell>
          <cell r="AF51">
            <v>0.16139999999999999</v>
          </cell>
          <cell r="AG51">
            <v>2.21</v>
          </cell>
          <cell r="AH51">
            <v>0.12859999999999999</v>
          </cell>
          <cell r="AI51">
            <v>1.94</v>
          </cell>
          <cell r="AJ51">
            <v>0.13052303515447328</v>
          </cell>
          <cell r="AK51">
            <v>0.21168652167685131</v>
          </cell>
          <cell r="AL51">
            <v>2.5759214247097026</v>
          </cell>
          <cell r="AM51">
            <v>9.68228424002473E-2</v>
          </cell>
          <cell r="AN51">
            <v>0.17002311576046369</v>
          </cell>
          <cell r="AO51">
            <v>2.1861379956571301</v>
          </cell>
          <cell r="AP51" t="str">
            <v>Market deal</v>
          </cell>
          <cell r="AQ51" t="str">
            <v>Renewal / Re-tenant</v>
          </cell>
          <cell r="AR51" t="str">
            <v>Leasing Strategy</v>
          </cell>
          <cell r="AS51">
            <v>44760</v>
          </cell>
          <cell r="AT51">
            <v>2922480</v>
          </cell>
          <cell r="AU51">
            <v>2953999</v>
          </cell>
          <cell r="AV51">
            <v>264099.31727999996</v>
          </cell>
          <cell r="AW51">
            <v>264413.07299299992</v>
          </cell>
          <cell r="AX51">
            <v>9.0368220579781541E-2</v>
          </cell>
          <cell r="AY51">
            <v>9.0475579984465218E-2</v>
          </cell>
          <cell r="AZ51">
            <v>8.0595831485587492</v>
          </cell>
          <cell r="BA51">
            <v>1</v>
          </cell>
          <cell r="BB51">
            <v>1.5672231840601101</v>
          </cell>
          <cell r="BC51">
            <v>1</v>
          </cell>
          <cell r="BD51">
            <v>0</v>
          </cell>
          <cell r="BE51">
            <v>0</v>
          </cell>
          <cell r="BF51">
            <v>72900.48000000001</v>
          </cell>
          <cell r="BG51">
            <v>281401.33999999997</v>
          </cell>
          <cell r="BH51">
            <v>281401.33999999997</v>
          </cell>
          <cell r="BI51">
            <v>-13575.600000000035</v>
          </cell>
          <cell r="BJ51">
            <v>3101245.16</v>
          </cell>
        </row>
        <row r="52">
          <cell r="B52" t="str">
            <v>3oh00001</v>
          </cell>
          <cell r="C52" t="str">
            <v>2060-2098 N Integrity Dr</v>
          </cell>
          <cell r="D52" t="str">
            <v>Unrealized</v>
          </cell>
          <cell r="E52" t="str">
            <v>Industrial Value Fund III</v>
          </cell>
          <cell r="F52" t="str">
            <v>USD</v>
          </cell>
          <cell r="G52" t="str">
            <v>Last Mile</v>
          </cell>
          <cell r="H52" t="str">
            <v>Columbus</v>
          </cell>
          <cell r="I52" t="str">
            <v>Columbus</v>
          </cell>
          <cell r="J52" t="str">
            <v>OH</v>
          </cell>
          <cell r="K52">
            <v>43209</v>
          </cell>
          <cell r="L52" t="str">
            <v>United States</v>
          </cell>
          <cell r="M52" t="str">
            <v>Columbus, OH</v>
          </cell>
          <cell r="N52">
            <v>161400</v>
          </cell>
          <cell r="O52">
            <v>2</v>
          </cell>
          <cell r="P52" t="str">
            <v>Portfolio</v>
          </cell>
          <cell r="Q52" t="str">
            <v>Property - Private Equity</v>
          </cell>
          <cell r="R52" t="str">
            <v>Industrial</v>
          </cell>
          <cell r="S52" t="str">
            <v>Warehouse</v>
          </cell>
          <cell r="T52">
            <v>1972</v>
          </cell>
          <cell r="U52" t="str">
            <v>Sq. Feet</v>
          </cell>
          <cell r="V52" t="str">
            <v>Value-Add</v>
          </cell>
          <cell r="W52" t="str">
            <v>Industrial / Logistics</v>
          </cell>
          <cell r="X52" t="str">
            <v>Common Equity</v>
          </cell>
          <cell r="Y52">
            <v>1087403.9514207998</v>
          </cell>
          <cell r="Z52">
            <v>2265526.0259779999</v>
          </cell>
          <cell r="AA52">
            <v>12209212.025977999</v>
          </cell>
          <cell r="AB52">
            <v>8.9064220451499213E-2</v>
          </cell>
          <cell r="AC52">
            <v>859950</v>
          </cell>
          <cell r="AD52">
            <v>8.7304568527918777E-2</v>
          </cell>
          <cell r="AE52">
            <v>6.25E-2</v>
          </cell>
          <cell r="AF52">
            <v>0.17760000000000001</v>
          </cell>
          <cell r="AG52">
            <v>2.59</v>
          </cell>
          <cell r="AH52">
            <v>0.14349999999999999</v>
          </cell>
          <cell r="AI52">
            <v>2.2200000000000002</v>
          </cell>
          <cell r="AJ52">
            <v>0.13188687037826896</v>
          </cell>
          <cell r="AK52">
            <v>0.20947961259780068</v>
          </cell>
          <cell r="AL52">
            <v>2.5674571032589526</v>
          </cell>
          <cell r="AM52">
            <v>9.8426477074877949E-2</v>
          </cell>
          <cell r="AN52">
            <v>0.16893418710773167</v>
          </cell>
          <cell r="AO52">
            <v>2.1836292378933111</v>
          </cell>
          <cell r="AP52" t="str">
            <v>Unsolicited \ Off-market</v>
          </cell>
          <cell r="AQ52" t="str">
            <v>Rent Optimization</v>
          </cell>
          <cell r="AR52" t="str">
            <v>Leasing Strategy</v>
          </cell>
          <cell r="AS52">
            <v>44769</v>
          </cell>
          <cell r="AT52">
            <v>9850000</v>
          </cell>
          <cell r="AU52">
            <v>9943686</v>
          </cell>
          <cell r="AV52">
            <v>495529.96159199998</v>
          </cell>
          <cell r="AW52">
            <v>439342.23177500017</v>
          </cell>
          <cell r="AX52">
            <v>5.0307610313908624E-2</v>
          </cell>
          <cell r="AY52">
            <v>4.4603272261421335E-2</v>
          </cell>
          <cell r="AZ52">
            <v>4.92820322180917</v>
          </cell>
          <cell r="BA52">
            <v>1</v>
          </cell>
          <cell r="BB52">
            <v>1.1687766291511701</v>
          </cell>
          <cell r="BC52">
            <v>1</v>
          </cell>
          <cell r="BD52">
            <v>0</v>
          </cell>
          <cell r="BE52">
            <v>0</v>
          </cell>
          <cell r="BF52">
            <v>206967.47</v>
          </cell>
          <cell r="BG52">
            <v>644615.44999999995</v>
          </cell>
          <cell r="BH52">
            <v>644615.44999999995</v>
          </cell>
          <cell r="BI52">
            <v>817002.90999999992</v>
          </cell>
          <cell r="BJ52">
            <v>10355444.460000001</v>
          </cell>
        </row>
        <row r="53">
          <cell r="B53" t="str">
            <v>3ga00002</v>
          </cell>
          <cell r="C53" t="str">
            <v>801 Blacklawn Road</v>
          </cell>
          <cell r="D53" t="str">
            <v>Unrealized</v>
          </cell>
          <cell r="E53" t="str">
            <v>Industrial Value Fund III</v>
          </cell>
          <cell r="F53" t="str">
            <v>USD</v>
          </cell>
          <cell r="G53" t="str">
            <v>Last Mile</v>
          </cell>
          <cell r="H53" t="str">
            <v>Atlanta</v>
          </cell>
          <cell r="I53" t="str">
            <v>Conyers</v>
          </cell>
          <cell r="J53" t="str">
            <v>GA</v>
          </cell>
          <cell r="K53">
            <v>30012</v>
          </cell>
          <cell r="L53" t="str">
            <v>United States</v>
          </cell>
          <cell r="M53" t="str">
            <v>Atlanta-Sandy Springs-Roswell, GA</v>
          </cell>
          <cell r="N53">
            <v>111540</v>
          </cell>
          <cell r="O53">
            <v>1</v>
          </cell>
          <cell r="P53" t="str">
            <v>Single Asset</v>
          </cell>
          <cell r="Q53" t="str">
            <v>Property - Private Equity</v>
          </cell>
          <cell r="R53" t="str">
            <v>Industrial</v>
          </cell>
          <cell r="S53" t="str">
            <v>Warehouse</v>
          </cell>
          <cell r="T53">
            <v>1983</v>
          </cell>
          <cell r="U53" t="str">
            <v>Sq. Feet</v>
          </cell>
          <cell r="V53" t="str">
            <v>Value-Add</v>
          </cell>
          <cell r="W53" t="str">
            <v>Industrial / Logistics</v>
          </cell>
          <cell r="X53" t="str">
            <v>Common Equity</v>
          </cell>
          <cell r="Y53">
            <v>844179.35632784001</v>
          </cell>
          <cell r="Z53">
            <v>333452.42115899996</v>
          </cell>
          <cell r="AA53">
            <v>13146397.421158999</v>
          </cell>
          <cell r="AB53">
            <v>6.4213740790244292E-2</v>
          </cell>
          <cell r="AC53">
            <v>669240</v>
          </cell>
          <cell r="AD53">
            <v>5.2453858333825813E-2</v>
          </cell>
          <cell r="AE53">
            <v>0.05</v>
          </cell>
          <cell r="AF53">
            <v>0.14499999999999999</v>
          </cell>
          <cell r="AG53">
            <v>2.3199999999999998</v>
          </cell>
          <cell r="AH53">
            <v>0.11260000000000001</v>
          </cell>
          <cell r="AI53">
            <v>1.99</v>
          </cell>
          <cell r="AJ53">
            <v>9.5736525047123378E-2</v>
          </cell>
          <cell r="AK53">
            <v>0.13722309469821425</v>
          </cell>
          <cell r="AL53">
            <v>2.0070966035994751</v>
          </cell>
          <cell r="AM53">
            <v>6.6844079554430502E-2</v>
          </cell>
          <cell r="AN53">
            <v>0.10392627484385364</v>
          </cell>
          <cell r="AO53">
            <v>1.7295673425120062</v>
          </cell>
          <cell r="AP53" t="str">
            <v>Soft marketed</v>
          </cell>
          <cell r="AQ53" t="str">
            <v>Rent Optimization</v>
          </cell>
          <cell r="AR53" t="str">
            <v>Stabilised</v>
          </cell>
          <cell r="AS53">
            <v>44770</v>
          </cell>
          <cell r="AT53">
            <v>12758642</v>
          </cell>
          <cell r="AU53">
            <v>12812945</v>
          </cell>
          <cell r="AV53">
            <v>603557.03557199996</v>
          </cell>
          <cell r="AW53">
            <v>639154.17125199898</v>
          </cell>
          <cell r="AX53">
            <v>4.7305742693618959E-2</v>
          </cell>
          <cell r="AY53">
            <v>5.0095783803009677E-2</v>
          </cell>
          <cell r="AZ53">
            <v>5.2672630446476596</v>
          </cell>
          <cell r="BA53">
            <v>1</v>
          </cell>
          <cell r="BB53">
            <v>1.51327148440021</v>
          </cell>
          <cell r="BC53">
            <v>1</v>
          </cell>
          <cell r="BD53">
            <v>0</v>
          </cell>
          <cell r="BE53">
            <v>0</v>
          </cell>
          <cell r="BF53">
            <v>243043.59000000003</v>
          </cell>
          <cell r="BG53">
            <v>599295.54999999993</v>
          </cell>
          <cell r="BH53">
            <v>599295.54999999993</v>
          </cell>
          <cell r="BI53">
            <v>568902.69000000006</v>
          </cell>
          <cell r="BJ53">
            <v>12926368.939999999</v>
          </cell>
        </row>
        <row r="54">
          <cell r="B54" t="str">
            <v>3il00003</v>
          </cell>
          <cell r="C54" t="str">
            <v>2100 W 32nd</v>
          </cell>
          <cell r="D54" t="str">
            <v>Unrealized</v>
          </cell>
          <cell r="E54" t="str">
            <v>Industrial Value Fund III</v>
          </cell>
          <cell r="F54" t="str">
            <v>USD</v>
          </cell>
          <cell r="G54" t="str">
            <v>Last Mile</v>
          </cell>
          <cell r="H54" t="str">
            <v>Chicago</v>
          </cell>
          <cell r="I54" t="str">
            <v>Chicago</v>
          </cell>
          <cell r="J54" t="str">
            <v>IL</v>
          </cell>
          <cell r="K54">
            <v>60608</v>
          </cell>
          <cell r="L54" t="str">
            <v>United States</v>
          </cell>
          <cell r="M54" t="str">
            <v>Chicago-Naperville-Elgin, IL-IN-WI</v>
          </cell>
          <cell r="N54">
            <v>19511</v>
          </cell>
          <cell r="O54">
            <v>1</v>
          </cell>
          <cell r="P54" t="str">
            <v>Single Asset</v>
          </cell>
          <cell r="Q54" t="str">
            <v>Property - Private Equity</v>
          </cell>
          <cell r="R54" t="str">
            <v>Industrial</v>
          </cell>
          <cell r="S54" t="str">
            <v>Warehouse</v>
          </cell>
          <cell r="T54">
            <v>1951</v>
          </cell>
          <cell r="U54" t="str">
            <v>Sq. Feet</v>
          </cell>
          <cell r="V54" t="str">
            <v>Value-Add</v>
          </cell>
          <cell r="W54" t="str">
            <v>Industrial / Logistics</v>
          </cell>
          <cell r="X54" t="str">
            <v>Common Equity</v>
          </cell>
          <cell r="Y54">
            <v>183477.22035656008</v>
          </cell>
          <cell r="Z54">
            <v>292578.01339499996</v>
          </cell>
          <cell r="AA54">
            <v>2056325.013395</v>
          </cell>
          <cell r="AB54">
            <v>8.9225788317206983E-2</v>
          </cell>
          <cell r="AC54">
            <v>126000</v>
          </cell>
          <cell r="AD54">
            <v>7.4117647058823524E-2</v>
          </cell>
          <cell r="AE54">
            <v>5.7500000000000002E-2</v>
          </cell>
          <cell r="AF54">
            <v>0.17610000000000001</v>
          </cell>
          <cell r="AG54">
            <v>2.12</v>
          </cell>
          <cell r="AH54">
            <v>0.14080000000000001</v>
          </cell>
          <cell r="AI54">
            <v>1.86</v>
          </cell>
          <cell r="AJ54">
            <v>0.14296104592748171</v>
          </cell>
          <cell r="AK54">
            <v>0.23023599878519607</v>
          </cell>
          <cell r="AL54">
            <v>2.72619096972445</v>
          </cell>
          <cell r="AM54">
            <v>0.10850657300191413</v>
          </cell>
          <cell r="AN54">
            <v>0.18810174125646673</v>
          </cell>
          <cell r="AO54">
            <v>2.3138758238461765</v>
          </cell>
          <cell r="AP54" t="str">
            <v>Unsolicited \ Off-market</v>
          </cell>
          <cell r="AQ54" t="str">
            <v>Rent Optimization</v>
          </cell>
          <cell r="AR54" t="str">
            <v>Stabilised</v>
          </cell>
          <cell r="AS54">
            <v>44771</v>
          </cell>
          <cell r="AT54">
            <v>1700000</v>
          </cell>
          <cell r="AU54">
            <v>1763747</v>
          </cell>
          <cell r="AV54">
            <v>116026.897812</v>
          </cell>
          <cell r="AW54">
            <v>115087.87687299994</v>
          </cell>
          <cell r="AX54">
            <v>6.8251116360000003E-2</v>
          </cell>
          <cell r="AY54">
            <v>6.7698751101764668E-2</v>
          </cell>
          <cell r="AZ54">
            <v>5.89</v>
          </cell>
          <cell r="BA54">
            <v>1</v>
          </cell>
          <cell r="BB54">
            <v>5.45479452052688</v>
          </cell>
          <cell r="BC54">
            <v>1</v>
          </cell>
          <cell r="BD54">
            <v>0</v>
          </cell>
          <cell r="BE54">
            <v>0</v>
          </cell>
          <cell r="BF54">
            <v>46324.75</v>
          </cell>
          <cell r="BG54">
            <v>114365.50999999998</v>
          </cell>
          <cell r="BH54">
            <v>114365.50999999998</v>
          </cell>
          <cell r="BI54">
            <v>116668.65</v>
          </cell>
          <cell r="BJ54">
            <v>1801057.38</v>
          </cell>
        </row>
        <row r="55">
          <cell r="B55" t="str">
            <v>3ga00003</v>
          </cell>
          <cell r="C55" t="str">
            <v>1100 Shallowford Rd</v>
          </cell>
          <cell r="D55" t="str">
            <v>Unrealized</v>
          </cell>
          <cell r="E55" t="str">
            <v>Industrial Value Fund III</v>
          </cell>
          <cell r="F55" t="str">
            <v>USD</v>
          </cell>
          <cell r="G55" t="str">
            <v>Last Mile</v>
          </cell>
          <cell r="H55" t="str">
            <v>Atlanta</v>
          </cell>
          <cell r="I55" t="str">
            <v>Marietta</v>
          </cell>
          <cell r="J55" t="str">
            <v>GA</v>
          </cell>
          <cell r="K55">
            <v>30066</v>
          </cell>
          <cell r="L55" t="str">
            <v>United States</v>
          </cell>
          <cell r="M55" t="str">
            <v>Atlanta-Sandy Springs-Roswell, GA</v>
          </cell>
          <cell r="N55">
            <v>101334</v>
          </cell>
          <cell r="O55">
            <v>1</v>
          </cell>
          <cell r="P55" t="str">
            <v>Single Asset</v>
          </cell>
          <cell r="Q55" t="str">
            <v>Property - Private Equity</v>
          </cell>
          <cell r="R55" t="str">
            <v>Industrial</v>
          </cell>
          <cell r="S55" t="str">
            <v>Warehouse</v>
          </cell>
          <cell r="T55">
            <v>1982</v>
          </cell>
          <cell r="U55" t="str">
            <v>Sq. Feet</v>
          </cell>
          <cell r="V55" t="str">
            <v>Value-Add</v>
          </cell>
          <cell r="W55" t="str">
            <v>Industrial / Logistics</v>
          </cell>
          <cell r="X55" t="str">
            <v>Common Equity</v>
          </cell>
          <cell r="Y55">
            <v>1005614.7221484</v>
          </cell>
          <cell r="Z55">
            <v>676842.51817800011</v>
          </cell>
          <cell r="AA55">
            <v>11245036.518178001</v>
          </cell>
          <cell r="AB55">
            <v>8.942743053993539E-2</v>
          </cell>
          <cell r="AC55">
            <v>768631.6</v>
          </cell>
          <cell r="AD55">
            <v>7.3203009523809523E-2</v>
          </cell>
          <cell r="AE55">
            <v>5.5E-2</v>
          </cell>
          <cell r="AF55">
            <v>0.19980000000000001</v>
          </cell>
          <cell r="AG55">
            <v>3.16</v>
          </cell>
          <cell r="AH55">
            <v>0.1641</v>
          </cell>
          <cell r="AI55">
            <v>2.61</v>
          </cell>
          <cell r="AJ55">
            <v>0.14622529668320849</v>
          </cell>
          <cell r="AK55">
            <v>0.2345456406733597</v>
          </cell>
          <cell r="AL55">
            <v>3.0650765160090789</v>
          </cell>
          <cell r="AM55">
            <v>0.111623046977952</v>
          </cell>
          <cell r="AN55">
            <v>0.19230017873350591</v>
          </cell>
          <cell r="AO55">
            <v>2.5770189207628755</v>
          </cell>
          <cell r="AP55" t="str">
            <v>Unsolicited \ Off-market</v>
          </cell>
          <cell r="AQ55" t="str">
            <v>Rent Optimization</v>
          </cell>
          <cell r="AR55" t="str">
            <v>Leasing Strategy</v>
          </cell>
          <cell r="AS55">
            <v>44775</v>
          </cell>
          <cell r="AT55">
            <v>10500000</v>
          </cell>
          <cell r="AU55">
            <v>10568194</v>
          </cell>
          <cell r="AV55">
            <v>634012.87591199996</v>
          </cell>
          <cell r="AW55">
            <v>631751.99999899999</v>
          </cell>
          <cell r="AX55">
            <v>6.0382178658285712E-2</v>
          </cell>
          <cell r="AY55">
            <v>6.0166857142761904E-2</v>
          </cell>
          <cell r="AZ55">
            <v>6</v>
          </cell>
          <cell r="BA55">
            <v>1</v>
          </cell>
          <cell r="BB55">
            <v>3.08219178082381</v>
          </cell>
          <cell r="BC55">
            <v>1</v>
          </cell>
          <cell r="BD55">
            <v>0</v>
          </cell>
          <cell r="BE55">
            <v>0</v>
          </cell>
          <cell r="BF55">
            <v>244438.47999999998</v>
          </cell>
          <cell r="BG55">
            <v>606646.64999999991</v>
          </cell>
          <cell r="BH55">
            <v>606646.64999999991</v>
          </cell>
          <cell r="BI55">
            <v>606572.62</v>
          </cell>
          <cell r="BJ55">
            <v>10588385.5</v>
          </cell>
        </row>
        <row r="56">
          <cell r="B56" t="str">
            <v>3nj00003</v>
          </cell>
          <cell r="C56" t="str">
            <v>26 Hanes Drive</v>
          </cell>
          <cell r="D56" t="str">
            <v>Unrealized</v>
          </cell>
          <cell r="E56" t="str">
            <v>Industrial Value Fund III</v>
          </cell>
          <cell r="F56" t="str">
            <v>USD</v>
          </cell>
          <cell r="G56" t="str">
            <v>Last Mile</v>
          </cell>
          <cell r="H56" t="str">
            <v>Northern NJ/New York</v>
          </cell>
          <cell r="I56" t="str">
            <v>Wayne</v>
          </cell>
          <cell r="J56" t="str">
            <v>NJ</v>
          </cell>
          <cell r="K56" t="str">
            <v>07470</v>
          </cell>
          <cell r="L56" t="str">
            <v>United States</v>
          </cell>
          <cell r="M56" t="str">
            <v>New York-Newark-Jersey City, NY-NJ-PA</v>
          </cell>
          <cell r="N56">
            <v>41000</v>
          </cell>
          <cell r="O56">
            <v>1</v>
          </cell>
          <cell r="P56" t="str">
            <v>Single Asset</v>
          </cell>
          <cell r="Q56" t="str">
            <v>Property - Private Equity</v>
          </cell>
          <cell r="R56" t="str">
            <v>Industrial</v>
          </cell>
          <cell r="S56" t="str">
            <v>Warehouse</v>
          </cell>
          <cell r="T56">
            <v>1969</v>
          </cell>
          <cell r="U56" t="str">
            <v>Sq. Feet</v>
          </cell>
          <cell r="V56" t="str">
            <v>Value-Add</v>
          </cell>
          <cell r="W56" t="str">
            <v>Industrial / Logistics</v>
          </cell>
          <cell r="X56" t="str">
            <v>Common Equity</v>
          </cell>
          <cell r="Y56">
            <v>794571.53233016015</v>
          </cell>
          <cell r="Z56">
            <v>456255.65630700003</v>
          </cell>
          <cell r="AA56">
            <v>9528543.6563070007</v>
          </cell>
          <cell r="AB56">
            <v>8.338855978313417E-2</v>
          </cell>
          <cell r="AC56">
            <v>588745.96</v>
          </cell>
          <cell r="AD56">
            <v>6.5416217777777771E-2</v>
          </cell>
          <cell r="AE56">
            <v>5.5E-2</v>
          </cell>
          <cell r="AF56">
            <v>0.17419999999999999</v>
          </cell>
          <cell r="AG56">
            <v>2.76</v>
          </cell>
          <cell r="AH56">
            <v>0.1399</v>
          </cell>
          <cell r="AI56">
            <v>2.34</v>
          </cell>
          <cell r="AJ56">
            <v>0.12597086050874906</v>
          </cell>
          <cell r="AK56">
            <v>0.19461706915696841</v>
          </cell>
          <cell r="AL56">
            <v>2.663386695959495</v>
          </cell>
          <cell r="AM56">
            <v>9.3781774200707657E-2</v>
          </cell>
          <cell r="AN56">
            <v>0.15611483965942741</v>
          </cell>
          <cell r="AO56">
            <v>2.2553431431750299</v>
          </cell>
          <cell r="AP56" t="str">
            <v>Unsolicited \ Off-market</v>
          </cell>
          <cell r="AQ56" t="str">
            <v>Rent Optimization</v>
          </cell>
          <cell r="AR56" t="str">
            <v>Leasing Strategy</v>
          </cell>
          <cell r="AS56">
            <v>44777</v>
          </cell>
          <cell r="AT56">
            <v>9000000</v>
          </cell>
          <cell r="AU56">
            <v>9072288</v>
          </cell>
          <cell r="AV56">
            <v>409554.85041599994</v>
          </cell>
          <cell r="AW56">
            <v>417794.33482299978</v>
          </cell>
          <cell r="AX56">
            <v>4.5506094490666657E-2</v>
          </cell>
          <cell r="AY56">
            <v>4.6421592758111085E-2</v>
          </cell>
          <cell r="AZ56">
            <v>10.08</v>
          </cell>
          <cell r="BA56">
            <v>1</v>
          </cell>
          <cell r="BB56">
            <v>3.2424657534390202</v>
          </cell>
          <cell r="BC56">
            <v>1</v>
          </cell>
          <cell r="BD56">
            <v>0</v>
          </cell>
          <cell r="BE56">
            <v>0</v>
          </cell>
          <cell r="BF56">
            <v>174086.53</v>
          </cell>
          <cell r="BG56">
            <v>424773.07999999996</v>
          </cell>
          <cell r="BH56">
            <v>424773.07999999996</v>
          </cell>
          <cell r="BI56">
            <v>438403.32999999996</v>
          </cell>
          <cell r="BJ56">
            <v>9072288</v>
          </cell>
        </row>
        <row r="57">
          <cell r="B57" t="str">
            <v>3il00004</v>
          </cell>
          <cell r="C57" t="str">
            <v>3380 Grand Ave</v>
          </cell>
          <cell r="D57" t="str">
            <v>Unrealized</v>
          </cell>
          <cell r="E57" t="str">
            <v>Industrial Value Fund III</v>
          </cell>
          <cell r="F57" t="str">
            <v>USD</v>
          </cell>
          <cell r="G57" t="str">
            <v>Last Mile</v>
          </cell>
          <cell r="H57" t="str">
            <v>Chicago</v>
          </cell>
          <cell r="I57" t="str">
            <v>Waukegan</v>
          </cell>
          <cell r="J57" t="str">
            <v>IL</v>
          </cell>
          <cell r="K57">
            <v>60085</v>
          </cell>
          <cell r="L57" t="str">
            <v>United States</v>
          </cell>
          <cell r="M57" t="str">
            <v>Chicago-Naperville-Elgin, IL-IN-WI</v>
          </cell>
          <cell r="N57">
            <v>46156</v>
          </cell>
          <cell r="O57">
            <v>1</v>
          </cell>
          <cell r="P57" t="str">
            <v>Single Asset</v>
          </cell>
          <cell r="Q57" t="str">
            <v>Property - Private Equity</v>
          </cell>
          <cell r="R57" t="str">
            <v>Industrial</v>
          </cell>
          <cell r="S57" t="str">
            <v>Warehouse</v>
          </cell>
          <cell r="T57">
            <v>1975</v>
          </cell>
          <cell r="U57" t="str">
            <v>Sq. Feet</v>
          </cell>
          <cell r="V57" t="str">
            <v>Value-Add</v>
          </cell>
          <cell r="W57" t="str">
            <v>Industrial / Logistics</v>
          </cell>
          <cell r="X57" t="str">
            <v>Common Equity</v>
          </cell>
          <cell r="Y57">
            <v>261845.66983327983</v>
          </cell>
          <cell r="Z57">
            <v>433929.23531999998</v>
          </cell>
          <cell r="AA57">
            <v>2973295.23532</v>
          </cell>
          <cell r="AB57">
            <v>8.8065815571489584E-2</v>
          </cell>
          <cell r="AC57">
            <v>209794.5</v>
          </cell>
          <cell r="AD57">
            <v>8.3917800000000001E-2</v>
          </cell>
          <cell r="AE57">
            <v>0.06</v>
          </cell>
          <cell r="AF57">
            <v>0.16170000000000001</v>
          </cell>
          <cell r="AG57">
            <v>2.23</v>
          </cell>
          <cell r="AH57">
            <v>0.12939999999999999</v>
          </cell>
          <cell r="AI57">
            <v>1.93</v>
          </cell>
          <cell r="AJ57">
            <v>0.12986959850577162</v>
          </cell>
          <cell r="AK57">
            <v>0.20315505197811379</v>
          </cell>
          <cell r="AL57">
            <v>2.6094494897773219</v>
          </cell>
          <cell r="AM57">
            <v>9.7049820018261013E-2</v>
          </cell>
          <cell r="AN57">
            <v>0.1637661887316082</v>
          </cell>
          <cell r="AO57">
            <v>2.2162016676476544</v>
          </cell>
          <cell r="AP57" t="str">
            <v>Soft marketed</v>
          </cell>
          <cell r="AQ57" t="str">
            <v>Rent Optimization</v>
          </cell>
          <cell r="AR57" t="str">
            <v>Leasing Strategy</v>
          </cell>
          <cell r="AS57">
            <v>44777</v>
          </cell>
          <cell r="AT57">
            <v>2500000</v>
          </cell>
          <cell r="AU57">
            <v>2539366</v>
          </cell>
          <cell r="AV57">
            <v>225765.83853600002</v>
          </cell>
          <cell r="AW57">
            <v>35477.778528000039</v>
          </cell>
          <cell r="AX57">
            <v>9.0306335414400016E-2</v>
          </cell>
          <cell r="AY57">
            <v>1.4191111411200016E-2</v>
          </cell>
          <cell r="AZ57">
            <v>5.0000008666262197</v>
          </cell>
          <cell r="BA57">
            <v>1</v>
          </cell>
          <cell r="BB57">
            <v>0.40821917809168901</v>
          </cell>
          <cell r="BC57">
            <v>1</v>
          </cell>
          <cell r="BD57">
            <v>0</v>
          </cell>
          <cell r="BE57">
            <v>0</v>
          </cell>
          <cell r="BF57">
            <v>87401.47</v>
          </cell>
          <cell r="BG57">
            <v>158418.31</v>
          </cell>
          <cell r="BH57">
            <v>158418.31</v>
          </cell>
          <cell r="BI57">
            <v>231634.08999999997</v>
          </cell>
          <cell r="BJ57">
            <v>2721097.1</v>
          </cell>
        </row>
        <row r="58">
          <cell r="B58" t="str">
            <v>3ny00001</v>
          </cell>
          <cell r="C58" t="str">
            <v>180 Heartland Blvd</v>
          </cell>
          <cell r="D58" t="str">
            <v>Unrealized</v>
          </cell>
          <cell r="E58" t="str">
            <v>Industrial Value Fund III</v>
          </cell>
          <cell r="F58" t="str">
            <v>USD</v>
          </cell>
          <cell r="G58" t="str">
            <v>Last Mile</v>
          </cell>
          <cell r="H58" t="str">
            <v>Long Island</v>
          </cell>
          <cell r="I58" t="str">
            <v>Brentwood</v>
          </cell>
          <cell r="J58" t="str">
            <v>NY</v>
          </cell>
          <cell r="K58">
            <v>11717</v>
          </cell>
          <cell r="L58" t="str">
            <v>United States</v>
          </cell>
          <cell r="M58" t="str">
            <v>New York-Newark-Jersey City, NY-NJ-PA</v>
          </cell>
          <cell r="N58">
            <v>24012</v>
          </cell>
          <cell r="O58">
            <v>1</v>
          </cell>
          <cell r="P58" t="str">
            <v>Single Asset</v>
          </cell>
          <cell r="Q58" t="str">
            <v>Property - Private Equity</v>
          </cell>
          <cell r="R58" t="str">
            <v>Industrial</v>
          </cell>
          <cell r="S58" t="str">
            <v>Warehouse</v>
          </cell>
          <cell r="T58">
            <v>1986</v>
          </cell>
          <cell r="U58" t="str">
            <v>Sq. Feet</v>
          </cell>
          <cell r="V58" t="str">
            <v>Value-Add</v>
          </cell>
          <cell r="W58" t="str">
            <v>Industrial / Logistics</v>
          </cell>
          <cell r="X58" t="str">
            <v>Common Equity</v>
          </cell>
          <cell r="Y58">
            <v>396232.65592560003</v>
          </cell>
          <cell r="Z58">
            <v>260164.13574900001</v>
          </cell>
          <cell r="AA58">
            <v>5267436.1357490001</v>
          </cell>
          <cell r="AB58">
            <v>7.5223058374918092E-2</v>
          </cell>
          <cell r="AC58">
            <v>324000</v>
          </cell>
          <cell r="AD58">
            <v>6.545454545454546E-2</v>
          </cell>
          <cell r="AE58">
            <v>5.5E-2</v>
          </cell>
          <cell r="AF58">
            <v>0.16400000000000001</v>
          </cell>
          <cell r="AG58">
            <v>2.44</v>
          </cell>
          <cell r="AH58">
            <v>0.13</v>
          </cell>
          <cell r="AI58">
            <v>2.08</v>
          </cell>
          <cell r="AJ58">
            <v>0.11157332151551036</v>
          </cell>
          <cell r="AK58">
            <v>0.17041292329788882</v>
          </cell>
          <cell r="AL58">
            <v>2.2936117075007614</v>
          </cell>
          <cell r="AM58">
            <v>8.0809874237909307E-2</v>
          </cell>
          <cell r="AN58">
            <v>0.13376993383264324</v>
          </cell>
          <cell r="AO58">
            <v>1.9603062065450145</v>
          </cell>
          <cell r="AP58" t="str">
            <v>Unsolicited \ Off-market</v>
          </cell>
          <cell r="AQ58" t="str">
            <v>Rent Optimization</v>
          </cell>
          <cell r="AR58" t="str">
            <v>Leasing Strategy</v>
          </cell>
          <cell r="AS58">
            <v>44785</v>
          </cell>
          <cell r="AT58">
            <v>4950000</v>
          </cell>
          <cell r="AU58">
            <v>5007272</v>
          </cell>
          <cell r="AV58">
            <v>265215.99145199999</v>
          </cell>
          <cell r="AW58">
            <v>247780.85451499996</v>
          </cell>
          <cell r="AX58">
            <v>5.3578988172121207E-2</v>
          </cell>
          <cell r="AY58">
            <v>5.0056738285858576E-2</v>
          </cell>
          <cell r="AZ58">
            <v>11.041665</v>
          </cell>
          <cell r="BA58">
            <v>1</v>
          </cell>
          <cell r="BB58">
            <v>0.60821917808333303</v>
          </cell>
          <cell r="BC58">
            <v>1</v>
          </cell>
          <cell r="BD58">
            <v>0</v>
          </cell>
          <cell r="BE58">
            <v>0</v>
          </cell>
          <cell r="BF58">
            <v>97496.4</v>
          </cell>
          <cell r="BG58">
            <v>310495.88</v>
          </cell>
          <cell r="BH58">
            <v>310495.88</v>
          </cell>
          <cell r="BI58">
            <v>317376.67</v>
          </cell>
          <cell r="BJ58">
            <v>5007272</v>
          </cell>
        </row>
        <row r="59">
          <cell r="B59" t="str">
            <v>3tx00001</v>
          </cell>
          <cell r="C59" t="str">
            <v>12621-12623 International Pkwy</v>
          </cell>
          <cell r="D59" t="str">
            <v>Unrealized</v>
          </cell>
          <cell r="E59" t="str">
            <v>Industrial Value Fund III</v>
          </cell>
          <cell r="F59" t="str">
            <v>USD</v>
          </cell>
          <cell r="G59" t="str">
            <v>Last Mile</v>
          </cell>
          <cell r="H59" t="str">
            <v>Dallas</v>
          </cell>
          <cell r="I59" t="str">
            <v>Dallas</v>
          </cell>
          <cell r="J59" t="str">
            <v>TX</v>
          </cell>
          <cell r="K59">
            <v>75228</v>
          </cell>
          <cell r="L59" t="str">
            <v>United States</v>
          </cell>
          <cell r="M59" t="str">
            <v>Dallas-Fort Worth-Arlington, TX</v>
          </cell>
          <cell r="N59">
            <v>54920</v>
          </cell>
          <cell r="O59">
            <v>1</v>
          </cell>
          <cell r="P59" t="str">
            <v>Single Asset</v>
          </cell>
          <cell r="Q59" t="str">
            <v>Property - Private Equity</v>
          </cell>
          <cell r="R59" t="str">
            <v>Industrial</v>
          </cell>
          <cell r="S59" t="str">
            <v>Warehouse</v>
          </cell>
          <cell r="T59">
            <v>1975</v>
          </cell>
          <cell r="U59" t="str">
            <v>Sq. Feet</v>
          </cell>
          <cell r="V59" t="str">
            <v>Value-Add</v>
          </cell>
          <cell r="W59" t="str">
            <v>Industrial / Logistics</v>
          </cell>
          <cell r="X59" t="str">
            <v>Common Equity</v>
          </cell>
          <cell r="Y59">
            <v>579362.62910656002</v>
          </cell>
          <cell r="Z59">
            <v>359853.36285500001</v>
          </cell>
          <cell r="AA59">
            <v>7785441.3628550004</v>
          </cell>
          <cell r="AB59">
            <v>7.4416157299796531E-2</v>
          </cell>
          <cell r="AC59">
            <v>439360</v>
          </cell>
          <cell r="AD59">
            <v>5.9469409853816997E-2</v>
          </cell>
          <cell r="AE59">
            <v>5.2499999999999998E-2</v>
          </cell>
          <cell r="AF59">
            <v>0.15620000000000001</v>
          </cell>
          <cell r="AG59">
            <v>2.31</v>
          </cell>
          <cell r="AH59">
            <v>0.1231</v>
          </cell>
          <cell r="AI59">
            <v>1.98</v>
          </cell>
          <cell r="AJ59">
            <v>0.11280905200659253</v>
          </cell>
          <cell r="AK59">
            <v>0.17130291449303092</v>
          </cell>
          <cell r="AL59">
            <v>2.3563493829293871</v>
          </cell>
          <cell r="AM59">
            <v>8.2131156723556531E-2</v>
          </cell>
          <cell r="AN59">
            <v>0.13484547114903789</v>
          </cell>
          <cell r="AO59">
            <v>2.0107738526542414</v>
          </cell>
          <cell r="AP59" t="str">
            <v>Soft marketed</v>
          </cell>
          <cell r="AQ59" t="str">
            <v>Renewal / Re-tenant</v>
          </cell>
          <cell r="AR59" t="str">
            <v>Leasing Strategy</v>
          </cell>
          <cell r="AS59">
            <v>44795</v>
          </cell>
          <cell r="AT59">
            <v>7388000</v>
          </cell>
          <cell r="AU59">
            <v>7425588</v>
          </cell>
          <cell r="AV59">
            <v>14975.737571999998</v>
          </cell>
          <cell r="AW59">
            <v>382151.6666739998</v>
          </cell>
          <cell r="AX59">
            <v>2.0270354049810499E-3</v>
          </cell>
          <cell r="AY59">
            <v>5.1725997113427152E-2</v>
          </cell>
          <cell r="AZ59">
            <v>8.3500007283321196</v>
          </cell>
          <cell r="BA59">
            <v>1</v>
          </cell>
          <cell r="BB59">
            <v>3.0273972602694799</v>
          </cell>
          <cell r="BC59">
            <v>1</v>
          </cell>
          <cell r="BD59">
            <v>0</v>
          </cell>
          <cell r="BE59">
            <v>0</v>
          </cell>
          <cell r="BF59">
            <v>93314.89</v>
          </cell>
          <cell r="BG59">
            <v>425952.71</v>
          </cell>
          <cell r="BH59">
            <v>425952.71</v>
          </cell>
          <cell r="BI59">
            <v>472463.02</v>
          </cell>
          <cell r="BJ59">
            <v>7431258</v>
          </cell>
        </row>
        <row r="60">
          <cell r="B60" t="str">
            <v>3nj00005</v>
          </cell>
          <cell r="C60" t="str">
            <v>1425 Grandview Avenue</v>
          </cell>
          <cell r="D60" t="str">
            <v>Unrealized</v>
          </cell>
          <cell r="E60" t="str">
            <v>Industrial Value Fund III</v>
          </cell>
          <cell r="F60" t="str">
            <v>USD</v>
          </cell>
          <cell r="G60" t="str">
            <v>Last Mile</v>
          </cell>
          <cell r="H60" t="str">
            <v>Philadelphia</v>
          </cell>
          <cell r="I60" t="str">
            <v>Paulsboro</v>
          </cell>
          <cell r="J60" t="str">
            <v>NJ</v>
          </cell>
          <cell r="K60" t="str">
            <v>08066</v>
          </cell>
          <cell r="L60" t="str">
            <v>United States</v>
          </cell>
          <cell r="M60" t="str">
            <v>Philadelphia-Camden-Wilmington, PA-NJ-DE-MD</v>
          </cell>
          <cell r="N60">
            <v>47268</v>
          </cell>
          <cell r="O60">
            <v>1</v>
          </cell>
          <cell r="P60" t="str">
            <v>Single Asset</v>
          </cell>
          <cell r="Q60" t="str">
            <v>Property - Private Equity</v>
          </cell>
          <cell r="R60" t="str">
            <v>Industrial</v>
          </cell>
          <cell r="S60" t="str">
            <v>Warehouse</v>
          </cell>
          <cell r="T60">
            <v>1987</v>
          </cell>
          <cell r="U60" t="str">
            <v>Sq. Feet</v>
          </cell>
          <cell r="V60" t="str">
            <v>Value-Add</v>
          </cell>
          <cell r="W60" t="str">
            <v>Industrial / Logistics</v>
          </cell>
          <cell r="X60" t="str">
            <v>Common Equity</v>
          </cell>
          <cell r="Y60">
            <v>468784.74215767992</v>
          </cell>
          <cell r="Z60">
            <v>920670.28156800021</v>
          </cell>
          <cell r="AA60">
            <v>5636909.2815680001</v>
          </cell>
          <cell r="AB60">
            <v>8.3163435624296525E-2</v>
          </cell>
          <cell r="AC60">
            <v>364559.25</v>
          </cell>
          <cell r="AD60">
            <v>7.8265188922284248E-2</v>
          </cell>
          <cell r="AE60">
            <v>0.06</v>
          </cell>
          <cell r="AF60">
            <v>0.16109999999999999</v>
          </cell>
          <cell r="AG60">
            <v>2.3199999999999998</v>
          </cell>
          <cell r="AH60">
            <v>0.1303</v>
          </cell>
          <cell r="AI60">
            <v>2.0099999999999998</v>
          </cell>
          <cell r="AJ60">
            <v>0.11465794525186257</v>
          </cell>
          <cell r="AK60">
            <v>0.17482098807610558</v>
          </cell>
          <cell r="AL60">
            <v>2.3640887573957436</v>
          </cell>
          <cell r="AM60">
            <v>8.3774222904776208E-2</v>
          </cell>
          <cell r="AN60">
            <v>0.13817729059766148</v>
          </cell>
          <cell r="AO60">
            <v>2.0182287770381477</v>
          </cell>
          <cell r="AP60" t="str">
            <v>Unsolicited \ Off-market</v>
          </cell>
          <cell r="AQ60" t="str">
            <v>Rent Optimization</v>
          </cell>
          <cell r="AR60" t="str">
            <v>Leasing Strategy</v>
          </cell>
          <cell r="AS60">
            <v>44796</v>
          </cell>
          <cell r="AT60">
            <v>4658000</v>
          </cell>
          <cell r="AU60">
            <v>4716239</v>
          </cell>
          <cell r="AV60">
            <v>274299.86424000002</v>
          </cell>
          <cell r="AW60">
            <v>71707.849441999919</v>
          </cell>
          <cell r="AX60">
            <v>5.8887905590382143E-2</v>
          </cell>
          <cell r="AY60">
            <v>1.5394557630313423E-2</v>
          </cell>
          <cell r="AZ60">
            <v>6.3</v>
          </cell>
          <cell r="BA60">
            <v>1</v>
          </cell>
          <cell r="BB60">
            <v>0.112328767120181</v>
          </cell>
          <cell r="BC60">
            <v>1</v>
          </cell>
          <cell r="BD60">
            <v>0</v>
          </cell>
          <cell r="BE60">
            <v>0</v>
          </cell>
          <cell r="BF60">
            <v>6291.3199999999979</v>
          </cell>
          <cell r="BG60">
            <v>160904.39000000001</v>
          </cell>
          <cell r="BH60">
            <v>160904.39000000001</v>
          </cell>
          <cell r="BI60">
            <v>640657.59</v>
          </cell>
          <cell r="BJ60">
            <v>4917984.82</v>
          </cell>
        </row>
        <row r="61">
          <cell r="B61" t="str">
            <v>3tx00002</v>
          </cell>
          <cell r="C61" t="str">
            <v>1801 S. GSW Parkway</v>
          </cell>
          <cell r="D61" t="str">
            <v>Unrealized</v>
          </cell>
          <cell r="E61" t="str">
            <v>Industrial Value Fund III</v>
          </cell>
          <cell r="F61" t="str">
            <v>USD</v>
          </cell>
          <cell r="G61" t="str">
            <v>Last Mile</v>
          </cell>
          <cell r="H61" t="str">
            <v>Dallas</v>
          </cell>
          <cell r="I61" t="str">
            <v>Grand Prairie</v>
          </cell>
          <cell r="J61" t="str">
            <v>TX</v>
          </cell>
          <cell r="K61">
            <v>75051</v>
          </cell>
          <cell r="L61" t="str">
            <v>United States</v>
          </cell>
          <cell r="M61" t="str">
            <v>Dallas-Fort Worth-Arlington, TX</v>
          </cell>
          <cell r="N61">
            <v>106580</v>
          </cell>
          <cell r="O61">
            <v>1</v>
          </cell>
          <cell r="P61" t="str">
            <v>Single Asset</v>
          </cell>
          <cell r="Q61" t="str">
            <v>Property - Private Equity</v>
          </cell>
          <cell r="R61" t="str">
            <v>Industrial</v>
          </cell>
          <cell r="S61" t="str">
            <v>Warehouse</v>
          </cell>
          <cell r="T61">
            <v>1973</v>
          </cell>
          <cell r="U61" t="str">
            <v>Sq. Feet</v>
          </cell>
          <cell r="V61" t="str">
            <v>Value-Add</v>
          </cell>
          <cell r="W61" t="str">
            <v>Industrial / Logistics</v>
          </cell>
          <cell r="X61" t="str">
            <v>Common Equity</v>
          </cell>
          <cell r="Y61">
            <v>876048.68385528005</v>
          </cell>
          <cell r="Z61">
            <v>2420528.5394279994</v>
          </cell>
          <cell r="AA61">
            <v>10017899.539427999</v>
          </cell>
          <cell r="AB61">
            <v>8.7448339884759974E-2</v>
          </cell>
          <cell r="AC61">
            <v>678914.6</v>
          </cell>
          <cell r="AD61">
            <v>8.9803518518518519E-2</v>
          </cell>
          <cell r="AE61">
            <v>5.5E-2</v>
          </cell>
          <cell r="AF61">
            <v>0.1978</v>
          </cell>
          <cell r="AG61">
            <v>2.66</v>
          </cell>
          <cell r="AH61">
            <v>0.16350000000000001</v>
          </cell>
          <cell r="AI61">
            <v>2.33</v>
          </cell>
          <cell r="AJ61">
            <v>0.15233823328470764</v>
          </cell>
          <cell r="AK61">
            <v>0.24453936400549892</v>
          </cell>
          <cell r="AL61">
            <v>2.991719221928923</v>
          </cell>
          <cell r="AM61">
            <v>0.11715040103200747</v>
          </cell>
          <cell r="AN61">
            <v>0.20183740673136064</v>
          </cell>
          <cell r="AO61">
            <v>2.5254760024896568</v>
          </cell>
          <cell r="AP61" t="str">
            <v>Unsolicited \ Off-market</v>
          </cell>
          <cell r="AQ61" t="str">
            <v>Rent Optimization</v>
          </cell>
          <cell r="AR61" t="str">
            <v>Leasing Strategy</v>
          </cell>
          <cell r="AS61">
            <v>44796</v>
          </cell>
          <cell r="AT61">
            <v>7560000</v>
          </cell>
          <cell r="AU61">
            <v>7597371</v>
          </cell>
          <cell r="AV61">
            <v>318935.98611599999</v>
          </cell>
          <cell r="AW61">
            <v>316960.19865599985</v>
          </cell>
          <cell r="AX61">
            <v>4.2187299750793647E-2</v>
          </cell>
          <cell r="AY61">
            <v>4.1925952203174584E-2</v>
          </cell>
          <cell r="AZ61">
            <v>3.5843497841996599</v>
          </cell>
          <cell r="BA61">
            <v>1</v>
          </cell>
          <cell r="BB61">
            <v>0.858789076055545</v>
          </cell>
          <cell r="BC61">
            <v>1</v>
          </cell>
          <cell r="BD61">
            <v>0</v>
          </cell>
          <cell r="BE61">
            <v>0</v>
          </cell>
          <cell r="BF61">
            <v>111091.90999999999</v>
          </cell>
          <cell r="BG61">
            <v>457197.49000000005</v>
          </cell>
          <cell r="BH61">
            <v>457197.49000000005</v>
          </cell>
          <cell r="BI61">
            <v>292057.16999999993</v>
          </cell>
          <cell r="BJ61">
            <v>7863744.9500000002</v>
          </cell>
        </row>
        <row r="62">
          <cell r="B62" t="str">
            <v>3il00005</v>
          </cell>
          <cell r="C62" t="str">
            <v>955 Estes Avenue</v>
          </cell>
          <cell r="D62" t="str">
            <v>Unrealized</v>
          </cell>
          <cell r="E62" t="str">
            <v>Industrial Value Fund III</v>
          </cell>
          <cell r="F62" t="str">
            <v>USD</v>
          </cell>
          <cell r="G62" t="str">
            <v>Last Mile</v>
          </cell>
          <cell r="H62" t="str">
            <v>Chicago</v>
          </cell>
          <cell r="I62" t="str">
            <v>Elk Grove Village</v>
          </cell>
          <cell r="J62" t="str">
            <v>IL</v>
          </cell>
          <cell r="K62">
            <v>60007</v>
          </cell>
          <cell r="L62" t="str">
            <v>United States</v>
          </cell>
          <cell r="M62" t="str">
            <v>Chicago-Naperville-Elgin, IL-IN-WI</v>
          </cell>
          <cell r="N62">
            <v>45236</v>
          </cell>
          <cell r="O62">
            <v>1</v>
          </cell>
          <cell r="P62" t="str">
            <v>Single Asset</v>
          </cell>
          <cell r="Q62" t="str">
            <v>Property - Private Equity</v>
          </cell>
          <cell r="R62" t="str">
            <v>Industrial</v>
          </cell>
          <cell r="S62" t="str">
            <v>Warehouse</v>
          </cell>
          <cell r="T62">
            <v>1969</v>
          </cell>
          <cell r="U62" t="str">
            <v>Sq. Feet</v>
          </cell>
          <cell r="V62" t="str">
            <v>Value-Add</v>
          </cell>
          <cell r="W62" t="str">
            <v>Industrial / Logistics</v>
          </cell>
          <cell r="X62" t="str">
            <v>Common Equity</v>
          </cell>
          <cell r="Y62">
            <v>521516.45053352008</v>
          </cell>
          <cell r="Z62">
            <v>1623328.639794</v>
          </cell>
          <cell r="AA62">
            <v>6173382.6397939995</v>
          </cell>
          <cell r="AB62">
            <v>8.4478231945610077E-2</v>
          </cell>
          <cell r="AC62">
            <v>429913</v>
          </cell>
          <cell r="AD62">
            <v>9.5536222222222217E-2</v>
          </cell>
          <cell r="AE62">
            <v>0.06</v>
          </cell>
          <cell r="AF62">
            <v>0.18190000000000001</v>
          </cell>
          <cell r="AG62">
            <v>2.5099999999999998</v>
          </cell>
          <cell r="AH62">
            <v>0.1472</v>
          </cell>
          <cell r="AI62">
            <v>2.15</v>
          </cell>
          <cell r="AJ62">
            <v>0.11732378213088013</v>
          </cell>
          <cell r="AK62">
            <v>0.18034172057695308</v>
          </cell>
          <cell r="AL62">
            <v>2.4300233426265461</v>
          </cell>
          <cell r="AM62">
            <v>8.6361966484231889E-2</v>
          </cell>
          <cell r="AN62">
            <v>0.14357438661595556</v>
          </cell>
          <cell r="AO62">
            <v>2.0713406920900117</v>
          </cell>
          <cell r="AP62" t="str">
            <v>Soft marketed</v>
          </cell>
          <cell r="AQ62" t="str">
            <v>Lease-up</v>
          </cell>
          <cell r="AR62" t="str">
            <v>Leasing Strategy</v>
          </cell>
          <cell r="AS62">
            <v>44804</v>
          </cell>
          <cell r="AT62">
            <v>4500000</v>
          </cell>
          <cell r="AU62">
            <v>4550054</v>
          </cell>
          <cell r="AV62">
            <v>-123933.93600000002</v>
          </cell>
          <cell r="AW62">
            <v>143861.54999600025</v>
          </cell>
          <cell r="AX62">
            <v>-2.754087466666667E-2</v>
          </cell>
          <cell r="AY62">
            <v>3.1969233332444502E-2</v>
          </cell>
          <cell r="AZ62">
            <v>0</v>
          </cell>
          <cell r="BA62">
            <v>0</v>
          </cell>
          <cell r="BB62">
            <v>0</v>
          </cell>
          <cell r="BC62">
            <v>1</v>
          </cell>
          <cell r="BD62">
            <v>0</v>
          </cell>
          <cell r="BE62">
            <v>0</v>
          </cell>
          <cell r="BF62">
            <v>-74408.900000000009</v>
          </cell>
          <cell r="BG62">
            <v>73920.810000000012</v>
          </cell>
          <cell r="BH62">
            <v>73920.810000000012</v>
          </cell>
          <cell r="BI62">
            <v>270196.05999999988</v>
          </cell>
          <cell r="BJ62">
            <v>5848100.3799999999</v>
          </cell>
        </row>
        <row r="63">
          <cell r="B63" t="str">
            <v>3md00003</v>
          </cell>
          <cell r="C63" t="str">
            <v>8361 Town Center Court</v>
          </cell>
          <cell r="D63" t="str">
            <v>Unrealized</v>
          </cell>
          <cell r="E63" t="str">
            <v>Industrial Value Fund III</v>
          </cell>
          <cell r="F63" t="str">
            <v>USD</v>
          </cell>
          <cell r="G63" t="str">
            <v>Last Mile</v>
          </cell>
          <cell r="H63" t="str">
            <v>Baltimore</v>
          </cell>
          <cell r="I63" t="str">
            <v>Nottingham</v>
          </cell>
          <cell r="J63" t="str">
            <v>MD</v>
          </cell>
          <cell r="K63">
            <v>21236</v>
          </cell>
          <cell r="L63" t="str">
            <v>United States</v>
          </cell>
          <cell r="M63" t="str">
            <v>Baltimore-Columbia-Towson, MD</v>
          </cell>
          <cell r="N63">
            <v>30333</v>
          </cell>
          <cell r="O63">
            <v>1</v>
          </cell>
          <cell r="P63" t="str">
            <v>Single Asset</v>
          </cell>
          <cell r="Q63" t="str">
            <v>Property - Private Equity</v>
          </cell>
          <cell r="R63" t="str">
            <v>Industrial</v>
          </cell>
          <cell r="S63" t="str">
            <v>Warehouse</v>
          </cell>
          <cell r="T63">
            <v>1986</v>
          </cell>
          <cell r="U63" t="str">
            <v>Sq. Feet</v>
          </cell>
          <cell r="V63" t="str">
            <v>Value-Add</v>
          </cell>
          <cell r="W63" t="str">
            <v>Industrial / Logistics</v>
          </cell>
          <cell r="X63" t="str">
            <v>Common Equity</v>
          </cell>
          <cell r="Y63">
            <v>373339.88528512005</v>
          </cell>
          <cell r="Z63">
            <v>329915.82102199999</v>
          </cell>
          <cell r="AA63">
            <v>4725284.8210220002</v>
          </cell>
          <cell r="AB63">
            <v>7.900896970785623E-2</v>
          </cell>
          <cell r="AC63">
            <v>283050</v>
          </cell>
          <cell r="AD63">
            <v>6.6071428571428573E-2</v>
          </cell>
          <cell r="AE63">
            <v>5.5E-2</v>
          </cell>
          <cell r="AF63">
            <v>0.17510000000000001</v>
          </cell>
          <cell r="AG63">
            <v>2.59</v>
          </cell>
          <cell r="AH63">
            <v>0.14249999999999999</v>
          </cell>
          <cell r="AI63">
            <v>2.2200000000000002</v>
          </cell>
          <cell r="AJ63">
            <v>0.11969326058857432</v>
          </cell>
          <cell r="AK63">
            <v>0.18567687756269824</v>
          </cell>
          <cell r="AL63">
            <v>2.4821727096246526</v>
          </cell>
          <cell r="AM63">
            <v>8.8415329629404793E-2</v>
          </cell>
          <cell r="AN63">
            <v>0.14817171848553712</v>
          </cell>
          <cell r="AO63">
            <v>2.1129098471514722</v>
          </cell>
          <cell r="AP63" t="str">
            <v>Market deal</v>
          </cell>
          <cell r="AQ63" t="str">
            <v>Lease-up</v>
          </cell>
          <cell r="AR63" t="str">
            <v>Leasing Strategy</v>
          </cell>
          <cell r="AS63">
            <v>44818</v>
          </cell>
          <cell r="AT63">
            <v>4284000</v>
          </cell>
          <cell r="AU63">
            <v>4395369</v>
          </cell>
          <cell r="AV63">
            <v>6693.75</v>
          </cell>
          <cell r="AW63">
            <v>223125.00000000012</v>
          </cell>
          <cell r="AX63">
            <v>1.5625000000000001E-3</v>
          </cell>
          <cell r="AY63">
            <v>5.2083333333333363E-2</v>
          </cell>
          <cell r="AZ63">
            <v>0</v>
          </cell>
          <cell r="BA63">
            <v>0</v>
          </cell>
          <cell r="BB63">
            <v>0</v>
          </cell>
          <cell r="BC63">
            <v>1</v>
          </cell>
          <cell r="BD63">
            <v>0</v>
          </cell>
          <cell r="BE63">
            <v>0</v>
          </cell>
          <cell r="BF63">
            <v>-23093.660000000003</v>
          </cell>
          <cell r="BG63">
            <v>196572.46999999997</v>
          </cell>
          <cell r="BH63">
            <v>196572.46999999997</v>
          </cell>
          <cell r="BI63">
            <v>225489.86999999997</v>
          </cell>
          <cell r="BJ63">
            <v>4609329.67</v>
          </cell>
        </row>
        <row r="64">
          <cell r="B64" t="str">
            <v>3oh00002</v>
          </cell>
          <cell r="C64" t="str">
            <v>2701 Bobmeyer Rd</v>
          </cell>
          <cell r="D64" t="str">
            <v>Unrealized</v>
          </cell>
          <cell r="E64" t="str">
            <v>Industrial Value Fund III</v>
          </cell>
          <cell r="F64" t="str">
            <v>USD</v>
          </cell>
          <cell r="G64" t="str">
            <v>Last Mile</v>
          </cell>
          <cell r="H64" t="str">
            <v>Cincinnati</v>
          </cell>
          <cell r="I64" t="str">
            <v>Fairfield</v>
          </cell>
          <cell r="J64" t="str">
            <v>OH</v>
          </cell>
          <cell r="K64">
            <v>45014</v>
          </cell>
          <cell r="L64" t="str">
            <v>United States</v>
          </cell>
          <cell r="M64" t="str">
            <v>Cincinnati, OH-KY-IN</v>
          </cell>
          <cell r="N64">
            <v>40212</v>
          </cell>
          <cell r="O64">
            <v>1</v>
          </cell>
          <cell r="P64" t="str">
            <v>Single Asset</v>
          </cell>
          <cell r="Q64" t="str">
            <v>Property - Private Equity</v>
          </cell>
          <cell r="R64" t="str">
            <v>Industrial</v>
          </cell>
          <cell r="S64" t="str">
            <v>Warehouse</v>
          </cell>
          <cell r="T64">
            <v>2009</v>
          </cell>
          <cell r="U64" t="str">
            <v>Sq. Feet</v>
          </cell>
          <cell r="V64" t="str">
            <v>Value-Add</v>
          </cell>
          <cell r="W64" t="str">
            <v>Industrial / Logistics</v>
          </cell>
          <cell r="X64" t="str">
            <v>Common Equity</v>
          </cell>
          <cell r="Y64">
            <v>242685.83106767994</v>
          </cell>
          <cell r="Z64">
            <v>192233.87546200003</v>
          </cell>
          <cell r="AA64">
            <v>2637994.8754620003</v>
          </cell>
          <cell r="AB64">
            <v>9.1996323922038561E-2</v>
          </cell>
          <cell r="AC64">
            <v>198990</v>
          </cell>
          <cell r="AD64">
            <v>8.5220556745182016E-2</v>
          </cell>
          <cell r="AE64">
            <v>6.7500000000000004E-2</v>
          </cell>
          <cell r="AF64">
            <v>0.20150000000000001</v>
          </cell>
          <cell r="AG64">
            <v>2.68</v>
          </cell>
          <cell r="AH64">
            <v>0.1633</v>
          </cell>
          <cell r="AI64">
            <v>2.2599999999999998</v>
          </cell>
          <cell r="AJ64">
            <v>0.12522488428518241</v>
          </cell>
          <cell r="AK64">
            <v>0.20214394479782216</v>
          </cell>
          <cell r="AL64">
            <v>2.4767448142537969</v>
          </cell>
          <cell r="AM64">
            <v>9.2832092425008561E-2</v>
          </cell>
          <cell r="AN64">
            <v>0.1623863215506971</v>
          </cell>
          <cell r="AO64">
            <v>2.1098497670263363</v>
          </cell>
          <cell r="AP64" t="str">
            <v>Soft marketed</v>
          </cell>
          <cell r="AQ64" t="str">
            <v>Rent Optimization</v>
          </cell>
          <cell r="AR64" t="str">
            <v>Stabilised</v>
          </cell>
          <cell r="AS64">
            <v>44818</v>
          </cell>
          <cell r="AT64">
            <v>2335000</v>
          </cell>
          <cell r="AU64">
            <v>2445761</v>
          </cell>
          <cell r="AV64">
            <v>173698.50080400001</v>
          </cell>
          <cell r="AW64">
            <v>173698.50000400015</v>
          </cell>
          <cell r="AX64">
            <v>7.4389079573447536E-2</v>
          </cell>
          <cell r="AY64">
            <v>7.4389079230835181E-2</v>
          </cell>
          <cell r="AZ64">
            <v>4.5</v>
          </cell>
          <cell r="BA64">
            <v>1</v>
          </cell>
          <cell r="BB64">
            <v>5</v>
          </cell>
          <cell r="BC64">
            <v>1</v>
          </cell>
          <cell r="BD64">
            <v>0</v>
          </cell>
          <cell r="BE64">
            <v>0</v>
          </cell>
          <cell r="BF64">
            <v>51795.100000000006</v>
          </cell>
          <cell r="BG64">
            <v>178174.94</v>
          </cell>
          <cell r="BH64">
            <v>178174.94</v>
          </cell>
          <cell r="BI64">
            <v>182393.15000000002</v>
          </cell>
          <cell r="BJ64">
            <v>2445761</v>
          </cell>
        </row>
        <row r="65">
          <cell r="B65" t="str">
            <v>3nj00004</v>
          </cell>
          <cell r="C65" t="str">
            <v>1253 Glen Avenue</v>
          </cell>
          <cell r="D65" t="str">
            <v>Unrealized</v>
          </cell>
          <cell r="E65" t="str">
            <v>Industrial Value Fund III</v>
          </cell>
          <cell r="F65" t="str">
            <v>USD</v>
          </cell>
          <cell r="G65" t="str">
            <v>Last Mile</v>
          </cell>
          <cell r="H65" t="str">
            <v>Philadelphia</v>
          </cell>
          <cell r="I65" t="str">
            <v>Moorestown</v>
          </cell>
          <cell r="J65" t="str">
            <v>NJ</v>
          </cell>
          <cell r="K65" t="str">
            <v>08057</v>
          </cell>
          <cell r="L65" t="str">
            <v>United States</v>
          </cell>
          <cell r="M65" t="str">
            <v>Philadelphia-Camden-Wilmington, PA-NJ-DE-MD</v>
          </cell>
          <cell r="N65">
            <v>31994</v>
          </cell>
          <cell r="O65">
            <v>1</v>
          </cell>
          <cell r="P65" t="str">
            <v>Single Asset</v>
          </cell>
          <cell r="Q65" t="str">
            <v>Property - Private Equity</v>
          </cell>
          <cell r="R65" t="str">
            <v>Industrial</v>
          </cell>
          <cell r="S65" t="str">
            <v>Warehouse</v>
          </cell>
          <cell r="T65">
            <v>1971</v>
          </cell>
          <cell r="U65" t="str">
            <v>Sq. Feet</v>
          </cell>
          <cell r="V65" t="str">
            <v>Value-Add</v>
          </cell>
          <cell r="W65" t="str">
            <v>Industrial / Logistics</v>
          </cell>
          <cell r="X65" t="str">
            <v>Common Equity</v>
          </cell>
          <cell r="Y65">
            <v>355371.70767384005</v>
          </cell>
          <cell r="Z65">
            <v>535244.74656</v>
          </cell>
          <cell r="AA65">
            <v>4017847.7465599999</v>
          </cell>
          <cell r="AB65">
            <v>8.8448276313631377E-2</v>
          </cell>
          <cell r="AC65">
            <v>271524</v>
          </cell>
          <cell r="AD65">
            <v>7.9046288209606991E-2</v>
          </cell>
          <cell r="AE65">
            <v>5.7500000000000002E-2</v>
          </cell>
          <cell r="AF65">
            <v>0.1898</v>
          </cell>
          <cell r="AG65">
            <v>2.7</v>
          </cell>
          <cell r="AH65">
            <v>0.1552</v>
          </cell>
          <cell r="AI65">
            <v>2.31</v>
          </cell>
          <cell r="AJ65">
            <v>0.13726286971037505</v>
          </cell>
          <cell r="AK65">
            <v>0.21822659818755508</v>
          </cell>
          <cell r="AL65">
            <v>2.82177361633976</v>
          </cell>
          <cell r="AM65">
            <v>0.10395159617970529</v>
          </cell>
          <cell r="AN65">
            <v>0.17788888493407007</v>
          </cell>
          <cell r="AO65">
            <v>2.3855191263837132</v>
          </cell>
          <cell r="AP65" t="str">
            <v>Unsolicited \ Off-market</v>
          </cell>
          <cell r="AQ65" t="str">
            <v>Lease-up</v>
          </cell>
          <cell r="AR65" t="str">
            <v>Leasing Strategy</v>
          </cell>
          <cell r="AS65">
            <v>44820</v>
          </cell>
          <cell r="AT65">
            <v>3435000</v>
          </cell>
          <cell r="AU65">
            <v>3482603</v>
          </cell>
          <cell r="AV65">
            <v>57252.168479999993</v>
          </cell>
          <cell r="AW65">
            <v>113239.88659800006</v>
          </cell>
          <cell r="AX65">
            <v>1.6667297956331876E-2</v>
          </cell>
          <cell r="AY65">
            <v>3.2966488092576435E-2</v>
          </cell>
          <cell r="AZ65">
            <v>3.0612666554791002</v>
          </cell>
          <cell r="BA65">
            <v>0.505353247189125</v>
          </cell>
          <cell r="BB65">
            <v>0.34014569880852402</v>
          </cell>
          <cell r="BC65">
            <v>1</v>
          </cell>
          <cell r="BD65">
            <v>0</v>
          </cell>
          <cell r="BE65">
            <v>0</v>
          </cell>
          <cell r="BF65">
            <v>8326.9399999999987</v>
          </cell>
          <cell r="BG65">
            <v>-72688.950000000012</v>
          </cell>
          <cell r="BH65">
            <v>-72688.950000000012</v>
          </cell>
          <cell r="BI65">
            <v>-77076.820000000007</v>
          </cell>
          <cell r="BJ65">
            <v>3670165.15</v>
          </cell>
        </row>
        <row r="66">
          <cell r="B66" t="str">
            <v>3ga00004</v>
          </cell>
          <cell r="C66" t="str">
            <v>2005 Marietta Rd</v>
          </cell>
          <cell r="D66" t="str">
            <v>Unrealized</v>
          </cell>
          <cell r="E66" t="str">
            <v>Industrial Value Fund III</v>
          </cell>
          <cell r="F66" t="str">
            <v>USD</v>
          </cell>
          <cell r="G66" t="str">
            <v>Last Mile</v>
          </cell>
          <cell r="H66" t="str">
            <v>Atlanta</v>
          </cell>
          <cell r="I66" t="str">
            <v>Atlanta</v>
          </cell>
          <cell r="J66" t="str">
            <v>GA</v>
          </cell>
          <cell r="K66">
            <v>30318</v>
          </cell>
          <cell r="L66" t="str">
            <v>United States</v>
          </cell>
          <cell r="M66" t="str">
            <v>Atlanta-Sandy Springs-Roswell, GA</v>
          </cell>
          <cell r="N66">
            <v>27200</v>
          </cell>
          <cell r="O66">
            <v>1</v>
          </cell>
          <cell r="P66" t="str">
            <v>Single Asset</v>
          </cell>
          <cell r="Q66" t="str">
            <v>Property - Private Equity</v>
          </cell>
          <cell r="R66" t="str">
            <v>Industrial</v>
          </cell>
          <cell r="S66" t="str">
            <v>Warehouse</v>
          </cell>
          <cell r="T66">
            <v>1967</v>
          </cell>
          <cell r="U66" t="str">
            <v>Sq. Feet</v>
          </cell>
          <cell r="V66" t="str">
            <v>Value-Add</v>
          </cell>
          <cell r="W66" t="str">
            <v>Industrial / Logistics</v>
          </cell>
          <cell r="X66" t="str">
            <v>Common Equity</v>
          </cell>
          <cell r="Y66">
            <v>441017.79416136013</v>
          </cell>
          <cell r="Z66">
            <v>550880.04540900001</v>
          </cell>
          <cell r="AA66">
            <v>5499019.0454089995</v>
          </cell>
          <cell r="AB66">
            <v>8.0199357470775709E-2</v>
          </cell>
          <cell r="AC66">
            <v>337500</v>
          </cell>
          <cell r="AD66">
            <v>6.8877551020408156E-2</v>
          </cell>
          <cell r="AE66">
            <v>5.5E-2</v>
          </cell>
          <cell r="AF66">
            <v>0.15079999999999999</v>
          </cell>
          <cell r="AG66">
            <v>2.25</v>
          </cell>
          <cell r="AH66">
            <v>0.1195</v>
          </cell>
          <cell r="AI66">
            <v>1.96</v>
          </cell>
          <cell r="AJ66">
            <v>0.11853706880348991</v>
          </cell>
          <cell r="AK66">
            <v>0.18180206194663429</v>
          </cell>
          <cell r="AL66">
            <v>2.5096553985863976</v>
          </cell>
          <cell r="AM66">
            <v>8.7496604455353122E-2</v>
          </cell>
          <cell r="AN66">
            <v>0.14473076916868277</v>
          </cell>
          <cell r="AO66">
            <v>2.1339472151635919</v>
          </cell>
          <cell r="AP66" t="str">
            <v>Unsolicited \ Off-market</v>
          </cell>
          <cell r="AQ66" t="str">
            <v>Lease-up</v>
          </cell>
          <cell r="AR66" t="str">
            <v>Leasing Strategy</v>
          </cell>
          <cell r="AS66">
            <v>44827</v>
          </cell>
          <cell r="AT66">
            <v>4900000</v>
          </cell>
          <cell r="AU66">
            <v>4948139</v>
          </cell>
          <cell r="AV66">
            <v>339152.886864</v>
          </cell>
          <cell r="AW66">
            <v>337500.00000400021</v>
          </cell>
          <cell r="AX66">
            <v>6.9214874870204085E-2</v>
          </cell>
          <cell r="AY66">
            <v>6.8877551021224531E-2</v>
          </cell>
          <cell r="AZ66">
            <v>12.4999985294117</v>
          </cell>
          <cell r="BA66">
            <v>1</v>
          </cell>
          <cell r="BB66">
            <v>1.01917808220588</v>
          </cell>
          <cell r="BC66">
            <v>1</v>
          </cell>
          <cell r="BD66">
            <v>0</v>
          </cell>
          <cell r="BE66">
            <v>0</v>
          </cell>
          <cell r="BF66">
            <v>92326</v>
          </cell>
          <cell r="BG66">
            <v>234297.59000000003</v>
          </cell>
          <cell r="BH66">
            <v>234297.59000000003</v>
          </cell>
          <cell r="BI66">
            <v>306149.52</v>
          </cell>
          <cell r="BJ66">
            <v>5266626.5199999996</v>
          </cell>
        </row>
        <row r="67">
          <cell r="B67" t="str">
            <v>3il00006</v>
          </cell>
          <cell r="C67" t="str">
            <v>1221 Landmeier</v>
          </cell>
          <cell r="D67" t="str">
            <v>Unrealized</v>
          </cell>
          <cell r="E67" t="str">
            <v>Industrial Value Fund III</v>
          </cell>
          <cell r="F67" t="str">
            <v>USD</v>
          </cell>
          <cell r="G67" t="str">
            <v>Last Mile</v>
          </cell>
          <cell r="H67" t="str">
            <v>Chicago</v>
          </cell>
          <cell r="I67" t="str">
            <v>Elk Grove Village</v>
          </cell>
          <cell r="J67" t="str">
            <v>IL</v>
          </cell>
          <cell r="K67">
            <v>60007</v>
          </cell>
          <cell r="L67" t="str">
            <v>United States</v>
          </cell>
          <cell r="M67" t="str">
            <v>Chicago-Naperville-Elgin, IL-IN-WI</v>
          </cell>
          <cell r="N67">
            <v>119700</v>
          </cell>
          <cell r="O67">
            <v>1</v>
          </cell>
          <cell r="P67" t="str">
            <v>Single Asset</v>
          </cell>
          <cell r="Q67" t="str">
            <v>Property - Private Equity</v>
          </cell>
          <cell r="R67" t="str">
            <v>Industrial</v>
          </cell>
          <cell r="S67" t="str">
            <v>Warehouse</v>
          </cell>
          <cell r="T67">
            <v>1980</v>
          </cell>
          <cell r="U67" t="str">
            <v>Sq. Feet</v>
          </cell>
          <cell r="V67" t="str">
            <v>Value-Add</v>
          </cell>
          <cell r="W67" t="str">
            <v>Industrial / Logistics</v>
          </cell>
          <cell r="X67" t="str">
            <v>Common Equity</v>
          </cell>
          <cell r="Y67">
            <v>944929.18672152015</v>
          </cell>
          <cell r="Z67">
            <v>1202047.495715</v>
          </cell>
          <cell r="AA67">
            <v>10749386.495715</v>
          </cell>
          <cell r="AB67">
            <v>8.7905406238597411E-2</v>
          </cell>
          <cell r="AC67">
            <v>778050</v>
          </cell>
          <cell r="AD67">
            <v>8.1900000000000001E-2</v>
          </cell>
          <cell r="AE67">
            <v>0.06</v>
          </cell>
          <cell r="AF67">
            <v>0.18410000000000001</v>
          </cell>
          <cell r="AG67">
            <v>2.81</v>
          </cell>
          <cell r="AH67">
            <v>0.14860000000000001</v>
          </cell>
          <cell r="AI67">
            <v>2.21</v>
          </cell>
          <cell r="AJ67">
            <v>0.1247562654136074</v>
          </cell>
          <cell r="AK67">
            <v>0.1973964877509844</v>
          </cell>
          <cell r="AL67">
            <v>2.5352024245846629</v>
          </cell>
          <cell r="AM67">
            <v>9.2947117017294634E-2</v>
          </cell>
          <cell r="AN67">
            <v>0.15870812772714071</v>
          </cell>
          <cell r="AO67">
            <v>2.1578844369374792</v>
          </cell>
          <cell r="AP67" t="str">
            <v>Soft marketed</v>
          </cell>
          <cell r="AQ67" t="str">
            <v>Rent Optimization</v>
          </cell>
          <cell r="AR67" t="str">
            <v>Leasing Strategy</v>
          </cell>
          <cell r="AS67">
            <v>44851</v>
          </cell>
          <cell r="AT67">
            <v>9500000</v>
          </cell>
          <cell r="AU67">
            <v>9547339</v>
          </cell>
          <cell r="AV67">
            <v>482090.80079999997</v>
          </cell>
          <cell r="AW67">
            <v>592142.31167000043</v>
          </cell>
          <cell r="AX67">
            <v>5.0746400084210525E-2</v>
          </cell>
          <cell r="AY67">
            <v>6.2330769649473733E-2</v>
          </cell>
          <cell r="AZ67">
            <v>4.2038776942355804</v>
          </cell>
          <cell r="BA67">
            <v>1</v>
          </cell>
          <cell r="BB67">
            <v>5.2082191780785196</v>
          </cell>
          <cell r="BC67">
            <v>1</v>
          </cell>
          <cell r="BD67">
            <v>0</v>
          </cell>
          <cell r="BE67">
            <v>0</v>
          </cell>
          <cell r="BF67">
            <v>98431.19</v>
          </cell>
          <cell r="BG67">
            <v>643432.90999999992</v>
          </cell>
          <cell r="BH67">
            <v>643432.90999999992</v>
          </cell>
          <cell r="BI67">
            <v>584203.28999999992</v>
          </cell>
          <cell r="BJ67">
            <v>9547339</v>
          </cell>
        </row>
        <row r="68">
          <cell r="B68" t="str">
            <v>3md00004</v>
          </cell>
          <cell r="C68" t="str">
            <v>7120 Ambassador Road</v>
          </cell>
          <cell r="D68" t="str">
            <v>Unrealized</v>
          </cell>
          <cell r="E68" t="str">
            <v>Industrial Value Fund III</v>
          </cell>
          <cell r="F68" t="str">
            <v>USD</v>
          </cell>
          <cell r="G68" t="str">
            <v>Last Mile</v>
          </cell>
          <cell r="H68" t="str">
            <v>Baltimore</v>
          </cell>
          <cell r="I68" t="str">
            <v>Windsor Mill</v>
          </cell>
          <cell r="J68" t="str">
            <v>MD</v>
          </cell>
          <cell r="K68">
            <v>21244</v>
          </cell>
          <cell r="L68" t="str">
            <v>United States</v>
          </cell>
          <cell r="M68" t="str">
            <v>Baltimore-Columbia-Towson, MD</v>
          </cell>
          <cell r="N68">
            <v>47078</v>
          </cell>
          <cell r="O68">
            <v>1</v>
          </cell>
          <cell r="P68" t="str">
            <v>Single Asset</v>
          </cell>
          <cell r="Q68" t="str">
            <v>Property - Private Equity</v>
          </cell>
          <cell r="R68" t="str">
            <v>Industrial</v>
          </cell>
          <cell r="S68" t="str">
            <v>Warehouse</v>
          </cell>
          <cell r="T68">
            <v>1971</v>
          </cell>
          <cell r="U68" t="str">
            <v>Sq. Feet</v>
          </cell>
          <cell r="V68" t="str">
            <v>Value-Add</v>
          </cell>
          <cell r="W68" t="str">
            <v>Industrial / Logistics</v>
          </cell>
          <cell r="X68" t="str">
            <v>Common Equity</v>
          </cell>
          <cell r="Y68">
            <v>566050.82758744014</v>
          </cell>
          <cell r="Z68">
            <v>835109.91903499991</v>
          </cell>
          <cell r="AA68">
            <v>6027394.9190349998</v>
          </cell>
          <cell r="AB68">
            <v>9.3913014692268787E-2</v>
          </cell>
          <cell r="AC68">
            <v>499044</v>
          </cell>
          <cell r="AD68">
            <v>9.833379310344828E-2</v>
          </cell>
          <cell r="AE68">
            <v>0.06</v>
          </cell>
          <cell r="AF68">
            <v>0.20830000000000001</v>
          </cell>
          <cell r="AG68">
            <v>3.32</v>
          </cell>
          <cell r="AH68">
            <v>0.17199999999999999</v>
          </cell>
          <cell r="AI68">
            <v>2.64</v>
          </cell>
          <cell r="AJ68">
            <v>0.13773554121798504</v>
          </cell>
          <cell r="AK68">
            <v>0.22044053297149668</v>
          </cell>
          <cell r="AL68">
            <v>2.8401087573230526</v>
          </cell>
          <cell r="AM68">
            <v>0.10472848876110374</v>
          </cell>
          <cell r="AN68">
            <v>0.17997896094237054</v>
          </cell>
          <cell r="AO68">
            <v>2.4025342424806024</v>
          </cell>
          <cell r="AP68" t="str">
            <v>Market deal</v>
          </cell>
          <cell r="AQ68" t="str">
            <v>Rent Optimization</v>
          </cell>
          <cell r="AR68" t="str">
            <v>Leasing Strategy</v>
          </cell>
          <cell r="AS68">
            <v>44874</v>
          </cell>
          <cell r="AT68">
            <v>5075000</v>
          </cell>
          <cell r="AU68">
            <v>5192285</v>
          </cell>
          <cell r="AV68">
            <v>307962.4672800001</v>
          </cell>
          <cell r="AW68">
            <v>316436.62956299994</v>
          </cell>
          <cell r="AX68">
            <v>6.0682259562561597E-2</v>
          </cell>
          <cell r="AY68">
            <v>6.235204523408866E-2</v>
          </cell>
          <cell r="AZ68">
            <v>7.1046764943285599</v>
          </cell>
          <cell r="BA68">
            <v>0.86297208887378396</v>
          </cell>
          <cell r="BB68">
            <v>1.22133858878881</v>
          </cell>
          <cell r="BC68">
            <v>1</v>
          </cell>
          <cell r="BD68">
            <v>0</v>
          </cell>
          <cell r="BE68">
            <v>0</v>
          </cell>
          <cell r="BF68">
            <v>68546.850000000006</v>
          </cell>
          <cell r="BG68">
            <v>270918.88</v>
          </cell>
          <cell r="BH68">
            <v>270918.88</v>
          </cell>
          <cell r="BI68">
            <v>225627.28999999998</v>
          </cell>
          <cell r="BJ68">
            <v>5359086.16</v>
          </cell>
        </row>
        <row r="69">
          <cell r="B69" t="str">
            <v>3il00007</v>
          </cell>
          <cell r="C69" t="str">
            <v>800-812 Greenleaf Avenue</v>
          </cell>
          <cell r="D69" t="str">
            <v>Unrealized</v>
          </cell>
          <cell r="E69" t="str">
            <v>Industrial Value Fund III</v>
          </cell>
          <cell r="F69" t="str">
            <v>USD</v>
          </cell>
          <cell r="G69" t="str">
            <v>Last Mile</v>
          </cell>
          <cell r="H69" t="str">
            <v>Chicago</v>
          </cell>
          <cell r="I69" t="str">
            <v>Elk Grove Village</v>
          </cell>
          <cell r="J69" t="str">
            <v>IL</v>
          </cell>
          <cell r="K69">
            <v>60007</v>
          </cell>
          <cell r="L69" t="str">
            <v>United States</v>
          </cell>
          <cell r="M69" t="str">
            <v>Chicago-Naperville-Elgin, IL-IN-WI</v>
          </cell>
          <cell r="N69">
            <v>37000</v>
          </cell>
          <cell r="O69">
            <v>1</v>
          </cell>
          <cell r="P69" t="str">
            <v>Single Asset</v>
          </cell>
          <cell r="Q69" t="str">
            <v>Property - Private Equity</v>
          </cell>
          <cell r="R69" t="str">
            <v>Industrial</v>
          </cell>
          <cell r="S69" t="str">
            <v>Warehouse</v>
          </cell>
          <cell r="T69">
            <v>1978</v>
          </cell>
          <cell r="U69" t="str">
            <v>Sq. Feet</v>
          </cell>
          <cell r="V69" t="str">
            <v>Value-Add</v>
          </cell>
          <cell r="W69" t="str">
            <v>Industrial / Logistics</v>
          </cell>
          <cell r="X69" t="str">
            <v>Common Equity</v>
          </cell>
          <cell r="Y69">
            <v>318192.88608744007</v>
          </cell>
          <cell r="Z69">
            <v>540646.36221399996</v>
          </cell>
          <cell r="AA69">
            <v>3421318.362214</v>
          </cell>
          <cell r="AB69">
            <v>9.3003004222480895E-2</v>
          </cell>
          <cell r="AC69">
            <v>259000</v>
          </cell>
          <cell r="AD69">
            <v>9.2170818505338079E-2</v>
          </cell>
          <cell r="AE69">
            <v>0.06</v>
          </cell>
          <cell r="AF69">
            <v>0.19320000000000001</v>
          </cell>
          <cell r="AG69">
            <v>3.11</v>
          </cell>
          <cell r="AH69">
            <v>0.1593</v>
          </cell>
          <cell r="AI69">
            <v>2.48</v>
          </cell>
          <cell r="AJ69">
            <v>0.14103553131859559</v>
          </cell>
          <cell r="AK69">
            <v>0.22775162977983876</v>
          </cell>
          <cell r="AL69">
            <v>2.8869523692366661</v>
          </cell>
          <cell r="AM69">
            <v>0.1076721224150885</v>
          </cell>
          <cell r="AN69">
            <v>0.18687174522179006</v>
          </cell>
          <cell r="AO69">
            <v>2.4400455431473476</v>
          </cell>
          <cell r="AP69" t="str">
            <v>Unsolicited \ Off-market</v>
          </cell>
          <cell r="AQ69" t="str">
            <v>Rent Optimization</v>
          </cell>
          <cell r="AR69" t="str">
            <v>Leasing Strategy</v>
          </cell>
          <cell r="AS69">
            <v>44880</v>
          </cell>
          <cell r="AT69">
            <v>2810000</v>
          </cell>
          <cell r="AU69">
            <v>2880672</v>
          </cell>
          <cell r="AV69">
            <v>141922.66439999998</v>
          </cell>
          <cell r="AW69">
            <v>187841.25482199967</v>
          </cell>
          <cell r="AX69">
            <v>5.050628626334519E-2</v>
          </cell>
          <cell r="AY69">
            <v>6.6847421644839741E-2</v>
          </cell>
          <cell r="AZ69">
            <v>5.6921383783783703</v>
          </cell>
          <cell r="BA69">
            <v>0.75</v>
          </cell>
          <cell r="BB69">
            <v>1.53082191781081</v>
          </cell>
          <cell r="BC69">
            <v>1</v>
          </cell>
          <cell r="BD69">
            <v>0</v>
          </cell>
          <cell r="BE69">
            <v>0</v>
          </cell>
          <cell r="BF69">
            <v>13329.77</v>
          </cell>
          <cell r="BG69">
            <v>202700.18000000002</v>
          </cell>
          <cell r="BH69">
            <v>202700.18000000002</v>
          </cell>
          <cell r="BI69">
            <v>238067.37000000005</v>
          </cell>
          <cell r="BJ69">
            <v>3020689.88</v>
          </cell>
        </row>
        <row r="70">
          <cell r="B70" t="str">
            <v>3tx00009</v>
          </cell>
          <cell r="C70" t="str">
            <v>631 S Royal Lane</v>
          </cell>
          <cell r="D70" t="str">
            <v>Unrealized</v>
          </cell>
          <cell r="E70" t="str">
            <v>Industrial Value Fund III</v>
          </cell>
          <cell r="F70" t="str">
            <v>USD</v>
          </cell>
          <cell r="G70" t="str">
            <v>Last Mile</v>
          </cell>
          <cell r="H70" t="str">
            <v>Dallas</v>
          </cell>
          <cell r="I70" t="str">
            <v>Coppell</v>
          </cell>
          <cell r="J70" t="str">
            <v>TX</v>
          </cell>
          <cell r="K70">
            <v>75019</v>
          </cell>
          <cell r="L70" t="str">
            <v>United States</v>
          </cell>
          <cell r="M70" t="str">
            <v>Dallas-Fort Worth-Arlington, TX</v>
          </cell>
          <cell r="N70">
            <v>51360</v>
          </cell>
          <cell r="O70">
            <v>1</v>
          </cell>
          <cell r="P70" t="str">
            <v>Portfolio</v>
          </cell>
          <cell r="Q70" t="str">
            <v>Property - Private Equity</v>
          </cell>
          <cell r="R70" t="str">
            <v>Industrial</v>
          </cell>
          <cell r="S70" t="str">
            <v>Warehouse</v>
          </cell>
          <cell r="T70">
            <v>2007</v>
          </cell>
          <cell r="U70" t="str">
            <v>Sq. Feet</v>
          </cell>
          <cell r="V70" t="str">
            <v>Value-Add</v>
          </cell>
          <cell r="W70" t="str">
            <v>Industrial / Logistics</v>
          </cell>
          <cell r="X70" t="str">
            <v>Common Equity</v>
          </cell>
          <cell r="Y70">
            <v>865678.14943583997</v>
          </cell>
          <cell r="Z70">
            <v>1109696.7653800002</v>
          </cell>
          <cell r="AA70">
            <v>7445796.7653800007</v>
          </cell>
          <cell r="AB70">
            <v>0.11626400460739135</v>
          </cell>
          <cell r="AC70">
            <v>750883.2</v>
          </cell>
          <cell r="AD70">
            <v>0.11918780952380952</v>
          </cell>
          <cell r="AE70">
            <v>5.9400000000000001E-2</v>
          </cell>
          <cell r="AF70">
            <v>0.1666</v>
          </cell>
          <cell r="AG70">
            <v>2.67</v>
          </cell>
          <cell r="AH70">
            <v>0.1323</v>
          </cell>
          <cell r="AI70">
            <v>2.11</v>
          </cell>
          <cell r="AJ70">
            <v>0.224133941381778</v>
          </cell>
          <cell r="AK70">
            <v>0.39198135422412772</v>
          </cell>
          <cell r="AL70">
            <v>4.4603754901295458</v>
          </cell>
          <cell r="AM70">
            <v>0.18284562049412223</v>
          </cell>
          <cell r="AN70">
            <v>0.34136707043699488</v>
          </cell>
          <cell r="AO70">
            <v>3.7017181283791163</v>
          </cell>
          <cell r="AP70" t="str">
            <v>Market deal</v>
          </cell>
          <cell r="AQ70" t="str">
            <v>Renewal / Re-tenant</v>
          </cell>
          <cell r="AR70" t="str">
            <v>Leasing Strategy</v>
          </cell>
          <cell r="AS70">
            <v>44883</v>
          </cell>
          <cell r="AT70">
            <v>6300000</v>
          </cell>
          <cell r="AU70">
            <v>6336100</v>
          </cell>
          <cell r="AV70">
            <v>789483.1275119998</v>
          </cell>
          <cell r="AW70">
            <v>792848.78123700013</v>
          </cell>
          <cell r="AX70">
            <v>0.12531478214476188</v>
          </cell>
          <cell r="AY70">
            <v>0.12584901289476191</v>
          </cell>
          <cell r="AZ70">
            <v>16.1869158878504</v>
          </cell>
          <cell r="BA70">
            <v>1</v>
          </cell>
          <cell r="BB70">
            <v>3.8111808133956302</v>
          </cell>
          <cell r="BC70">
            <v>1</v>
          </cell>
          <cell r="BD70">
            <v>0</v>
          </cell>
          <cell r="BE70">
            <v>0</v>
          </cell>
          <cell r="BF70">
            <v>95788.5</v>
          </cell>
          <cell r="BG70">
            <v>732364.21</v>
          </cell>
          <cell r="BH70">
            <v>732364.21</v>
          </cell>
          <cell r="BI70">
            <v>849411.55</v>
          </cell>
          <cell r="BJ70">
            <v>6376469.5099999998</v>
          </cell>
        </row>
        <row r="71">
          <cell r="B71" t="str">
            <v>3tx00004</v>
          </cell>
          <cell r="C71" t="str">
            <v>2220 Chemsearch Blvd</v>
          </cell>
          <cell r="D71" t="str">
            <v>Unrealized</v>
          </cell>
          <cell r="E71" t="str">
            <v>Industrial Value Fund III</v>
          </cell>
          <cell r="F71" t="str">
            <v>USD</v>
          </cell>
          <cell r="G71" t="str">
            <v>Last Mile</v>
          </cell>
          <cell r="H71" t="str">
            <v>Dallas</v>
          </cell>
          <cell r="I71" t="str">
            <v>Irving</v>
          </cell>
          <cell r="J71" t="str">
            <v>TX</v>
          </cell>
          <cell r="K71">
            <v>75062</v>
          </cell>
          <cell r="L71" t="str">
            <v>United States</v>
          </cell>
          <cell r="M71" t="str">
            <v>Dallas-Fort Worth-Arlington, TX</v>
          </cell>
          <cell r="N71">
            <v>115926</v>
          </cell>
          <cell r="O71">
            <v>1</v>
          </cell>
          <cell r="P71" t="str">
            <v>Portfolio</v>
          </cell>
          <cell r="Q71" t="str">
            <v>Property - Private Equity</v>
          </cell>
          <cell r="R71" t="str">
            <v>Industrial</v>
          </cell>
          <cell r="S71" t="str">
            <v>Warehouse</v>
          </cell>
          <cell r="T71">
            <v>1997</v>
          </cell>
          <cell r="U71" t="str">
            <v>Sq. Feet</v>
          </cell>
          <cell r="V71" t="str">
            <v>Value-Add</v>
          </cell>
          <cell r="W71" t="str">
            <v>Industrial / Logistics</v>
          </cell>
          <cell r="X71" t="str">
            <v>Common Equity</v>
          </cell>
          <cell r="Y71">
            <v>1500931.4839979196</v>
          </cell>
          <cell r="Z71">
            <v>1937724.7410539999</v>
          </cell>
          <cell r="AA71">
            <v>18549541.741053998</v>
          </cell>
          <cell r="AB71">
            <v>8.0914747380311056E-2</v>
          </cell>
          <cell r="AC71">
            <v>1156941.48</v>
          </cell>
          <cell r="AD71">
            <v>6.9886396543994228E-2</v>
          </cell>
          <cell r="AE71">
            <v>5.9400000000000001E-2</v>
          </cell>
          <cell r="AF71">
            <v>0.1666</v>
          </cell>
          <cell r="AG71">
            <v>2.67</v>
          </cell>
          <cell r="AH71">
            <v>0.1323</v>
          </cell>
          <cell r="AI71">
            <v>2.11</v>
          </cell>
          <cell r="AJ71">
            <v>0.11555868899889155</v>
          </cell>
          <cell r="AK71">
            <v>0.18190021485664842</v>
          </cell>
          <cell r="AL71">
            <v>2.3455098535304351</v>
          </cell>
          <cell r="AM71">
            <v>8.4945462613313705E-2</v>
          </cell>
          <cell r="AN71">
            <v>0.1447032381600124</v>
          </cell>
          <cell r="AO71">
            <v>2.0067750833794022</v>
          </cell>
          <cell r="AP71" t="str">
            <v>Market deal</v>
          </cell>
          <cell r="AQ71" t="str">
            <v>Renewal / Re-tenant</v>
          </cell>
          <cell r="AR71" t="str">
            <v>Leasing Strategy</v>
          </cell>
          <cell r="AS71">
            <v>44883</v>
          </cell>
          <cell r="AT71">
            <v>16554602</v>
          </cell>
          <cell r="AU71">
            <v>16611817</v>
          </cell>
          <cell r="AV71">
            <v>1087703.3986439998</v>
          </cell>
          <cell r="AW71">
            <v>1100425.7986640004</v>
          </cell>
          <cell r="AX71">
            <v>6.5703989660639367E-2</v>
          </cell>
          <cell r="AY71">
            <v>6.6472501040133761E-2</v>
          </cell>
          <cell r="AZ71">
            <v>9.8858309611303703</v>
          </cell>
          <cell r="BA71">
            <v>1</v>
          </cell>
          <cell r="BB71">
            <v>4.56182463116125</v>
          </cell>
          <cell r="BC71">
            <v>1</v>
          </cell>
          <cell r="BD71">
            <v>0</v>
          </cell>
          <cell r="BE71">
            <v>0</v>
          </cell>
          <cell r="BF71">
            <v>156473.38</v>
          </cell>
          <cell r="BG71">
            <v>1155962.81</v>
          </cell>
          <cell r="BH71">
            <v>1155962.81</v>
          </cell>
          <cell r="BI71">
            <v>1266258.9000000001</v>
          </cell>
          <cell r="BJ71">
            <v>16710210.279999999</v>
          </cell>
        </row>
        <row r="72">
          <cell r="B72" t="str">
            <v>3tx00005</v>
          </cell>
          <cell r="C72" t="str">
            <v>1111 Northpoint Drive</v>
          </cell>
          <cell r="D72" t="str">
            <v>Unrealized</v>
          </cell>
          <cell r="E72" t="str">
            <v>Industrial Value Fund III</v>
          </cell>
          <cell r="F72" t="str">
            <v>USD</v>
          </cell>
          <cell r="G72" t="str">
            <v>Last Mile</v>
          </cell>
          <cell r="H72" t="str">
            <v>Dallas</v>
          </cell>
          <cell r="I72" t="str">
            <v>Coppell</v>
          </cell>
          <cell r="J72" t="str">
            <v>TX</v>
          </cell>
          <cell r="K72">
            <v>75019</v>
          </cell>
          <cell r="L72" t="str">
            <v>United States</v>
          </cell>
          <cell r="M72" t="str">
            <v>Dallas-Fort Worth-Arlington, TX</v>
          </cell>
          <cell r="N72">
            <v>126596</v>
          </cell>
          <cell r="O72">
            <v>1</v>
          </cell>
          <cell r="P72" t="str">
            <v>Portfolio</v>
          </cell>
          <cell r="Q72" t="str">
            <v>Property - Private Equity</v>
          </cell>
          <cell r="R72" t="str">
            <v>Industrial</v>
          </cell>
          <cell r="S72" t="str">
            <v>Warehouse</v>
          </cell>
          <cell r="T72">
            <v>1998</v>
          </cell>
          <cell r="U72" t="str">
            <v>Sq. Feet</v>
          </cell>
          <cell r="V72" t="str">
            <v>Value-Add</v>
          </cell>
          <cell r="W72" t="str">
            <v>Industrial / Logistics</v>
          </cell>
          <cell r="X72" t="str">
            <v>Common Equity</v>
          </cell>
          <cell r="Y72">
            <v>1791451.1736784002</v>
          </cell>
          <cell r="Z72">
            <v>1247300.103987</v>
          </cell>
          <cell r="AA72">
            <v>24557105.103987001</v>
          </cell>
          <cell r="AB72">
            <v>7.2950421724894063E-2</v>
          </cell>
          <cell r="AC72">
            <v>1582450</v>
          </cell>
          <cell r="AD72">
            <v>6.80917607312886E-2</v>
          </cell>
          <cell r="AE72">
            <v>5.9400000000000001E-2</v>
          </cell>
          <cell r="AF72">
            <v>0.1666</v>
          </cell>
          <cell r="AG72">
            <v>2.67</v>
          </cell>
          <cell r="AH72">
            <v>0.1323</v>
          </cell>
          <cell r="AI72">
            <v>2.11</v>
          </cell>
          <cell r="AJ72">
            <v>9.5913585166656157E-2</v>
          </cell>
          <cell r="AK72">
            <v>0.1429016692259526</v>
          </cell>
          <cell r="AL72">
            <v>2.0057683073631121</v>
          </cell>
          <cell r="AM72">
            <v>6.7634640646557331E-2</v>
          </cell>
          <cell r="AN72">
            <v>0.10942139197982947</v>
          </cell>
          <cell r="AO72">
            <v>1.7322970445048205</v>
          </cell>
          <cell r="AP72" t="str">
            <v>Market deal</v>
          </cell>
          <cell r="AQ72" t="str">
            <v>Renewal / Re-tenant</v>
          </cell>
          <cell r="AR72" t="str">
            <v>Stabilised</v>
          </cell>
          <cell r="AS72">
            <v>44883</v>
          </cell>
          <cell r="AT72">
            <v>23239963</v>
          </cell>
          <cell r="AU72">
            <v>23309805</v>
          </cell>
          <cell r="AV72">
            <v>1475475.7208279995</v>
          </cell>
          <cell r="AW72">
            <v>1483794.0586830021</v>
          </cell>
          <cell r="AX72">
            <v>6.3488729342125003E-2</v>
          </cell>
          <cell r="AY72">
            <v>6.3846661833454818E-2</v>
          </cell>
          <cell r="AZ72">
            <v>8.5050080571266005</v>
          </cell>
          <cell r="BA72">
            <v>1</v>
          </cell>
          <cell r="BB72">
            <v>11.7917808219217</v>
          </cell>
          <cell r="BC72">
            <v>1</v>
          </cell>
          <cell r="BD72">
            <v>0</v>
          </cell>
          <cell r="BE72">
            <v>0</v>
          </cell>
          <cell r="BF72">
            <v>119993.98000000001</v>
          </cell>
          <cell r="BG72">
            <v>1579400.6199999999</v>
          </cell>
          <cell r="BH72">
            <v>1579400.6199999999</v>
          </cell>
          <cell r="BI72">
            <v>1090898.29</v>
          </cell>
          <cell r="BJ72">
            <v>23335492.16</v>
          </cell>
        </row>
        <row r="73">
          <cell r="B73" t="str">
            <v>3tx00006</v>
          </cell>
          <cell r="C73" t="str">
            <v>1601 Valley View Lane</v>
          </cell>
          <cell r="D73" t="str">
            <v>Unrealized</v>
          </cell>
          <cell r="E73" t="str">
            <v>Industrial Value Fund III</v>
          </cell>
          <cell r="F73" t="str">
            <v>USD</v>
          </cell>
          <cell r="G73" t="str">
            <v>Last Mile</v>
          </cell>
          <cell r="H73" t="str">
            <v>Dallas</v>
          </cell>
          <cell r="I73" t="str">
            <v>Farmers Branch</v>
          </cell>
          <cell r="J73" t="str">
            <v>TX</v>
          </cell>
          <cell r="K73">
            <v>75234</v>
          </cell>
          <cell r="L73" t="str">
            <v>United States</v>
          </cell>
          <cell r="M73" t="str">
            <v>Dallas-Fort Worth-Arlington, TX</v>
          </cell>
          <cell r="N73">
            <v>191887</v>
          </cell>
          <cell r="O73">
            <v>1</v>
          </cell>
          <cell r="P73" t="str">
            <v>Portfolio</v>
          </cell>
          <cell r="Q73" t="str">
            <v>Property - Private Equity</v>
          </cell>
          <cell r="R73" t="str">
            <v>Industrial</v>
          </cell>
          <cell r="S73" t="str">
            <v>Warehouse</v>
          </cell>
          <cell r="T73">
            <v>1979</v>
          </cell>
          <cell r="U73" t="str">
            <v>Sq. Feet</v>
          </cell>
          <cell r="V73" t="str">
            <v>Value-Add</v>
          </cell>
          <cell r="W73" t="str">
            <v>Industrial / Logistics</v>
          </cell>
          <cell r="X73" t="str">
            <v>Common Equity</v>
          </cell>
          <cell r="Y73">
            <v>1798606.4527859997</v>
          </cell>
          <cell r="Z73">
            <v>2766795.1898640003</v>
          </cell>
          <cell r="AA73">
            <v>21136081.189864002</v>
          </cell>
          <cell r="AB73">
            <v>8.5096496206143346E-2</v>
          </cell>
          <cell r="AC73">
            <v>1295237.25</v>
          </cell>
          <cell r="AD73">
            <v>7.0749394356827464E-2</v>
          </cell>
          <cell r="AE73">
            <v>5.9400000000000001E-2</v>
          </cell>
          <cell r="AF73">
            <v>0.1666</v>
          </cell>
          <cell r="AG73">
            <v>2.67</v>
          </cell>
          <cell r="AH73">
            <v>0.1323</v>
          </cell>
          <cell r="AI73">
            <v>2.11</v>
          </cell>
          <cell r="AJ73">
            <v>9.9086267265742656E-2</v>
          </cell>
          <cell r="AK73">
            <v>0.14230161320840917</v>
          </cell>
          <cell r="AL73">
            <v>2.0900498335186528</v>
          </cell>
          <cell r="AM73">
            <v>7.109048081887348E-2</v>
          </cell>
          <cell r="AN73">
            <v>0.11010068681558649</v>
          </cell>
          <cell r="AO73">
            <v>1.8053256012657397</v>
          </cell>
          <cell r="AP73" t="str">
            <v>Market deal</v>
          </cell>
          <cell r="AQ73" t="str">
            <v>Rent Optimization</v>
          </cell>
          <cell r="AR73" t="str">
            <v>Leasing Strategy</v>
          </cell>
          <cell r="AS73">
            <v>44883</v>
          </cell>
          <cell r="AT73">
            <v>18307397</v>
          </cell>
          <cell r="AU73">
            <v>18369286</v>
          </cell>
          <cell r="AV73">
            <v>626771.46896399977</v>
          </cell>
          <cell r="AW73">
            <v>624791.77608799911</v>
          </cell>
          <cell r="AX73">
            <v>3.4235968606787723E-2</v>
          </cell>
          <cell r="AY73">
            <v>3.4127832377699521E-2</v>
          </cell>
          <cell r="AZ73">
            <v>3.5999999999999899</v>
          </cell>
          <cell r="BA73">
            <v>1</v>
          </cell>
          <cell r="BB73">
            <v>1.11780821917586</v>
          </cell>
          <cell r="BC73">
            <v>1</v>
          </cell>
          <cell r="BD73">
            <v>0</v>
          </cell>
          <cell r="BE73">
            <v>0</v>
          </cell>
          <cell r="BF73">
            <v>87789.51</v>
          </cell>
          <cell r="BG73">
            <v>662005.72</v>
          </cell>
          <cell r="BH73">
            <v>662005.72</v>
          </cell>
          <cell r="BI73">
            <v>691528.79</v>
          </cell>
          <cell r="BJ73">
            <v>18379240.68</v>
          </cell>
        </row>
        <row r="74">
          <cell r="B74" t="str">
            <v>3tx00003</v>
          </cell>
          <cell r="C74" t="str">
            <v>2300 E Randol Mill Road</v>
          </cell>
          <cell r="D74" t="str">
            <v>Unrealized</v>
          </cell>
          <cell r="E74" t="str">
            <v>Industrial Value Fund III</v>
          </cell>
          <cell r="F74" t="str">
            <v>USD</v>
          </cell>
          <cell r="G74" t="str">
            <v>Last Mile</v>
          </cell>
          <cell r="H74" t="str">
            <v>Dallas</v>
          </cell>
          <cell r="I74" t="str">
            <v>Arlington</v>
          </cell>
          <cell r="J74" t="str">
            <v>TX</v>
          </cell>
          <cell r="K74">
            <v>76011</v>
          </cell>
          <cell r="L74" t="str">
            <v>United States</v>
          </cell>
          <cell r="M74" t="str">
            <v>Dallas-Fort Worth-Arlington, TX</v>
          </cell>
          <cell r="N74">
            <v>50888</v>
          </cell>
          <cell r="O74">
            <v>1</v>
          </cell>
          <cell r="P74" t="str">
            <v>Portfolio</v>
          </cell>
          <cell r="Q74" t="str">
            <v>Property - Private Equity</v>
          </cell>
          <cell r="R74" t="str">
            <v>Industrial</v>
          </cell>
          <cell r="S74" t="str">
            <v>Warehouse</v>
          </cell>
          <cell r="T74">
            <v>2000</v>
          </cell>
          <cell r="U74" t="str">
            <v>Sq. Feet</v>
          </cell>
          <cell r="V74" t="str">
            <v>Value-Add</v>
          </cell>
          <cell r="W74" t="str">
            <v>Industrial / Logistics</v>
          </cell>
          <cell r="X74" t="str">
            <v>Common Equity</v>
          </cell>
          <cell r="Y74">
            <v>777742.00844392017</v>
          </cell>
          <cell r="Z74">
            <v>440635.03644400003</v>
          </cell>
          <cell r="AA74">
            <v>7778420.036444</v>
          </cell>
          <cell r="AB74">
            <v>9.9987144535778311E-2</v>
          </cell>
          <cell r="AC74">
            <v>636100</v>
          </cell>
          <cell r="AD74">
            <v>8.7201192658978355E-2</v>
          </cell>
          <cell r="AE74">
            <v>5.9400000000000001E-2</v>
          </cell>
          <cell r="AF74">
            <v>0.1666</v>
          </cell>
          <cell r="AG74">
            <v>2.67</v>
          </cell>
          <cell r="AH74">
            <v>0.1323</v>
          </cell>
          <cell r="AI74">
            <v>2.11</v>
          </cell>
          <cell r="AJ74">
            <v>0.16612286031062395</v>
          </cell>
          <cell r="AK74">
            <v>0.27922761134514507</v>
          </cell>
          <cell r="AL74">
            <v>3.4466896985858471</v>
          </cell>
          <cell r="AM74">
            <v>0.13048246012967435</v>
          </cell>
          <cell r="AN74">
            <v>0.23505251579035158</v>
          </cell>
          <cell r="AO74">
            <v>2.8875113344449783</v>
          </cell>
          <cell r="AP74" t="str">
            <v>Market deal</v>
          </cell>
          <cell r="AQ74" t="str">
            <v>Renewal / Re-tenant</v>
          </cell>
          <cell r="AR74" t="str">
            <v>Leasing Strategy</v>
          </cell>
          <cell r="AS74">
            <v>44901</v>
          </cell>
          <cell r="AT74">
            <v>7294625</v>
          </cell>
          <cell r="AU74">
            <v>7337785</v>
          </cell>
          <cell r="AV74">
            <v>597805.801752</v>
          </cell>
          <cell r="AW74">
            <v>602611.02118799975</v>
          </cell>
          <cell r="AX74">
            <v>8.195154675559059E-2</v>
          </cell>
          <cell r="AY74">
            <v>8.2610281020340279E-2</v>
          </cell>
          <cell r="AZ74">
            <v>12.54</v>
          </cell>
          <cell r="BA74">
            <v>1</v>
          </cell>
          <cell r="BB74">
            <v>4.6520547945291604</v>
          </cell>
          <cell r="BC74">
            <v>1</v>
          </cell>
          <cell r="BD74">
            <v>0</v>
          </cell>
          <cell r="BE74">
            <v>0</v>
          </cell>
          <cell r="BF74">
            <v>48841.210000000006</v>
          </cell>
          <cell r="BG74">
            <v>656824.80999999994</v>
          </cell>
          <cell r="BH74">
            <v>656824.80999999994</v>
          </cell>
          <cell r="BI74">
            <v>661042.89</v>
          </cell>
          <cell r="BJ74">
            <v>7337785</v>
          </cell>
        </row>
        <row r="75">
          <cell r="B75" t="str">
            <v>3tx00008</v>
          </cell>
          <cell r="C75" t="str">
            <v>1301 Ridgeview Drive</v>
          </cell>
          <cell r="D75" t="str">
            <v>Unrealized</v>
          </cell>
          <cell r="E75" t="str">
            <v>Industrial Value Fund III</v>
          </cell>
          <cell r="F75" t="str">
            <v>USD</v>
          </cell>
          <cell r="G75" t="str">
            <v>Last Mile</v>
          </cell>
          <cell r="H75" t="str">
            <v>Dallas</v>
          </cell>
          <cell r="I75" t="str">
            <v>Lewisville</v>
          </cell>
          <cell r="J75" t="str">
            <v>TX</v>
          </cell>
          <cell r="K75">
            <v>75057</v>
          </cell>
          <cell r="L75" t="str">
            <v>United States</v>
          </cell>
          <cell r="M75" t="str">
            <v>Dallas-Fort Worth-Arlington, TX</v>
          </cell>
          <cell r="N75">
            <v>115459</v>
          </cell>
          <cell r="O75">
            <v>1</v>
          </cell>
          <cell r="P75" t="str">
            <v>Portfolio</v>
          </cell>
          <cell r="Q75" t="str">
            <v>Property - Private Equity</v>
          </cell>
          <cell r="R75" t="str">
            <v>Industrial</v>
          </cell>
          <cell r="S75" t="str">
            <v>Warehouse</v>
          </cell>
          <cell r="T75">
            <v>1981</v>
          </cell>
          <cell r="U75" t="str">
            <v>Sq. Feet</v>
          </cell>
          <cell r="V75" t="str">
            <v>Value-Add</v>
          </cell>
          <cell r="W75" t="str">
            <v>Industrial / Logistics</v>
          </cell>
          <cell r="X75" t="str">
            <v>Common Equity</v>
          </cell>
          <cell r="Y75">
            <v>956615.1368935199</v>
          </cell>
          <cell r="Z75">
            <v>1536023.8767549999</v>
          </cell>
          <cell r="AA75">
            <v>13722107.876754999</v>
          </cell>
          <cell r="AB75">
            <v>6.9713424896914594E-2</v>
          </cell>
          <cell r="AC75">
            <v>864307.44</v>
          </cell>
          <cell r="AD75">
            <v>7.1266418840096449E-2</v>
          </cell>
          <cell r="AE75">
            <v>5.9400000000000001E-2</v>
          </cell>
          <cell r="AF75">
            <v>0.1666</v>
          </cell>
          <cell r="AG75">
            <v>2.67</v>
          </cell>
          <cell r="AH75">
            <v>0.1323</v>
          </cell>
          <cell r="AI75">
            <v>2.11</v>
          </cell>
          <cell r="AJ75">
            <v>7.751635840272586E-2</v>
          </cell>
          <cell r="AK75">
            <v>0.10153164224195832</v>
          </cell>
          <cell r="AL75">
            <v>1.6412205321239759</v>
          </cell>
          <cell r="AM75">
            <v>5.2009246130378051E-2</v>
          </cell>
          <cell r="AN75">
            <v>7.3415969064913655E-2</v>
          </cell>
          <cell r="AO75">
            <v>1.4473931528537805</v>
          </cell>
          <cell r="AP75" t="str">
            <v>Market deal</v>
          </cell>
          <cell r="AQ75" t="str">
            <v>Rent Optimization</v>
          </cell>
          <cell r="AR75" t="str">
            <v>Leasing Strategy</v>
          </cell>
          <cell r="AS75">
            <v>44901</v>
          </cell>
          <cell r="AT75">
            <v>12127836</v>
          </cell>
          <cell r="AU75">
            <v>12186084</v>
          </cell>
          <cell r="AV75">
            <v>589438.38154800015</v>
          </cell>
          <cell r="AW75">
            <v>591190.71503700002</v>
          </cell>
          <cell r="AX75">
            <v>4.8602106884360917E-2</v>
          </cell>
          <cell r="AY75">
            <v>4.8746595438543198E-2</v>
          </cell>
          <cell r="AZ75">
            <v>5.2853567067097398</v>
          </cell>
          <cell r="BA75">
            <v>1</v>
          </cell>
          <cell r="BB75">
            <v>5.3627141556569802</v>
          </cell>
          <cell r="BC75">
            <v>1</v>
          </cell>
          <cell r="BD75">
            <v>0</v>
          </cell>
          <cell r="BE75">
            <v>0</v>
          </cell>
          <cell r="BF75">
            <v>58847.35</v>
          </cell>
          <cell r="BG75">
            <v>634455.06000000006</v>
          </cell>
          <cell r="BH75">
            <v>634455.06000000006</v>
          </cell>
          <cell r="BI75">
            <v>563310.82999999984</v>
          </cell>
          <cell r="BJ75">
            <v>12186084</v>
          </cell>
        </row>
        <row r="76">
          <cell r="B76" t="str">
            <v>3tx00007</v>
          </cell>
          <cell r="C76" t="str">
            <v>1460 N Glenville Drive</v>
          </cell>
          <cell r="D76" t="str">
            <v>Unrealized</v>
          </cell>
          <cell r="E76" t="str">
            <v>Industrial Value Fund III</v>
          </cell>
          <cell r="F76" t="str">
            <v>USD</v>
          </cell>
          <cell r="G76" t="str">
            <v>Last Mile</v>
          </cell>
          <cell r="H76" t="str">
            <v>Dallas</v>
          </cell>
          <cell r="I76" t="str">
            <v>Richardson</v>
          </cell>
          <cell r="J76" t="str">
            <v>TX</v>
          </cell>
          <cell r="K76">
            <v>75081</v>
          </cell>
          <cell r="L76" t="str">
            <v>United States</v>
          </cell>
          <cell r="M76" t="str">
            <v>Dallas-Fort Worth-Arlington, TX</v>
          </cell>
          <cell r="N76">
            <v>121068</v>
          </cell>
          <cell r="O76">
            <v>1</v>
          </cell>
          <cell r="P76" t="str">
            <v>Portfolio</v>
          </cell>
          <cell r="Q76" t="str">
            <v>Property - Private Equity</v>
          </cell>
          <cell r="R76" t="str">
            <v>Industrial</v>
          </cell>
          <cell r="S76" t="str">
            <v>Warehouse</v>
          </cell>
          <cell r="T76">
            <v>1996</v>
          </cell>
          <cell r="U76" t="str">
            <v>Sq. Feet</v>
          </cell>
          <cell r="V76" t="str">
            <v>Value-Add</v>
          </cell>
          <cell r="W76" t="str">
            <v>Industrial / Logistics</v>
          </cell>
          <cell r="X76" t="str">
            <v>Common Equity</v>
          </cell>
          <cell r="Y76">
            <v>2165692.5679282402</v>
          </cell>
          <cell r="Z76">
            <v>2779378.2745950003</v>
          </cell>
          <cell r="AA76">
            <v>26317930.274595</v>
          </cell>
          <cell r="AB76">
            <v>8.2289623284655028E-2</v>
          </cell>
          <cell r="AC76">
            <v>1808755.92</v>
          </cell>
          <cell r="AD76">
            <v>7.7120681543771274E-2</v>
          </cell>
          <cell r="AE76">
            <v>5.9400000000000001E-2</v>
          </cell>
          <cell r="AF76">
            <v>0.1666</v>
          </cell>
          <cell r="AG76">
            <v>2.67</v>
          </cell>
          <cell r="AH76">
            <v>0.1323</v>
          </cell>
          <cell r="AI76">
            <v>2.11</v>
          </cell>
          <cell r="AJ76">
            <v>0.12826804851578877</v>
          </cell>
          <cell r="AK76">
            <v>0.21049608094851946</v>
          </cell>
          <cell r="AL76">
            <v>2.5322777430731613</v>
          </cell>
          <cell r="AM76">
            <v>9.6199799592764812E-2</v>
          </cell>
          <cell r="AN76">
            <v>0.17077602950257975</v>
          </cell>
          <cell r="AO76">
            <v>2.1579357406695601</v>
          </cell>
          <cell r="AP76" t="str">
            <v>Market deal</v>
          </cell>
          <cell r="AQ76" t="str">
            <v>Renewal / Re-tenant</v>
          </cell>
          <cell r="AR76" t="str">
            <v>Leasing Strategy</v>
          </cell>
          <cell r="AS76">
            <v>44901</v>
          </cell>
          <cell r="AT76">
            <v>23453578</v>
          </cell>
          <cell r="AU76">
            <v>23538552</v>
          </cell>
          <cell r="AV76">
            <v>1780827.8882999998</v>
          </cell>
          <cell r="AW76">
            <v>1803565.1881969967</v>
          </cell>
          <cell r="AX76">
            <v>7.592990239271806E-2</v>
          </cell>
          <cell r="AY76">
            <v>7.6899362144104269E-2</v>
          </cell>
          <cell r="AZ76">
            <v>14.92</v>
          </cell>
          <cell r="BA76">
            <v>1</v>
          </cell>
          <cell r="BB76">
            <v>0.81643835616347804</v>
          </cell>
          <cell r="BC76">
            <v>1</v>
          </cell>
          <cell r="BD76">
            <v>0</v>
          </cell>
          <cell r="BE76">
            <v>0</v>
          </cell>
          <cell r="BF76">
            <v>127182.95999999999</v>
          </cell>
          <cell r="BG76">
            <v>1896773.21</v>
          </cell>
          <cell r="BH76">
            <v>1896773.21</v>
          </cell>
          <cell r="BI76">
            <v>1900873.86</v>
          </cell>
          <cell r="BJ76">
            <v>23538552</v>
          </cell>
        </row>
        <row r="77">
          <cell r="B77" t="str">
            <v>3nj00006</v>
          </cell>
          <cell r="C77" t="str">
            <v>3140 Route 22</v>
          </cell>
          <cell r="D77" t="str">
            <v>Unrealized</v>
          </cell>
          <cell r="E77" t="str">
            <v>Industrial Value Fund III</v>
          </cell>
          <cell r="F77" t="str">
            <v>USD</v>
          </cell>
          <cell r="G77" t="str">
            <v>Last Mile</v>
          </cell>
          <cell r="H77" t="str">
            <v>Northern NJ/New York</v>
          </cell>
          <cell r="I77" t="str">
            <v>Branchburg</v>
          </cell>
          <cell r="J77" t="str">
            <v>NJ</v>
          </cell>
          <cell r="K77" t="str">
            <v>08876</v>
          </cell>
          <cell r="L77" t="str">
            <v>United States</v>
          </cell>
          <cell r="M77" t="str">
            <v>New York-Newark-Jersey City, NY-NJ-PA</v>
          </cell>
          <cell r="N77">
            <v>151000</v>
          </cell>
          <cell r="O77">
            <v>1</v>
          </cell>
          <cell r="P77" t="str">
            <v>Single Asset</v>
          </cell>
          <cell r="Q77" t="str">
            <v>Property - Private Equity</v>
          </cell>
          <cell r="R77" t="str">
            <v>Industrial</v>
          </cell>
          <cell r="S77" t="str">
            <v>Warehouse</v>
          </cell>
          <cell r="T77">
            <v>1967</v>
          </cell>
          <cell r="U77" t="str">
            <v>Sq. Feet</v>
          </cell>
          <cell r="V77" t="str">
            <v>Value-Add</v>
          </cell>
          <cell r="W77" t="str">
            <v>Industrial / Logistics</v>
          </cell>
          <cell r="X77" t="str">
            <v>Common Equity</v>
          </cell>
          <cell r="Y77">
            <v>2274078.3986512795</v>
          </cell>
          <cell r="Z77">
            <v>2290369.7037709998</v>
          </cell>
          <cell r="AA77">
            <v>26168727.703770999</v>
          </cell>
          <cell r="AB77">
            <v>8.6900609933878339E-2</v>
          </cell>
          <cell r="AC77">
            <v>1587348</v>
          </cell>
          <cell r="AD77">
            <v>6.6835705263157894E-2</v>
          </cell>
          <cell r="AE77">
            <v>6.3799999999999996E-2</v>
          </cell>
          <cell r="AF77">
            <v>0.17829999999999999</v>
          </cell>
          <cell r="AG77">
            <v>2.57</v>
          </cell>
          <cell r="AH77">
            <v>0.1429</v>
          </cell>
          <cell r="AI77">
            <v>2.12</v>
          </cell>
          <cell r="AJ77">
            <v>0.14674795874647883</v>
          </cell>
          <cell r="AK77">
            <v>0.23788817954266195</v>
          </cell>
          <cell r="AL77">
            <v>2.4070131821603944</v>
          </cell>
          <cell r="AM77">
            <v>0.10780474710537802</v>
          </cell>
          <cell r="AN77">
            <v>0.1889461162506143</v>
          </cell>
          <cell r="AO77">
            <v>2.0580265291577269</v>
          </cell>
          <cell r="AP77" t="str">
            <v>Unsolicited \ Off-market</v>
          </cell>
          <cell r="AQ77" t="str">
            <v>Renewal / Re-tenant</v>
          </cell>
          <cell r="AR77" t="str">
            <v>Leasing Strategy</v>
          </cell>
          <cell r="AS77">
            <v>44951</v>
          </cell>
          <cell r="AT77">
            <v>23750000</v>
          </cell>
          <cell r="AU77">
            <v>23878358</v>
          </cell>
          <cell r="AV77">
            <v>1630253.6967839999</v>
          </cell>
          <cell r="AW77">
            <v>1628196.8741599992</v>
          </cell>
          <cell r="AX77">
            <v>6.8642260917221046E-2</v>
          </cell>
          <cell r="AY77">
            <v>6.8555657859368388E-2</v>
          </cell>
          <cell r="AZ77">
            <v>10.5946108609271</v>
          </cell>
          <cell r="BA77">
            <v>1</v>
          </cell>
          <cell r="BB77">
            <v>3.0191780821920502</v>
          </cell>
          <cell r="BC77">
            <v>1</v>
          </cell>
          <cell r="BD77">
            <v>0</v>
          </cell>
          <cell r="BE77">
            <v>0</v>
          </cell>
          <cell r="BF77">
            <v>0</v>
          </cell>
          <cell r="BG77">
            <v>1494212.4500000002</v>
          </cell>
          <cell r="BH77">
            <v>1494212.4500000002</v>
          </cell>
          <cell r="BI77">
            <v>1569126.1746920822</v>
          </cell>
          <cell r="BJ77">
            <v>23878358</v>
          </cell>
        </row>
        <row r="78">
          <cell r="B78" t="str">
            <v>3nc00001</v>
          </cell>
          <cell r="C78" t="str">
            <v>10000 Industrial Drive</v>
          </cell>
          <cell r="D78" t="str">
            <v>Unrealized</v>
          </cell>
          <cell r="E78" t="str">
            <v>Industrial Value Fund III</v>
          </cell>
          <cell r="F78" t="str">
            <v>USD</v>
          </cell>
          <cell r="G78" t="str">
            <v>Last Mile</v>
          </cell>
          <cell r="H78" t="str">
            <v>Charlotte, NC</v>
          </cell>
          <cell r="I78" t="str">
            <v>Pineville</v>
          </cell>
          <cell r="J78" t="str">
            <v>NC</v>
          </cell>
          <cell r="K78">
            <v>28134</v>
          </cell>
          <cell r="L78" t="str">
            <v>United States</v>
          </cell>
          <cell r="M78" t="str">
            <v>Charlotte-Concord-Gastonia, NC-SC</v>
          </cell>
          <cell r="N78">
            <v>56847</v>
          </cell>
          <cell r="O78">
            <v>1</v>
          </cell>
          <cell r="P78" t="str">
            <v>Single Asset</v>
          </cell>
          <cell r="Q78" t="str">
            <v>Property - Private Equity</v>
          </cell>
          <cell r="R78" t="str">
            <v>Industrial</v>
          </cell>
          <cell r="S78" t="str">
            <v>Warehouse</v>
          </cell>
          <cell r="T78">
            <v>1973</v>
          </cell>
          <cell r="U78" t="str">
            <v>Sq. Feet</v>
          </cell>
          <cell r="V78" t="str">
            <v>Value-Add</v>
          </cell>
          <cell r="W78" t="str">
            <v>Industrial / Logistics</v>
          </cell>
          <cell r="X78" t="str">
            <v>Common Equity</v>
          </cell>
          <cell r="Y78">
            <v>350949.15748568001</v>
          </cell>
          <cell r="Z78">
            <v>393572.081817</v>
          </cell>
          <cell r="AA78">
            <v>4656616.0818170002</v>
          </cell>
          <cell r="AB78">
            <v>7.5365705765621224E-2</v>
          </cell>
          <cell r="AC78">
            <v>341076</v>
          </cell>
          <cell r="AD78">
            <v>8.318926829268293E-2</v>
          </cell>
          <cell r="AE78">
            <v>6.25E-2</v>
          </cell>
          <cell r="AF78">
            <v>0.18129999999999999</v>
          </cell>
          <cell r="AG78">
            <v>2.86</v>
          </cell>
          <cell r="AH78">
            <v>0.1462</v>
          </cell>
          <cell r="AI78">
            <v>2.3199999999999998</v>
          </cell>
          <cell r="AJ78">
            <v>0.11667320974410367</v>
          </cell>
          <cell r="AK78">
            <v>0.17705379936590737</v>
          </cell>
          <cell r="AL78">
            <v>1.9528834671556876</v>
          </cell>
          <cell r="AM78">
            <v>8.1762801332155188E-2</v>
          </cell>
          <cell r="AN78">
            <v>0.13471111715137463</v>
          </cell>
          <cell r="AO78">
            <v>1.6951375798600055</v>
          </cell>
          <cell r="AP78" t="str">
            <v>Unsolicited \ Off-market</v>
          </cell>
          <cell r="AQ78" t="str">
            <v>Rent Optimization</v>
          </cell>
          <cell r="AR78" t="str">
            <v>Leasing Strategy</v>
          </cell>
          <cell r="AS78">
            <v>44967</v>
          </cell>
          <cell r="AT78">
            <v>4100000</v>
          </cell>
          <cell r="AU78">
            <v>4263044</v>
          </cell>
          <cell r="AV78">
            <v>285605.12192399998</v>
          </cell>
          <cell r="AW78">
            <v>267655.7738519999</v>
          </cell>
          <cell r="AX78">
            <v>6.9659785835121946E-2</v>
          </cell>
          <cell r="AY78">
            <v>6.5281896061463396E-2</v>
          </cell>
          <cell r="AZ78">
            <v>4.5000010554646597</v>
          </cell>
          <cell r="BA78">
            <v>1</v>
          </cell>
          <cell r="BB78">
            <v>4.1369863013703396</v>
          </cell>
          <cell r="BC78">
            <v>1</v>
          </cell>
          <cell r="BD78">
            <v>0</v>
          </cell>
          <cell r="BE78">
            <v>0</v>
          </cell>
          <cell r="BF78">
            <v>0</v>
          </cell>
          <cell r="BG78">
            <v>230755.97</v>
          </cell>
          <cell r="BH78">
            <v>230755.97</v>
          </cell>
          <cell r="BI78">
            <v>255362.75107692301</v>
          </cell>
          <cell r="BJ78">
            <v>4263044</v>
          </cell>
        </row>
        <row r="79">
          <cell r="B79" t="str">
            <v>3fl00006</v>
          </cell>
          <cell r="C79" t="str">
            <v>4390 Westroads Drive</v>
          </cell>
          <cell r="D79" t="str">
            <v>Unrealized</v>
          </cell>
          <cell r="E79" t="str">
            <v>Industrial Value Fund III</v>
          </cell>
          <cell r="F79" t="str">
            <v>USD</v>
          </cell>
          <cell r="G79" t="str">
            <v>Last Mile</v>
          </cell>
          <cell r="H79" t="str">
            <v>Miami</v>
          </cell>
          <cell r="I79" t="str">
            <v>West Palm Beach</v>
          </cell>
          <cell r="J79" t="str">
            <v>FL</v>
          </cell>
          <cell r="K79">
            <v>33407</v>
          </cell>
          <cell r="L79" t="str">
            <v>United States</v>
          </cell>
          <cell r="M79" t="str">
            <v>Miami-Fort Lauderdale-West Palm Beach, FL</v>
          </cell>
          <cell r="N79">
            <v>29280</v>
          </cell>
          <cell r="O79">
            <v>1</v>
          </cell>
          <cell r="P79" t="str">
            <v>Single Asset</v>
          </cell>
          <cell r="Q79" t="str">
            <v>Property - Private Equity</v>
          </cell>
          <cell r="R79" t="str">
            <v>Industrial</v>
          </cell>
          <cell r="S79" t="str">
            <v>Warehouse</v>
          </cell>
          <cell r="T79">
            <v>1973</v>
          </cell>
          <cell r="U79" t="str">
            <v>Sq. Feet</v>
          </cell>
          <cell r="V79" t="str">
            <v>Value-Add</v>
          </cell>
          <cell r="W79" t="str">
            <v>Industrial / Logistics</v>
          </cell>
          <cell r="X79" t="str">
            <v>Common Equity</v>
          </cell>
          <cell r="Y79">
            <v>414155.04966471996</v>
          </cell>
          <cell r="Z79">
            <v>275950.70779399999</v>
          </cell>
          <cell r="AA79">
            <v>5527335.7077940004</v>
          </cell>
          <cell r="AB79">
            <v>7.4928513764909749E-2</v>
          </cell>
          <cell r="AC79">
            <v>424560</v>
          </cell>
          <cell r="AD79">
            <v>8.1646153846153841E-2</v>
          </cell>
          <cell r="AE79">
            <v>5.5E-2</v>
          </cell>
          <cell r="AF79">
            <v>0.16739999999999999</v>
          </cell>
          <cell r="AG79">
            <v>2.2599999999999998</v>
          </cell>
          <cell r="AH79">
            <v>0.1313</v>
          </cell>
          <cell r="AI79">
            <v>1.9</v>
          </cell>
          <cell r="AJ79">
            <v>0.13074623541800023</v>
          </cell>
          <cell r="AK79">
            <v>0.20468204958709713</v>
          </cell>
          <cell r="AL79">
            <v>2.2426898547341514</v>
          </cell>
          <cell r="AM79">
            <v>9.4774443997967639E-2</v>
          </cell>
          <cell r="AN79">
            <v>0.16040691857067335</v>
          </cell>
          <cell r="AO79">
            <v>1.9272435340094518</v>
          </cell>
          <cell r="AP79" t="str">
            <v>Market deal</v>
          </cell>
          <cell r="AQ79" t="str">
            <v>Rent Optimization</v>
          </cell>
          <cell r="AR79" t="str">
            <v>Leasing Strategy</v>
          </cell>
          <cell r="AS79">
            <v>45008</v>
          </cell>
          <cell r="AT79">
            <v>5200000</v>
          </cell>
          <cell r="AU79">
            <v>5251385</v>
          </cell>
          <cell r="AV79">
            <v>322370.130084</v>
          </cell>
          <cell r="AW79">
            <v>326322.15366700024</v>
          </cell>
          <cell r="AX79">
            <v>6.1994255785384617E-2</v>
          </cell>
          <cell r="AY79">
            <v>6.2754260320576974E-2</v>
          </cell>
          <cell r="AZ79">
            <v>12.483606557377049</v>
          </cell>
          <cell r="BA79">
            <v>1</v>
          </cell>
          <cell r="BB79">
            <v>3.8120817426570999</v>
          </cell>
          <cell r="BC79">
            <v>1</v>
          </cell>
          <cell r="BD79">
            <v>0</v>
          </cell>
          <cell r="BE79">
            <v>0</v>
          </cell>
          <cell r="BF79">
            <v>0</v>
          </cell>
          <cell r="BG79">
            <v>258164.84000000003</v>
          </cell>
          <cell r="BH79">
            <v>258164.84000000003</v>
          </cell>
          <cell r="BI79">
            <v>316109.3667605634</v>
          </cell>
          <cell r="BJ79">
            <v>5251385</v>
          </cell>
        </row>
        <row r="80">
          <cell r="B80" t="str">
            <v>3fl00007</v>
          </cell>
          <cell r="C80" t="str">
            <v>4570 NW 128th Street</v>
          </cell>
          <cell r="D80" t="str">
            <v>Unrealized</v>
          </cell>
          <cell r="E80" t="str">
            <v>Industrial Value Fund III</v>
          </cell>
          <cell r="F80" t="str">
            <v>USD</v>
          </cell>
          <cell r="G80" t="str">
            <v>Last Mile</v>
          </cell>
          <cell r="H80" t="str">
            <v>Miami</v>
          </cell>
          <cell r="I80" t="str">
            <v>Opa-Locka</v>
          </cell>
          <cell r="J80" t="str">
            <v>FL</v>
          </cell>
          <cell r="K80">
            <v>33054</v>
          </cell>
          <cell r="L80" t="str">
            <v>United States</v>
          </cell>
          <cell r="M80" t="str">
            <v>Miami-Fort Lauderdale-West Palm Beach, FL</v>
          </cell>
          <cell r="N80">
            <v>39515</v>
          </cell>
          <cell r="O80">
            <v>1</v>
          </cell>
          <cell r="P80" t="str">
            <v>Single Asset</v>
          </cell>
          <cell r="Q80" t="str">
            <v>Property - Private Equity</v>
          </cell>
          <cell r="R80" t="str">
            <v>Industrial</v>
          </cell>
          <cell r="S80" t="str">
            <v>Warehouse</v>
          </cell>
          <cell r="T80">
            <v>1972</v>
          </cell>
          <cell r="U80" t="str">
            <v>Sq. Feet</v>
          </cell>
          <cell r="V80" t="str">
            <v>Value-Add</v>
          </cell>
          <cell r="W80" t="str">
            <v>Industrial / Logistics</v>
          </cell>
          <cell r="X80" t="str">
            <v>Common Equity</v>
          </cell>
          <cell r="Y80">
            <v>620290.78510048019</v>
          </cell>
          <cell r="Z80">
            <v>746045.63524700003</v>
          </cell>
          <cell r="AA80">
            <v>7984247.6352469996</v>
          </cell>
          <cell r="AB80">
            <v>7.7689321954665422E-2</v>
          </cell>
          <cell r="AC80">
            <v>484058.75</v>
          </cell>
          <cell r="AD80">
            <v>6.7700524475524479E-2</v>
          </cell>
          <cell r="AE80">
            <v>5.7500000000000002E-2</v>
          </cell>
          <cell r="AF80">
            <v>0.16440000000000002</v>
          </cell>
          <cell r="AG80">
            <v>2.25</v>
          </cell>
          <cell r="AH80">
            <v>0.1125</v>
          </cell>
          <cell r="AI80">
            <v>1.78</v>
          </cell>
          <cell r="AJ80">
            <v>0.12383663032336933</v>
          </cell>
          <cell r="AK80">
            <v>0.19172620710441168</v>
          </cell>
          <cell r="AL80">
            <v>2.2161511027191265</v>
          </cell>
          <cell r="AM80">
            <v>8.9779347418419642E-2</v>
          </cell>
          <cell r="AN80">
            <v>0.15008005894288723</v>
          </cell>
          <cell r="AO80">
            <v>1.9074700766369497</v>
          </cell>
          <cell r="AP80" t="str">
            <v>Market deal</v>
          </cell>
          <cell r="AQ80" t="str">
            <v>Renewal / Re-tenant</v>
          </cell>
          <cell r="AR80" t="str">
            <v>Leasing Strategy</v>
          </cell>
          <cell r="AS80">
            <v>45082</v>
          </cell>
          <cell r="AT80">
            <v>7150000</v>
          </cell>
          <cell r="AU80">
            <v>7238202</v>
          </cell>
          <cell r="AV80">
            <v>564115.97265600006</v>
          </cell>
          <cell r="AW80">
            <v>542652.50000700052</v>
          </cell>
          <cell r="AX80">
            <v>7.8897338833006994E-2</v>
          </cell>
          <cell r="AY80">
            <v>7.5895454546433636E-2</v>
          </cell>
          <cell r="AZ80">
            <v>13.5000015184107</v>
          </cell>
          <cell r="BA80">
            <v>1</v>
          </cell>
          <cell r="BB80">
            <v>1.0712328767050401</v>
          </cell>
          <cell r="BC80">
            <v>1</v>
          </cell>
          <cell r="BD80">
            <v>0</v>
          </cell>
          <cell r="BE80">
            <v>0</v>
          </cell>
          <cell r="BF80">
            <v>0</v>
          </cell>
          <cell r="BG80">
            <v>336529.59</v>
          </cell>
          <cell r="BH80">
            <v>336529.59</v>
          </cell>
          <cell r="BI80">
            <v>547383.99142857152</v>
          </cell>
          <cell r="BJ80">
            <v>7238202</v>
          </cell>
        </row>
        <row r="81">
          <cell r="B81" t="str">
            <v>3fl00002</v>
          </cell>
          <cell r="C81" t="str">
            <v>7970 Central Industrial Blvd</v>
          </cell>
          <cell r="D81" t="str">
            <v>Unrealized</v>
          </cell>
          <cell r="E81" t="str">
            <v>Industrial Value Fund III</v>
          </cell>
          <cell r="F81" t="str">
            <v>USD</v>
          </cell>
          <cell r="G81" t="str">
            <v>Last Mile</v>
          </cell>
          <cell r="H81" t="str">
            <v>Miami</v>
          </cell>
          <cell r="I81" t="str">
            <v>West Palm Beach</v>
          </cell>
          <cell r="J81" t="str">
            <v>FL</v>
          </cell>
          <cell r="K81">
            <v>33404</v>
          </cell>
          <cell r="L81" t="str">
            <v>United States</v>
          </cell>
          <cell r="M81" t="str">
            <v>Miami-Fort Lauderdale-West Palm Beach, FL</v>
          </cell>
          <cell r="N81">
            <v>39972</v>
          </cell>
          <cell r="O81">
            <v>1</v>
          </cell>
          <cell r="P81" t="str">
            <v>Single Asset</v>
          </cell>
          <cell r="Q81" t="str">
            <v>Property - Private Equity</v>
          </cell>
          <cell r="R81" t="str">
            <v>Industrial</v>
          </cell>
          <cell r="S81" t="str">
            <v>Warehouse</v>
          </cell>
          <cell r="T81">
            <v>1995</v>
          </cell>
          <cell r="U81" t="str">
            <v>Sq. Feet</v>
          </cell>
          <cell r="V81" t="str">
            <v>Value-Add</v>
          </cell>
          <cell r="W81" t="str">
            <v>Industrial / Logistics</v>
          </cell>
          <cell r="X81" t="str">
            <v>Common Equity</v>
          </cell>
          <cell r="Y81">
            <v>652867.06044664013</v>
          </cell>
          <cell r="Z81">
            <v>783218.01434499992</v>
          </cell>
          <cell r="AA81">
            <v>9220848.0143449996</v>
          </cell>
          <cell r="AB81">
            <v>7.0803364227559756E-2</v>
          </cell>
          <cell r="AC81">
            <v>489657</v>
          </cell>
          <cell r="AD81">
            <v>5.8292499999999997E-2</v>
          </cell>
          <cell r="AE81">
            <v>0.05</v>
          </cell>
          <cell r="AF81">
            <v>0.15129999999999999</v>
          </cell>
          <cell r="AG81">
            <v>2.12</v>
          </cell>
          <cell r="AH81">
            <v>0.1208</v>
          </cell>
          <cell r="AI81">
            <v>1.91</v>
          </cell>
          <cell r="AJ81">
            <v>0.10266286732017504</v>
          </cell>
          <cell r="AK81">
            <v>0.14512759149721655</v>
          </cell>
          <cell r="AL81">
            <v>2.1965943639625127</v>
          </cell>
          <cell r="AM81">
            <v>7.3240570681080142E-2</v>
          </cell>
          <cell r="AN81">
            <v>0.11199397688910739</v>
          </cell>
          <cell r="AO81">
            <v>1.8815021226543402</v>
          </cell>
          <cell r="AP81" t="str">
            <v>Market deal</v>
          </cell>
          <cell r="AQ81" t="str">
            <v>Lease-up</v>
          </cell>
          <cell r="AR81" t="str">
            <v>Leasing Strategy</v>
          </cell>
          <cell r="AS81">
            <v>44733</v>
          </cell>
          <cell r="AT81">
            <v>8400000</v>
          </cell>
          <cell r="AU81">
            <v>8437630</v>
          </cell>
          <cell r="AV81">
            <v>-17675.799996000002</v>
          </cell>
          <cell r="AW81">
            <v>4139.9143619999959</v>
          </cell>
          <cell r="AX81">
            <v>-2.1042619042857145E-3</v>
          </cell>
          <cell r="AY81">
            <v>4.928469478571424E-4</v>
          </cell>
          <cell r="AZ81">
            <v>0</v>
          </cell>
          <cell r="BA81">
            <v>0</v>
          </cell>
          <cell r="BB81">
            <v>0</v>
          </cell>
          <cell r="BC81">
            <v>1</v>
          </cell>
          <cell r="BD81">
            <v>0</v>
          </cell>
          <cell r="BE81">
            <v>0</v>
          </cell>
          <cell r="BF81">
            <v>-16831.02</v>
          </cell>
          <cell r="BG81">
            <v>482755.51000000007</v>
          </cell>
          <cell r="BH81">
            <v>482755.51000000007</v>
          </cell>
          <cell r="BI81">
            <v>575312.22</v>
          </cell>
          <cell r="BJ81">
            <v>8770487.8000000007</v>
          </cell>
        </row>
        <row r="82">
          <cell r="B82" t="str">
            <v>3fl00005</v>
          </cell>
          <cell r="C82" t="str">
            <v>920 NW 159 Drive</v>
          </cell>
          <cell r="D82" t="str">
            <v>Unrealized</v>
          </cell>
          <cell r="E82" t="str">
            <v>Industrial Value Fund III</v>
          </cell>
          <cell r="F82" t="str">
            <v>USD</v>
          </cell>
          <cell r="G82" t="str">
            <v>Last Mile</v>
          </cell>
          <cell r="H82" t="str">
            <v>Miami</v>
          </cell>
          <cell r="I82" t="str">
            <v>Miami</v>
          </cell>
          <cell r="J82" t="str">
            <v>FL</v>
          </cell>
          <cell r="K82">
            <v>33168</v>
          </cell>
          <cell r="L82" t="str">
            <v>United States</v>
          </cell>
          <cell r="M82" t="str">
            <v>Miami-Fort Lauderdale-West Palm Beach, FL</v>
          </cell>
          <cell r="N82">
            <v>32082</v>
          </cell>
          <cell r="O82">
            <v>1</v>
          </cell>
          <cell r="P82" t="str">
            <v>Single Asset</v>
          </cell>
          <cell r="Q82" t="str">
            <v>Property - Private Equity</v>
          </cell>
          <cell r="R82" t="str">
            <v>Industrial</v>
          </cell>
          <cell r="S82" t="str">
            <v>Warehouse</v>
          </cell>
          <cell r="T82">
            <v>1981</v>
          </cell>
          <cell r="U82" t="str">
            <v>Sq. Feet</v>
          </cell>
          <cell r="V82" t="str">
            <v>Value-Add</v>
          </cell>
          <cell r="W82" t="str">
            <v>Industrial / Logistics</v>
          </cell>
          <cell r="X82" t="str">
            <v>Common Equity</v>
          </cell>
          <cell r="Y82">
            <v>538964.52310271969</v>
          </cell>
          <cell r="Z82">
            <v>779934.90917100001</v>
          </cell>
          <cell r="AA82">
            <v>6929617.9091710001</v>
          </cell>
          <cell r="AB82">
            <v>7.7776946747587242E-2</v>
          </cell>
          <cell r="AC82">
            <v>409045.5</v>
          </cell>
          <cell r="AD82">
            <v>6.70566393442623E-2</v>
          </cell>
          <cell r="AE82">
            <v>5.5E-2</v>
          </cell>
          <cell r="AF82">
            <v>0.16600000000000001</v>
          </cell>
          <cell r="AG82">
            <v>2.66</v>
          </cell>
          <cell r="AH82">
            <v>0.1338</v>
          </cell>
          <cell r="AI82">
            <v>2.06</v>
          </cell>
          <cell r="AJ82">
            <v>0.10865489241196347</v>
          </cell>
          <cell r="AK82">
            <v>0.16336705388829231</v>
          </cell>
          <cell r="AL82">
            <v>2.3059506970298274</v>
          </cell>
          <cell r="AM82">
            <v>7.945756392834924E-2</v>
          </cell>
          <cell r="AN82">
            <v>0.12895121983251445</v>
          </cell>
          <cell r="AO82">
            <v>1.9750590567960462</v>
          </cell>
          <cell r="AP82" t="str">
            <v>Unsolicited \ Off-market</v>
          </cell>
          <cell r="AQ82" t="str">
            <v>Lease-up</v>
          </cell>
          <cell r="AR82" t="str">
            <v>Leasing Strategy</v>
          </cell>
          <cell r="AS82">
            <v>44901</v>
          </cell>
          <cell r="AT82">
            <v>6100000</v>
          </cell>
          <cell r="AU82">
            <v>6149683</v>
          </cell>
          <cell r="AV82">
            <v>-21623.828328</v>
          </cell>
          <cell r="AW82">
            <v>60317.880016000039</v>
          </cell>
          <cell r="AX82">
            <v>-3.5448898898360654E-3</v>
          </cell>
          <cell r="AY82">
            <v>9.8881770518032854E-3</v>
          </cell>
          <cell r="AZ82">
            <v>0</v>
          </cell>
          <cell r="BA82">
            <v>0</v>
          </cell>
          <cell r="BB82">
            <v>0</v>
          </cell>
          <cell r="BC82">
            <v>1</v>
          </cell>
          <cell r="BD82">
            <v>0</v>
          </cell>
          <cell r="BE82">
            <v>0</v>
          </cell>
          <cell r="BF82">
            <v>-6017.1100000000006</v>
          </cell>
          <cell r="BG82">
            <v>-122198.05</v>
          </cell>
          <cell r="BH82">
            <v>-122198.05</v>
          </cell>
          <cell r="BI82">
            <v>355476.04</v>
          </cell>
          <cell r="BJ82">
            <v>6235705.4800000004</v>
          </cell>
        </row>
        <row r="83">
          <cell r="B83" t="str">
            <v>tx4se001</v>
          </cell>
          <cell r="C83" t="str">
            <v>6836 Bourgeois Road</v>
          </cell>
          <cell r="D83" t="str">
            <v>Realized</v>
          </cell>
          <cell r="E83" t="str">
            <v>Logistic Fund I</v>
          </cell>
          <cell r="F83" t="str">
            <v>USD</v>
          </cell>
          <cell r="G83" t="str">
            <v>Last Mile</v>
          </cell>
          <cell r="H83" t="str">
            <v>Houston</v>
          </cell>
          <cell r="I83" t="str">
            <v>Houston</v>
          </cell>
          <cell r="J83" t="str">
            <v>TX</v>
          </cell>
          <cell r="K83">
            <v>77066</v>
          </cell>
          <cell r="L83" t="str">
            <v>United States</v>
          </cell>
          <cell r="M83"/>
          <cell r="N83">
            <v>4536</v>
          </cell>
          <cell r="O83">
            <v>1</v>
          </cell>
          <cell r="P83"/>
          <cell r="Q83" t="str">
            <v>Property - Private Equity</v>
          </cell>
          <cell r="R83" t="str">
            <v>Industrial</v>
          </cell>
          <cell r="S83" t="str">
            <v>Warehouse</v>
          </cell>
          <cell r="T83">
            <v>2000</v>
          </cell>
          <cell r="U83" t="str">
            <v>Sq. Feet</v>
          </cell>
          <cell r="V83" t="str">
            <v>Value-Add</v>
          </cell>
          <cell r="W83" t="str">
            <v>Industrial / Logistics</v>
          </cell>
          <cell r="X83" t="str">
            <v>Common Equity</v>
          </cell>
          <cell r="Y83"/>
          <cell r="Z83"/>
          <cell r="AA83"/>
          <cell r="AB83"/>
          <cell r="AC83"/>
          <cell r="AD83"/>
          <cell r="AE83"/>
          <cell r="AF83"/>
          <cell r="AG83"/>
          <cell r="AH83"/>
          <cell r="AI83"/>
          <cell r="AJ83"/>
          <cell r="AK83"/>
          <cell r="AL83"/>
          <cell r="AM83"/>
          <cell r="AN83"/>
          <cell r="AO83"/>
          <cell r="AP83"/>
          <cell r="AQ83"/>
          <cell r="AR83"/>
          <cell r="AS83">
            <v>43364</v>
          </cell>
          <cell r="AT83">
            <v>605000</v>
          </cell>
          <cell r="AU83">
            <v>630578.24761904764</v>
          </cell>
          <cell r="AV83">
            <v>0</v>
          </cell>
          <cell r="AW83"/>
          <cell r="AX83">
            <v>0</v>
          </cell>
          <cell r="AY83"/>
          <cell r="AZ83"/>
          <cell r="BA83">
            <v>0</v>
          </cell>
          <cell r="BB83"/>
          <cell r="BC83">
            <v>1</v>
          </cell>
          <cell r="BD83">
            <v>18602.797560711177</v>
          </cell>
          <cell r="BE83">
            <v>14847.981340186863</v>
          </cell>
          <cell r="BF83">
            <v>9721.7440262407599</v>
          </cell>
          <cell r="BG83">
            <v>0</v>
          </cell>
          <cell r="BH83"/>
          <cell r="BI83"/>
          <cell r="BJ83">
            <v>630578.24761904764</v>
          </cell>
        </row>
        <row r="84">
          <cell r="B84" t="str">
            <v>tx4se001</v>
          </cell>
          <cell r="C84" t="str">
            <v>6810 Bourgeois Road</v>
          </cell>
          <cell r="D84" t="str">
            <v>Realized</v>
          </cell>
          <cell r="E84" t="str">
            <v>Logistic Fund I</v>
          </cell>
          <cell r="F84" t="str">
            <v>USD</v>
          </cell>
          <cell r="G84" t="str">
            <v>Last Mile</v>
          </cell>
          <cell r="H84" t="str">
            <v>Houston</v>
          </cell>
          <cell r="I84" t="str">
            <v>Houston</v>
          </cell>
          <cell r="J84" t="str">
            <v>TX</v>
          </cell>
          <cell r="K84">
            <v>77066</v>
          </cell>
          <cell r="L84" t="str">
            <v>United States</v>
          </cell>
          <cell r="M84"/>
          <cell r="N84">
            <v>9301</v>
          </cell>
          <cell r="O84">
            <v>1</v>
          </cell>
          <cell r="P84"/>
          <cell r="Q84" t="str">
            <v>Property - Private Equity</v>
          </cell>
          <cell r="R84" t="str">
            <v>Industrial</v>
          </cell>
          <cell r="S84" t="str">
            <v>Warehouse</v>
          </cell>
          <cell r="T84">
            <v>2013</v>
          </cell>
          <cell r="U84" t="str">
            <v>Sq. Feet</v>
          </cell>
          <cell r="V84" t="str">
            <v>Value-Add</v>
          </cell>
          <cell r="W84" t="str">
            <v>Industrial / Logistics</v>
          </cell>
          <cell r="X84" t="str">
            <v>Common Equity</v>
          </cell>
          <cell r="Y84"/>
          <cell r="Z84"/>
          <cell r="AA84"/>
          <cell r="AB84"/>
          <cell r="AC84"/>
          <cell r="AD84"/>
          <cell r="AE84"/>
          <cell r="AF84"/>
          <cell r="AG84"/>
          <cell r="AH84"/>
          <cell r="AI84"/>
          <cell r="AJ84"/>
          <cell r="AK84"/>
          <cell r="AL84"/>
          <cell r="AM84"/>
          <cell r="AN84"/>
          <cell r="AO84"/>
          <cell r="AP84"/>
          <cell r="AQ84"/>
          <cell r="AR84"/>
          <cell r="AS84">
            <v>43364</v>
          </cell>
          <cell r="AT84">
            <v>1242000</v>
          </cell>
          <cell r="AU84">
            <v>1294509.3942857143</v>
          </cell>
          <cell r="AV84">
            <v>0</v>
          </cell>
          <cell r="AW84"/>
          <cell r="AX84">
            <v>0</v>
          </cell>
          <cell r="AY84"/>
          <cell r="AZ84"/>
          <cell r="BA84">
            <v>0</v>
          </cell>
          <cell r="BB84"/>
          <cell r="BC84">
            <v>1</v>
          </cell>
          <cell r="BD84">
            <v>38189.544744468309</v>
          </cell>
          <cell r="BE84">
            <v>30481.310453739046</v>
          </cell>
          <cell r="BF84">
            <v>19957.696000976943</v>
          </cell>
          <cell r="BG84">
            <v>0</v>
          </cell>
          <cell r="BH84"/>
          <cell r="BI84"/>
          <cell r="BJ84">
            <v>1294509.3942857143</v>
          </cell>
        </row>
        <row r="85">
          <cell r="B85" t="str">
            <v>tx4se001</v>
          </cell>
          <cell r="C85" t="str">
            <v>6830 Bourgeois Road</v>
          </cell>
          <cell r="D85" t="str">
            <v>Realized</v>
          </cell>
          <cell r="E85" t="str">
            <v>Logistic Fund I</v>
          </cell>
          <cell r="F85" t="str">
            <v>USD</v>
          </cell>
          <cell r="G85" t="str">
            <v>Last Mile</v>
          </cell>
          <cell r="H85" t="str">
            <v>Houston</v>
          </cell>
          <cell r="I85" t="str">
            <v>Houston</v>
          </cell>
          <cell r="J85" t="str">
            <v>TX</v>
          </cell>
          <cell r="K85">
            <v>77066</v>
          </cell>
          <cell r="L85" t="str">
            <v>United States</v>
          </cell>
          <cell r="M85"/>
          <cell r="N85">
            <v>9336</v>
          </cell>
          <cell r="O85">
            <v>1</v>
          </cell>
          <cell r="P85"/>
          <cell r="Q85" t="str">
            <v>Property - Private Equity</v>
          </cell>
          <cell r="R85" t="str">
            <v>Industrial</v>
          </cell>
          <cell r="S85" t="str">
            <v>Warehouse</v>
          </cell>
          <cell r="T85">
            <v>2014</v>
          </cell>
          <cell r="U85" t="str">
            <v>Sq. Feet</v>
          </cell>
          <cell r="V85" t="str">
            <v>Value-Add</v>
          </cell>
          <cell r="W85" t="str">
            <v>Industrial / Logistics</v>
          </cell>
          <cell r="X85" t="str">
            <v>Common Equity</v>
          </cell>
          <cell r="Y85"/>
          <cell r="Z85"/>
          <cell r="AA85"/>
          <cell r="AB85"/>
          <cell r="AC85"/>
          <cell r="AD85"/>
          <cell r="AE85"/>
          <cell r="AF85"/>
          <cell r="AG85"/>
          <cell r="AH85"/>
          <cell r="AI85"/>
          <cell r="AJ85"/>
          <cell r="AK85"/>
          <cell r="AL85"/>
          <cell r="AM85"/>
          <cell r="AN85"/>
          <cell r="AO85"/>
          <cell r="AP85"/>
          <cell r="AQ85"/>
          <cell r="AR85"/>
          <cell r="AS85">
            <v>43364</v>
          </cell>
          <cell r="AT85">
            <v>1246000</v>
          </cell>
          <cell r="AU85">
            <v>1298678.5066666668</v>
          </cell>
          <cell r="AV85">
            <v>0</v>
          </cell>
          <cell r="AW85"/>
          <cell r="AX85">
            <v>0</v>
          </cell>
          <cell r="AY85"/>
          <cell r="AZ85"/>
          <cell r="BA85">
            <v>0</v>
          </cell>
          <cell r="BB85"/>
          <cell r="BC85">
            <v>1</v>
          </cell>
          <cell r="BD85">
            <v>38312.538447348961</v>
          </cell>
          <cell r="BE85">
            <v>30579.478925409636</v>
          </cell>
          <cell r="BF85">
            <v>20021.971994538821</v>
          </cell>
          <cell r="BG85">
            <v>0</v>
          </cell>
          <cell r="BH85"/>
          <cell r="BI85"/>
          <cell r="BJ85">
            <v>1298678.5066666668</v>
          </cell>
        </row>
        <row r="86">
          <cell r="B86" t="str">
            <v>tx4se001</v>
          </cell>
          <cell r="C86" t="str">
            <v>6824 Bourgeois Road</v>
          </cell>
          <cell r="D86" t="str">
            <v>Realized</v>
          </cell>
          <cell r="E86" t="str">
            <v>Logistic Fund I</v>
          </cell>
          <cell r="F86" t="str">
            <v>USD</v>
          </cell>
          <cell r="G86" t="str">
            <v>Last Mile</v>
          </cell>
          <cell r="H86" t="str">
            <v>Houston</v>
          </cell>
          <cell r="I86" t="str">
            <v>Houston</v>
          </cell>
          <cell r="J86" t="str">
            <v>TX</v>
          </cell>
          <cell r="K86">
            <v>77066</v>
          </cell>
          <cell r="L86" t="str">
            <v>United States</v>
          </cell>
          <cell r="M86"/>
          <cell r="N86">
            <v>10066</v>
          </cell>
          <cell r="O86">
            <v>1</v>
          </cell>
          <cell r="P86"/>
          <cell r="Q86" t="str">
            <v>Property - Private Equity</v>
          </cell>
          <cell r="R86" t="str">
            <v>Industrial</v>
          </cell>
          <cell r="S86" t="str">
            <v>Warehouse</v>
          </cell>
          <cell r="T86">
            <v>2012</v>
          </cell>
          <cell r="U86" t="str">
            <v>Sq. Feet</v>
          </cell>
          <cell r="V86" t="str">
            <v>Value-Add</v>
          </cell>
          <cell r="W86" t="str">
            <v>Industrial / Logistics</v>
          </cell>
          <cell r="X86" t="str">
            <v>Common Equity</v>
          </cell>
          <cell r="Y86"/>
          <cell r="Z86"/>
          <cell r="AA86"/>
          <cell r="AB86"/>
          <cell r="AC86"/>
          <cell r="AD86"/>
          <cell r="AE86"/>
          <cell r="AF86"/>
          <cell r="AG86"/>
          <cell r="AH86"/>
          <cell r="AI86"/>
          <cell r="AJ86"/>
          <cell r="AK86"/>
          <cell r="AL86"/>
          <cell r="AM86"/>
          <cell r="AN86"/>
          <cell r="AO86"/>
          <cell r="AP86"/>
          <cell r="AQ86"/>
          <cell r="AR86"/>
          <cell r="AS86">
            <v>43364</v>
          </cell>
          <cell r="AT86">
            <v>1344000</v>
          </cell>
          <cell r="AU86">
            <v>1400821.76</v>
          </cell>
          <cell r="AV86">
            <v>161477.16381418094</v>
          </cell>
          <cell r="AW86"/>
          <cell r="AX86">
            <v>0.12014669926650368</v>
          </cell>
          <cell r="AY86"/>
          <cell r="AZ86"/>
          <cell r="BA86">
            <v>1</v>
          </cell>
          <cell r="BB86"/>
          <cell r="BC86">
            <v>1</v>
          </cell>
          <cell r="BD86">
            <v>41325.884167926975</v>
          </cell>
          <cell r="BE86">
            <v>32984.606481340736</v>
          </cell>
          <cell r="BF86">
            <v>21596.733836805921</v>
          </cell>
          <cell r="BG86">
            <v>0</v>
          </cell>
          <cell r="BH86"/>
          <cell r="BI86"/>
          <cell r="BJ86">
            <v>1400821.76</v>
          </cell>
        </row>
        <row r="87">
          <cell r="B87" t="str">
            <v>tx4se001</v>
          </cell>
          <cell r="C87" t="str">
            <v>6812 Bourgeois Road</v>
          </cell>
          <cell r="D87" t="str">
            <v>Realized</v>
          </cell>
          <cell r="E87" t="str">
            <v>Logistic Fund I</v>
          </cell>
          <cell r="F87" t="str">
            <v>USD</v>
          </cell>
          <cell r="G87" t="str">
            <v>Last Mile</v>
          </cell>
          <cell r="H87" t="str">
            <v>Houston</v>
          </cell>
          <cell r="I87" t="str">
            <v>Houston</v>
          </cell>
          <cell r="J87" t="str">
            <v>TX</v>
          </cell>
          <cell r="K87">
            <v>77066</v>
          </cell>
          <cell r="L87" t="str">
            <v>United States</v>
          </cell>
          <cell r="M87"/>
          <cell r="N87">
            <v>10066</v>
          </cell>
          <cell r="O87">
            <v>1</v>
          </cell>
          <cell r="P87"/>
          <cell r="Q87" t="str">
            <v>Property - Private Equity</v>
          </cell>
          <cell r="R87" t="str">
            <v>Industrial</v>
          </cell>
          <cell r="S87" t="str">
            <v>Warehouse</v>
          </cell>
          <cell r="T87">
            <v>2012</v>
          </cell>
          <cell r="U87" t="str">
            <v>Sq. Feet</v>
          </cell>
          <cell r="V87" t="str">
            <v>Value-Add</v>
          </cell>
          <cell r="W87" t="str">
            <v>Industrial / Logistics</v>
          </cell>
          <cell r="X87" t="str">
            <v>Common Equity</v>
          </cell>
          <cell r="Y87"/>
          <cell r="Z87"/>
          <cell r="AA87"/>
          <cell r="AB87"/>
          <cell r="AC87"/>
          <cell r="AD87"/>
          <cell r="AE87"/>
          <cell r="AF87"/>
          <cell r="AG87"/>
          <cell r="AH87"/>
          <cell r="AI87"/>
          <cell r="AJ87"/>
          <cell r="AK87"/>
          <cell r="AL87"/>
          <cell r="AM87"/>
          <cell r="AN87"/>
          <cell r="AO87"/>
          <cell r="AP87"/>
          <cell r="AQ87"/>
          <cell r="AR87"/>
          <cell r="AS87">
            <v>43364</v>
          </cell>
          <cell r="AT87">
            <v>1344000</v>
          </cell>
          <cell r="AU87">
            <v>1400821.76</v>
          </cell>
          <cell r="AV87">
            <v>161477.16381418094</v>
          </cell>
          <cell r="AW87"/>
          <cell r="AX87">
            <v>0.12014669926650368</v>
          </cell>
          <cell r="AY87"/>
          <cell r="AZ87"/>
          <cell r="BA87">
            <v>1</v>
          </cell>
          <cell r="BB87"/>
          <cell r="BC87">
            <v>1</v>
          </cell>
          <cell r="BD87">
            <v>41325.884167926975</v>
          </cell>
          <cell r="BE87">
            <v>32984.606481340736</v>
          </cell>
          <cell r="BF87">
            <v>21596.733836805921</v>
          </cell>
          <cell r="BG87">
            <v>0</v>
          </cell>
          <cell r="BH87"/>
          <cell r="BI87"/>
          <cell r="BJ87">
            <v>1400821.76</v>
          </cell>
        </row>
        <row r="88">
          <cell r="B88" t="str">
            <v>tx4se001</v>
          </cell>
          <cell r="C88" t="str">
            <v>6820 Bourgeois Road</v>
          </cell>
          <cell r="D88" t="str">
            <v>Realized</v>
          </cell>
          <cell r="E88" t="str">
            <v>Logistic Fund I</v>
          </cell>
          <cell r="F88" t="str">
            <v>USD</v>
          </cell>
          <cell r="G88" t="str">
            <v>Last Mile</v>
          </cell>
          <cell r="H88" t="str">
            <v>Houston</v>
          </cell>
          <cell r="I88" t="str">
            <v>Houston</v>
          </cell>
          <cell r="J88" t="str">
            <v>TX</v>
          </cell>
          <cell r="K88">
            <v>77066</v>
          </cell>
          <cell r="L88" t="str">
            <v>United States</v>
          </cell>
          <cell r="M88"/>
          <cell r="N88">
            <v>10611</v>
          </cell>
          <cell r="O88">
            <v>1</v>
          </cell>
          <cell r="P88"/>
          <cell r="Q88" t="str">
            <v>Property - Private Equity</v>
          </cell>
          <cell r="R88" t="str">
            <v>Industrial</v>
          </cell>
          <cell r="S88" t="str">
            <v>Warehouse</v>
          </cell>
          <cell r="T88">
            <v>2014</v>
          </cell>
          <cell r="U88" t="str">
            <v>Sq. Feet</v>
          </cell>
          <cell r="V88" t="str">
            <v>Value-Add</v>
          </cell>
          <cell r="W88" t="str">
            <v>Industrial / Logistics</v>
          </cell>
          <cell r="X88" t="str">
            <v>Common Equity</v>
          </cell>
          <cell r="Y88"/>
          <cell r="Z88"/>
          <cell r="AA88"/>
          <cell r="AB88"/>
          <cell r="AC88"/>
          <cell r="AD88"/>
          <cell r="AE88"/>
          <cell r="AF88"/>
          <cell r="AG88"/>
          <cell r="AH88"/>
          <cell r="AI88"/>
          <cell r="AJ88"/>
          <cell r="AK88"/>
          <cell r="AL88"/>
          <cell r="AM88"/>
          <cell r="AN88"/>
          <cell r="AO88"/>
          <cell r="AP88"/>
          <cell r="AQ88"/>
          <cell r="AR88"/>
          <cell r="AS88">
            <v>43364</v>
          </cell>
          <cell r="AT88">
            <v>1416000</v>
          </cell>
          <cell r="AU88">
            <v>1475865.7828571429</v>
          </cell>
          <cell r="AV88">
            <v>170127.72616136918</v>
          </cell>
          <cell r="AW88"/>
          <cell r="AX88">
            <v>0.12014669926650366</v>
          </cell>
          <cell r="AY88"/>
          <cell r="AZ88"/>
          <cell r="BA88">
            <v>1</v>
          </cell>
          <cell r="BB88"/>
          <cell r="BC88">
            <v>1</v>
          </cell>
          <cell r="BD88">
            <v>43539.770819780199</v>
          </cell>
          <cell r="BE88">
            <v>34751.638971412554</v>
          </cell>
          <cell r="BF88">
            <v>22753.701720920519</v>
          </cell>
          <cell r="BG88">
            <v>0</v>
          </cell>
          <cell r="BH88"/>
          <cell r="BI88"/>
          <cell r="BJ88">
            <v>1475865.7828571429</v>
          </cell>
        </row>
        <row r="89">
          <cell r="B89" t="str">
            <v>tx4se001</v>
          </cell>
          <cell r="C89" t="str">
            <v>11606 Canyon Trail Drive</v>
          </cell>
          <cell r="D89" t="str">
            <v>Realized</v>
          </cell>
          <cell r="E89" t="str">
            <v>Logistic Fund I</v>
          </cell>
          <cell r="F89" t="str">
            <v>USD</v>
          </cell>
          <cell r="G89" t="str">
            <v>Last Mile</v>
          </cell>
          <cell r="H89" t="str">
            <v>Houston</v>
          </cell>
          <cell r="I89" t="str">
            <v>Houston</v>
          </cell>
          <cell r="J89" t="str">
            <v>TX</v>
          </cell>
          <cell r="K89">
            <v>77066</v>
          </cell>
          <cell r="L89" t="str">
            <v>United States</v>
          </cell>
          <cell r="M89"/>
          <cell r="N89">
            <v>10776</v>
          </cell>
          <cell r="O89">
            <v>1</v>
          </cell>
          <cell r="P89"/>
          <cell r="Q89" t="str">
            <v>Property - Private Equity</v>
          </cell>
          <cell r="R89" t="str">
            <v>Industrial</v>
          </cell>
          <cell r="S89" t="str">
            <v>Warehouse</v>
          </cell>
          <cell r="T89">
            <v>2011</v>
          </cell>
          <cell r="U89" t="str">
            <v>Sq. Feet</v>
          </cell>
          <cell r="V89" t="str">
            <v>Value-Add</v>
          </cell>
          <cell r="W89" t="str">
            <v>Industrial / Logistics</v>
          </cell>
          <cell r="X89" t="str">
            <v>Common Equity</v>
          </cell>
          <cell r="Y89"/>
          <cell r="Z89"/>
          <cell r="AA89"/>
          <cell r="AB89"/>
          <cell r="AC89"/>
          <cell r="AD89"/>
          <cell r="AE89"/>
          <cell r="AF89"/>
          <cell r="AG89"/>
          <cell r="AH89"/>
          <cell r="AI89"/>
          <cell r="AJ89"/>
          <cell r="AK89"/>
          <cell r="AL89"/>
          <cell r="AM89"/>
          <cell r="AN89"/>
          <cell r="AO89"/>
          <cell r="AP89"/>
          <cell r="AQ89"/>
          <cell r="AR89"/>
          <cell r="AS89">
            <v>43364</v>
          </cell>
          <cell r="AT89">
            <v>1438000</v>
          </cell>
          <cell r="AU89">
            <v>1498795.9009523811</v>
          </cell>
          <cell r="AV89">
            <v>0</v>
          </cell>
          <cell r="AW89"/>
          <cell r="AX89">
            <v>0</v>
          </cell>
          <cell r="AY89"/>
          <cell r="AZ89"/>
          <cell r="BA89">
            <v>0</v>
          </cell>
          <cell r="BB89"/>
          <cell r="BC89">
            <v>1</v>
          </cell>
          <cell r="BD89">
            <v>44216.23618562425</v>
          </cell>
          <cell r="BE89">
            <v>35291.565565601173</v>
          </cell>
          <cell r="BF89">
            <v>23107.219685511096</v>
          </cell>
          <cell r="BG89">
            <v>0</v>
          </cell>
          <cell r="BH89"/>
          <cell r="BI89"/>
          <cell r="BJ89">
            <v>1498795.9009523811</v>
          </cell>
        </row>
        <row r="90">
          <cell r="B90" t="str">
            <v>tx4se001</v>
          </cell>
          <cell r="C90" t="str">
            <v>6818 Bourgeois Road</v>
          </cell>
          <cell r="D90" t="str">
            <v>Realized</v>
          </cell>
          <cell r="E90" t="str">
            <v>Logistic Fund I</v>
          </cell>
          <cell r="F90" t="str">
            <v>USD</v>
          </cell>
          <cell r="G90" t="str">
            <v>Last Mile</v>
          </cell>
          <cell r="H90" t="str">
            <v>Houston</v>
          </cell>
          <cell r="I90" t="str">
            <v>Houston</v>
          </cell>
          <cell r="J90" t="str">
            <v>TX</v>
          </cell>
          <cell r="K90">
            <v>77066</v>
          </cell>
          <cell r="L90" t="str">
            <v>United States</v>
          </cell>
          <cell r="M90"/>
          <cell r="N90">
            <v>10829</v>
          </cell>
          <cell r="O90">
            <v>1</v>
          </cell>
          <cell r="P90"/>
          <cell r="Q90" t="str">
            <v>Property - Private Equity</v>
          </cell>
          <cell r="R90" t="str">
            <v>Industrial</v>
          </cell>
          <cell r="S90" t="str">
            <v>Warehouse</v>
          </cell>
          <cell r="T90">
            <v>2017</v>
          </cell>
          <cell r="U90" t="str">
            <v>Sq. Feet</v>
          </cell>
          <cell r="V90" t="str">
            <v>Value-Add</v>
          </cell>
          <cell r="W90" t="str">
            <v>Industrial / Logistics</v>
          </cell>
          <cell r="X90" t="str">
            <v>Common Equity</v>
          </cell>
          <cell r="Y90"/>
          <cell r="Z90"/>
          <cell r="AA90"/>
          <cell r="AB90"/>
          <cell r="AC90"/>
          <cell r="AD90"/>
          <cell r="AE90"/>
          <cell r="AF90"/>
          <cell r="AG90"/>
          <cell r="AH90"/>
          <cell r="AI90"/>
          <cell r="AJ90"/>
          <cell r="AK90"/>
          <cell r="AL90"/>
          <cell r="AM90"/>
          <cell r="AN90"/>
          <cell r="AO90"/>
          <cell r="AP90"/>
          <cell r="AQ90"/>
          <cell r="AR90"/>
          <cell r="AS90">
            <v>43364</v>
          </cell>
          <cell r="AT90">
            <v>1445000</v>
          </cell>
          <cell r="AU90">
            <v>1506091.8476190476</v>
          </cell>
          <cell r="AV90">
            <v>0</v>
          </cell>
          <cell r="AW90"/>
          <cell r="AX90">
            <v>0</v>
          </cell>
          <cell r="AY90"/>
          <cell r="AZ90"/>
          <cell r="BA90">
            <v>0</v>
          </cell>
          <cell r="BB90"/>
          <cell r="BC90">
            <v>1</v>
          </cell>
          <cell r="BD90">
            <v>44431.475165665535</v>
          </cell>
          <cell r="BE90">
            <v>35463.36039102482</v>
          </cell>
          <cell r="BF90">
            <v>23219.702674244458</v>
          </cell>
          <cell r="BG90">
            <v>0</v>
          </cell>
          <cell r="BH90"/>
          <cell r="BI90"/>
          <cell r="BJ90">
            <v>1506091.8476190476</v>
          </cell>
        </row>
        <row r="91">
          <cell r="B91" t="str">
            <v>tx4se001</v>
          </cell>
          <cell r="C91" t="str">
            <v>11602 Canyon Trail Drive</v>
          </cell>
          <cell r="D91" t="str">
            <v>Realized</v>
          </cell>
          <cell r="E91" t="str">
            <v>Logistic Fund I</v>
          </cell>
          <cell r="F91" t="str">
            <v>USD</v>
          </cell>
          <cell r="G91" t="str">
            <v>Last Mile</v>
          </cell>
          <cell r="H91" t="str">
            <v>Houston</v>
          </cell>
          <cell r="I91" t="str">
            <v>Houston</v>
          </cell>
          <cell r="J91" t="str">
            <v>TX</v>
          </cell>
          <cell r="K91">
            <v>77066</v>
          </cell>
          <cell r="L91" t="str">
            <v>United States</v>
          </cell>
          <cell r="M91"/>
          <cell r="N91">
            <v>12100</v>
          </cell>
          <cell r="O91">
            <v>1</v>
          </cell>
          <cell r="P91"/>
          <cell r="Q91" t="str">
            <v>Property - Private Equity</v>
          </cell>
          <cell r="R91" t="str">
            <v>Industrial</v>
          </cell>
          <cell r="S91" t="str">
            <v>Warehouse</v>
          </cell>
          <cell r="T91">
            <v>2011</v>
          </cell>
          <cell r="U91" t="str">
            <v>Sq. Feet</v>
          </cell>
          <cell r="V91" t="str">
            <v>Value-Add</v>
          </cell>
          <cell r="W91" t="str">
            <v>Industrial / Logistics</v>
          </cell>
          <cell r="X91" t="str">
            <v>Common Equity</v>
          </cell>
          <cell r="Y91"/>
          <cell r="Z91"/>
          <cell r="AA91"/>
          <cell r="AB91"/>
          <cell r="AC91"/>
          <cell r="AD91"/>
          <cell r="AE91"/>
          <cell r="AF91"/>
          <cell r="AG91"/>
          <cell r="AH91"/>
          <cell r="AI91"/>
          <cell r="AJ91"/>
          <cell r="AK91"/>
          <cell r="AL91"/>
          <cell r="AM91"/>
          <cell r="AN91"/>
          <cell r="AO91"/>
          <cell r="AP91"/>
          <cell r="AQ91"/>
          <cell r="AR91"/>
          <cell r="AS91">
            <v>43364</v>
          </cell>
          <cell r="AT91">
            <v>1615000</v>
          </cell>
          <cell r="AU91">
            <v>1683279.1238095236</v>
          </cell>
          <cell r="AV91">
            <v>194036.91931540344</v>
          </cell>
          <cell r="AW91"/>
          <cell r="AX91">
            <v>0.12014669926650368</v>
          </cell>
          <cell r="AY91"/>
          <cell r="AZ91"/>
          <cell r="BA91">
            <v>1</v>
          </cell>
          <cell r="BB91"/>
          <cell r="BC91">
            <v>1</v>
          </cell>
          <cell r="BD91">
            <v>49658.707538096758</v>
          </cell>
          <cell r="BE91">
            <v>39635.520437027735</v>
          </cell>
          <cell r="BF91">
            <v>25951.432400626156</v>
          </cell>
          <cell r="BG91">
            <v>0</v>
          </cell>
          <cell r="BH91"/>
          <cell r="BI91"/>
          <cell r="BJ91">
            <v>1683279.1238095236</v>
          </cell>
        </row>
        <row r="92">
          <cell r="B92" t="str">
            <v>tx4se001</v>
          </cell>
          <cell r="C92" t="str">
            <v>6816 Bourgeois Road</v>
          </cell>
          <cell r="D92" t="str">
            <v>Realized</v>
          </cell>
          <cell r="E92" t="str">
            <v>Logistic Fund I</v>
          </cell>
          <cell r="F92" t="str">
            <v>USD</v>
          </cell>
          <cell r="G92" t="str">
            <v>Last Mile</v>
          </cell>
          <cell r="H92" t="str">
            <v>Houston</v>
          </cell>
          <cell r="I92" t="str">
            <v>Houston</v>
          </cell>
          <cell r="J92" t="str">
            <v>TX</v>
          </cell>
          <cell r="K92">
            <v>77066</v>
          </cell>
          <cell r="L92" t="str">
            <v>United States</v>
          </cell>
          <cell r="M92"/>
          <cell r="N92">
            <v>13551</v>
          </cell>
          <cell r="O92">
            <v>1</v>
          </cell>
          <cell r="P92"/>
          <cell r="Q92" t="str">
            <v>Property - Private Equity</v>
          </cell>
          <cell r="R92" t="str">
            <v>Industrial</v>
          </cell>
          <cell r="S92" t="str">
            <v>Warehouse</v>
          </cell>
          <cell r="T92">
            <v>2011</v>
          </cell>
          <cell r="U92" t="str">
            <v>Sq. Feet</v>
          </cell>
          <cell r="V92" t="str">
            <v>Value-Add</v>
          </cell>
          <cell r="W92" t="str">
            <v>Industrial / Logistics</v>
          </cell>
          <cell r="X92" t="str">
            <v>Common Equity</v>
          </cell>
          <cell r="Y92"/>
          <cell r="Z92"/>
          <cell r="AA92"/>
          <cell r="AB92"/>
          <cell r="AC92"/>
          <cell r="AD92"/>
          <cell r="AE92"/>
          <cell r="AF92"/>
          <cell r="AG92"/>
          <cell r="AH92"/>
          <cell r="AI92"/>
          <cell r="AJ92"/>
          <cell r="AK92"/>
          <cell r="AL92"/>
          <cell r="AM92"/>
          <cell r="AN92"/>
          <cell r="AO92"/>
          <cell r="AP92"/>
          <cell r="AQ92"/>
          <cell r="AR92"/>
          <cell r="AS92">
            <v>43364</v>
          </cell>
          <cell r="AT92">
            <v>1809000</v>
          </cell>
          <cell r="AU92">
            <v>1885481.0742857142</v>
          </cell>
          <cell r="AV92">
            <v>217345.37897310514</v>
          </cell>
          <cell r="AW92"/>
          <cell r="AX92">
            <v>0.12014669926650366</v>
          </cell>
          <cell r="AY92"/>
          <cell r="AZ92"/>
          <cell r="BA92">
            <v>1</v>
          </cell>
          <cell r="BB92"/>
          <cell r="BC92">
            <v>1</v>
          </cell>
          <cell r="BD92">
            <v>55623.902127812413</v>
          </cell>
          <cell r="BE92">
            <v>44396.691313054602</v>
          </cell>
          <cell r="BF92">
            <v>29068.818088379394</v>
          </cell>
          <cell r="BG92">
            <v>0</v>
          </cell>
          <cell r="BH92"/>
          <cell r="BI92"/>
          <cell r="BJ92">
            <v>1885481.0742857142</v>
          </cell>
        </row>
        <row r="93">
          <cell r="B93" t="str">
            <v>tx4se001</v>
          </cell>
          <cell r="C93" t="str">
            <v>11614 Canyon Trail Drive</v>
          </cell>
          <cell r="D93" t="str">
            <v>Realized</v>
          </cell>
          <cell r="E93" t="str">
            <v>Logistic Fund I</v>
          </cell>
          <cell r="F93" t="str">
            <v>USD</v>
          </cell>
          <cell r="G93" t="str">
            <v>Last Mile</v>
          </cell>
          <cell r="H93" t="str">
            <v>Houston</v>
          </cell>
          <cell r="I93" t="str">
            <v>Houston</v>
          </cell>
          <cell r="J93" t="str">
            <v>TX</v>
          </cell>
          <cell r="K93">
            <v>77066</v>
          </cell>
          <cell r="L93" t="str">
            <v>United States</v>
          </cell>
          <cell r="M93"/>
          <cell r="N93">
            <v>14900</v>
          </cell>
          <cell r="O93">
            <v>1</v>
          </cell>
          <cell r="P93"/>
          <cell r="Q93" t="str">
            <v>Property - Private Equity</v>
          </cell>
          <cell r="R93" t="str">
            <v>Industrial</v>
          </cell>
          <cell r="S93" t="str">
            <v>Warehouse</v>
          </cell>
          <cell r="T93">
            <v>2011</v>
          </cell>
          <cell r="U93" t="str">
            <v>Sq. Feet</v>
          </cell>
          <cell r="V93" t="str">
            <v>Value-Add</v>
          </cell>
          <cell r="W93" t="str">
            <v>Industrial / Logistics</v>
          </cell>
          <cell r="X93" t="str">
            <v>Common Equity</v>
          </cell>
          <cell r="Y93"/>
          <cell r="Z93"/>
          <cell r="AA93"/>
          <cell r="AB93"/>
          <cell r="AC93"/>
          <cell r="AD93"/>
          <cell r="AE93"/>
          <cell r="AF93"/>
          <cell r="AG93"/>
          <cell r="AH93"/>
          <cell r="AI93"/>
          <cell r="AJ93"/>
          <cell r="AK93"/>
          <cell r="AL93"/>
          <cell r="AM93"/>
          <cell r="AN93"/>
          <cell r="AO93"/>
          <cell r="AP93"/>
          <cell r="AQ93"/>
          <cell r="AR93"/>
          <cell r="AS93">
            <v>43364</v>
          </cell>
          <cell r="AT93">
            <v>1882000</v>
          </cell>
          <cell r="AU93">
            <v>1961567.3752380954</v>
          </cell>
          <cell r="AV93">
            <v>226116.08801955989</v>
          </cell>
          <cell r="AW93"/>
          <cell r="AX93">
            <v>0.12014669926650366</v>
          </cell>
          <cell r="AY93"/>
          <cell r="AZ93"/>
          <cell r="BA93">
            <v>1</v>
          </cell>
          <cell r="BB93"/>
          <cell r="BC93">
            <v>1</v>
          </cell>
          <cell r="BD93">
            <v>57868.537205385837</v>
          </cell>
          <cell r="BE93">
            <v>46188.265921044091</v>
          </cell>
          <cell r="BF93">
            <v>30241.85497088448</v>
          </cell>
          <cell r="BG93">
            <v>0</v>
          </cell>
          <cell r="BH93"/>
          <cell r="BI93"/>
          <cell r="BJ93">
            <v>1961567.3752380954</v>
          </cell>
        </row>
        <row r="94">
          <cell r="B94" t="str">
            <v>tx4se001</v>
          </cell>
          <cell r="C94" t="str">
            <v>6814 Bourgeois Road</v>
          </cell>
          <cell r="D94" t="str">
            <v>Realized</v>
          </cell>
          <cell r="E94" t="str">
            <v>Logistic Fund I</v>
          </cell>
          <cell r="F94" t="str">
            <v>USD</v>
          </cell>
          <cell r="G94" t="str">
            <v>Last Mile</v>
          </cell>
          <cell r="H94" t="str">
            <v>Houston</v>
          </cell>
          <cell r="I94" t="str">
            <v>Houston</v>
          </cell>
          <cell r="J94" t="str">
            <v>TX</v>
          </cell>
          <cell r="K94">
            <v>77066</v>
          </cell>
          <cell r="L94" t="str">
            <v>United States</v>
          </cell>
          <cell r="M94"/>
          <cell r="N94">
            <v>15000</v>
          </cell>
          <cell r="O94">
            <v>1</v>
          </cell>
          <cell r="P94"/>
          <cell r="Q94" t="str">
            <v>Property - Private Equity</v>
          </cell>
          <cell r="R94" t="str">
            <v>Industrial</v>
          </cell>
          <cell r="S94" t="str">
            <v>Warehouse</v>
          </cell>
          <cell r="T94">
            <v>2011</v>
          </cell>
          <cell r="U94" t="str">
            <v>Sq. Feet</v>
          </cell>
          <cell r="V94" t="str">
            <v>Value-Add</v>
          </cell>
          <cell r="W94" t="str">
            <v>Industrial / Logistics</v>
          </cell>
          <cell r="X94" t="str">
            <v>Common Equity</v>
          </cell>
          <cell r="Y94"/>
          <cell r="Z94"/>
          <cell r="AA94"/>
          <cell r="AB94"/>
          <cell r="AC94"/>
          <cell r="AD94"/>
          <cell r="AE94"/>
          <cell r="AF94"/>
          <cell r="AG94"/>
          <cell r="AH94"/>
          <cell r="AI94"/>
          <cell r="AJ94"/>
          <cell r="AK94"/>
          <cell r="AL94"/>
          <cell r="AM94"/>
          <cell r="AN94"/>
          <cell r="AO94"/>
          <cell r="AP94"/>
          <cell r="AQ94"/>
          <cell r="AR94"/>
          <cell r="AS94">
            <v>43364</v>
          </cell>
          <cell r="AT94">
            <v>2002000</v>
          </cell>
          <cell r="AU94">
            <v>2086640.7466666666</v>
          </cell>
          <cell r="AV94">
            <v>240533.69193154035</v>
          </cell>
          <cell r="AW94"/>
          <cell r="AX94">
            <v>0.12014669926650368</v>
          </cell>
          <cell r="AY94"/>
          <cell r="AZ94"/>
          <cell r="BA94">
            <v>1</v>
          </cell>
          <cell r="BB94"/>
          <cell r="BC94">
            <v>1</v>
          </cell>
          <cell r="BD94">
            <v>61558.348291807888</v>
          </cell>
          <cell r="BE94">
            <v>49133.320071163806</v>
          </cell>
          <cell r="BF94">
            <v>32170.134777742151</v>
          </cell>
          <cell r="BG94">
            <v>0</v>
          </cell>
          <cell r="BH94"/>
          <cell r="BI94"/>
          <cell r="BJ94">
            <v>2086640.7466666666</v>
          </cell>
        </row>
        <row r="95">
          <cell r="B95" t="str">
            <v>tx4se001</v>
          </cell>
          <cell r="C95" t="str">
            <v>6838 Bourgeois Road</v>
          </cell>
          <cell r="D95" t="str">
            <v>Realized</v>
          </cell>
          <cell r="E95" t="str">
            <v>Logistic Fund I</v>
          </cell>
          <cell r="F95" t="str">
            <v>USD</v>
          </cell>
          <cell r="G95" t="str">
            <v>Last Mile</v>
          </cell>
          <cell r="H95" t="str">
            <v>Houston</v>
          </cell>
          <cell r="I95" t="str">
            <v>Houston</v>
          </cell>
          <cell r="J95" t="str">
            <v>TX</v>
          </cell>
          <cell r="K95">
            <v>77066</v>
          </cell>
          <cell r="L95" t="str">
            <v>United States</v>
          </cell>
          <cell r="M95"/>
          <cell r="N95">
            <v>16899</v>
          </cell>
          <cell r="O95">
            <v>1</v>
          </cell>
          <cell r="P95"/>
          <cell r="Q95" t="str">
            <v>Property - Private Equity</v>
          </cell>
          <cell r="R95" t="str">
            <v>Industrial</v>
          </cell>
          <cell r="S95" t="str">
            <v>Warehouse</v>
          </cell>
          <cell r="T95">
            <v>2017</v>
          </cell>
          <cell r="U95" t="str">
            <v>Sq. Feet</v>
          </cell>
          <cell r="V95" t="str">
            <v>Value-Add</v>
          </cell>
          <cell r="W95" t="str">
            <v>Industrial / Logistics</v>
          </cell>
          <cell r="X95" t="str">
            <v>Common Equity</v>
          </cell>
          <cell r="Y95"/>
          <cell r="Z95"/>
          <cell r="AA95"/>
          <cell r="AB95"/>
          <cell r="AC95"/>
          <cell r="AD95"/>
          <cell r="AE95"/>
          <cell r="AF95"/>
          <cell r="AG95"/>
          <cell r="AH95"/>
          <cell r="AI95"/>
          <cell r="AJ95"/>
          <cell r="AK95"/>
          <cell r="AL95"/>
          <cell r="AM95"/>
          <cell r="AN95"/>
          <cell r="AO95"/>
          <cell r="AP95"/>
          <cell r="AQ95"/>
          <cell r="AR95"/>
          <cell r="AS95">
            <v>43364</v>
          </cell>
          <cell r="AT95">
            <v>2250000</v>
          </cell>
          <cell r="AU95">
            <v>2345125.7142857141</v>
          </cell>
          <cell r="AV95">
            <v>0</v>
          </cell>
          <cell r="AW95"/>
          <cell r="AX95">
            <v>0</v>
          </cell>
          <cell r="AY95"/>
          <cell r="AZ95"/>
          <cell r="BA95">
            <v>0</v>
          </cell>
          <cell r="BB95"/>
          <cell r="BC95">
            <v>1</v>
          </cell>
          <cell r="BD95">
            <v>69183.957870413462</v>
          </cell>
          <cell r="BE95">
            <v>55219.765314744538</v>
          </cell>
          <cell r="BF95">
            <v>36155.246378581338</v>
          </cell>
          <cell r="BG95">
            <v>0</v>
          </cell>
          <cell r="BH95"/>
          <cell r="BI95"/>
          <cell r="BJ95">
            <v>2345125.7142857141</v>
          </cell>
        </row>
        <row r="96">
          <cell r="B96" t="str">
            <v>tx4se001</v>
          </cell>
          <cell r="C96" t="str">
            <v>6832 Bourgeois Road</v>
          </cell>
          <cell r="D96" t="str">
            <v>Realized</v>
          </cell>
          <cell r="E96" t="str">
            <v>Logistic Fund I</v>
          </cell>
          <cell r="F96" t="str">
            <v>USD</v>
          </cell>
          <cell r="G96" t="str">
            <v>Last Mile</v>
          </cell>
          <cell r="H96" t="str">
            <v>Houston</v>
          </cell>
          <cell r="I96" t="str">
            <v>Houston</v>
          </cell>
          <cell r="J96" t="str">
            <v>TX</v>
          </cell>
          <cell r="K96">
            <v>77066</v>
          </cell>
          <cell r="L96" t="str">
            <v>United States</v>
          </cell>
          <cell r="M96"/>
          <cell r="N96">
            <v>18471</v>
          </cell>
          <cell r="O96">
            <v>1</v>
          </cell>
          <cell r="P96"/>
          <cell r="Q96" t="str">
            <v>Property - Private Equity</v>
          </cell>
          <cell r="R96" t="str">
            <v>Industrial</v>
          </cell>
          <cell r="S96" t="str">
            <v>Warehouse</v>
          </cell>
          <cell r="T96">
            <v>2012</v>
          </cell>
          <cell r="U96" t="str">
            <v>Sq. Feet</v>
          </cell>
          <cell r="V96" t="str">
            <v>Value-Add</v>
          </cell>
          <cell r="W96" t="str">
            <v>Industrial / Logistics</v>
          </cell>
          <cell r="X96" t="str">
            <v>Common Equity</v>
          </cell>
          <cell r="Y96"/>
          <cell r="Z96"/>
          <cell r="AA96"/>
          <cell r="AB96"/>
          <cell r="AC96"/>
          <cell r="AD96"/>
          <cell r="AE96"/>
          <cell r="AF96"/>
          <cell r="AG96"/>
          <cell r="AH96"/>
          <cell r="AI96"/>
          <cell r="AJ96"/>
          <cell r="AK96"/>
          <cell r="AL96"/>
          <cell r="AM96"/>
          <cell r="AN96"/>
          <cell r="AO96"/>
          <cell r="AP96"/>
          <cell r="AQ96"/>
          <cell r="AR96"/>
          <cell r="AS96">
            <v>43364</v>
          </cell>
          <cell r="AT96">
            <v>2465000</v>
          </cell>
          <cell r="AU96">
            <v>2569215.5047619049</v>
          </cell>
          <cell r="AV96">
            <v>296161.61369193153</v>
          </cell>
          <cell r="AW96"/>
          <cell r="AX96">
            <v>0.12014669926650366</v>
          </cell>
          <cell r="AY96"/>
          <cell r="AZ96"/>
          <cell r="BA96">
            <v>1</v>
          </cell>
          <cell r="BB96"/>
          <cell r="BC96">
            <v>1</v>
          </cell>
          <cell r="BD96">
            <v>75794.869400252966</v>
          </cell>
          <cell r="BE96">
            <v>60496.320667042346</v>
          </cell>
          <cell r="BF96">
            <v>39610.081032534668</v>
          </cell>
          <cell r="BG96">
            <v>0</v>
          </cell>
          <cell r="BH96"/>
          <cell r="BI96"/>
          <cell r="BJ96">
            <v>2569215.5047619049</v>
          </cell>
        </row>
        <row r="97">
          <cell r="B97" t="str">
            <v>tx4se001</v>
          </cell>
          <cell r="C97" t="str">
            <v>6826 Bourgeois Road</v>
          </cell>
          <cell r="D97" t="str">
            <v>Realized</v>
          </cell>
          <cell r="E97" t="str">
            <v>Logistic Fund I</v>
          </cell>
          <cell r="F97" t="str">
            <v>USD</v>
          </cell>
          <cell r="G97" t="str">
            <v>Last Mile</v>
          </cell>
          <cell r="H97" t="str">
            <v>Houston</v>
          </cell>
          <cell r="I97" t="str">
            <v>Houston</v>
          </cell>
          <cell r="J97" t="str">
            <v>TX</v>
          </cell>
          <cell r="K97">
            <v>77066</v>
          </cell>
          <cell r="L97" t="str">
            <v>United States</v>
          </cell>
          <cell r="M97"/>
          <cell r="N97">
            <v>18600</v>
          </cell>
          <cell r="O97">
            <v>1</v>
          </cell>
          <cell r="P97"/>
          <cell r="Q97" t="str">
            <v>Property - Private Equity</v>
          </cell>
          <cell r="R97" t="str">
            <v>Industrial</v>
          </cell>
          <cell r="S97" t="str">
            <v>Warehouse</v>
          </cell>
          <cell r="T97">
            <v>2012</v>
          </cell>
          <cell r="U97" t="str">
            <v>Sq. Feet</v>
          </cell>
          <cell r="V97" t="str">
            <v>Value-Add</v>
          </cell>
          <cell r="W97" t="str">
            <v>Industrial / Logistics</v>
          </cell>
          <cell r="X97" t="str">
            <v>Common Equity</v>
          </cell>
          <cell r="Y97"/>
          <cell r="Z97"/>
          <cell r="AA97"/>
          <cell r="AB97"/>
          <cell r="AC97"/>
          <cell r="AD97"/>
          <cell r="AE97"/>
          <cell r="AF97"/>
          <cell r="AG97"/>
          <cell r="AH97"/>
          <cell r="AI97"/>
          <cell r="AJ97"/>
          <cell r="AK97"/>
          <cell r="AL97"/>
          <cell r="AM97"/>
          <cell r="AN97"/>
          <cell r="AO97"/>
          <cell r="AP97"/>
          <cell r="AQ97"/>
          <cell r="AR97"/>
          <cell r="AS97">
            <v>43364</v>
          </cell>
          <cell r="AT97">
            <v>2483000</v>
          </cell>
          <cell r="AU97">
            <v>2587976.5104761906</v>
          </cell>
          <cell r="AV97">
            <v>298324.25427872856</v>
          </cell>
          <cell r="AW97"/>
          <cell r="AX97">
            <v>0.12014669926650365</v>
          </cell>
          <cell r="AY97"/>
          <cell r="AZ97"/>
          <cell r="BA97">
            <v>1</v>
          </cell>
          <cell r="BB97"/>
          <cell r="BC97">
            <v>1</v>
          </cell>
          <cell r="BD97">
            <v>76348.34106321627</v>
          </cell>
          <cell r="BE97">
            <v>60938.078789560292</v>
          </cell>
          <cell r="BF97">
            <v>39899.323003563317</v>
          </cell>
          <cell r="BG97">
            <v>0</v>
          </cell>
          <cell r="BH97"/>
          <cell r="BI97"/>
          <cell r="BJ97">
            <v>2587976.5104761906</v>
          </cell>
        </row>
        <row r="98">
          <cell r="B98" t="str">
            <v>tx4se001</v>
          </cell>
          <cell r="C98" t="str">
            <v>6834 Bourgeois Road</v>
          </cell>
          <cell r="D98" t="str">
            <v>Realized</v>
          </cell>
          <cell r="E98" t="str">
            <v>Logistic Fund I</v>
          </cell>
          <cell r="F98" t="str">
            <v>USD</v>
          </cell>
          <cell r="G98" t="str">
            <v>Last Mile</v>
          </cell>
          <cell r="H98" t="str">
            <v>Houston</v>
          </cell>
          <cell r="I98" t="str">
            <v>Houston</v>
          </cell>
          <cell r="J98" t="str">
            <v>TX</v>
          </cell>
          <cell r="K98">
            <v>77066</v>
          </cell>
          <cell r="L98" t="str">
            <v>United States</v>
          </cell>
          <cell r="M98"/>
          <cell r="N98">
            <v>20331</v>
          </cell>
          <cell r="O98">
            <v>1</v>
          </cell>
          <cell r="P98"/>
          <cell r="Q98" t="str">
            <v>Property - Private Equity</v>
          </cell>
          <cell r="R98" t="str">
            <v>Industrial</v>
          </cell>
          <cell r="S98" t="str">
            <v>Warehouse</v>
          </cell>
          <cell r="T98">
            <v>2011</v>
          </cell>
          <cell r="U98" t="str">
            <v>Sq. Feet</v>
          </cell>
          <cell r="V98" t="str">
            <v>Value-Add</v>
          </cell>
          <cell r="W98" t="str">
            <v>Industrial / Logistics</v>
          </cell>
          <cell r="X98" t="str">
            <v>Common Equity</v>
          </cell>
          <cell r="Y98"/>
          <cell r="Z98"/>
          <cell r="AA98"/>
          <cell r="AB98"/>
          <cell r="AC98"/>
          <cell r="AD98"/>
          <cell r="AE98"/>
          <cell r="AF98"/>
          <cell r="AG98"/>
          <cell r="AH98"/>
          <cell r="AI98"/>
          <cell r="AJ98"/>
          <cell r="AK98"/>
          <cell r="AL98"/>
          <cell r="AM98"/>
          <cell r="AN98"/>
          <cell r="AO98"/>
          <cell r="AP98"/>
          <cell r="AQ98"/>
          <cell r="AR98"/>
          <cell r="AS98">
            <v>43364</v>
          </cell>
          <cell r="AT98">
            <v>2714000</v>
          </cell>
          <cell r="AU98">
            <v>2828742.7504761904</v>
          </cell>
          <cell r="AV98">
            <v>0</v>
          </cell>
          <cell r="AW98"/>
          <cell r="AX98">
            <v>0</v>
          </cell>
          <cell r="AY98"/>
          <cell r="AZ98"/>
          <cell r="BA98">
            <v>0</v>
          </cell>
          <cell r="BB98"/>
          <cell r="BC98">
            <v>1</v>
          </cell>
          <cell r="BD98">
            <v>83451.227404578734</v>
          </cell>
          <cell r="BE98">
            <v>66607.308028540749</v>
          </cell>
          <cell r="BF98">
            <v>43611.261631764341</v>
          </cell>
          <cell r="BG98">
            <v>0</v>
          </cell>
          <cell r="BH98"/>
          <cell r="BI98"/>
          <cell r="BJ98">
            <v>2828742.7504761904</v>
          </cell>
        </row>
        <row r="99">
          <cell r="B99" t="str">
            <v>txlan003</v>
          </cell>
          <cell r="C99" t="str">
            <v>6410 Langfield Road</v>
          </cell>
          <cell r="D99" t="str">
            <v>Realized</v>
          </cell>
          <cell r="E99" t="str">
            <v>Logistic Fund I</v>
          </cell>
          <cell r="F99" t="str">
            <v>USD</v>
          </cell>
          <cell r="G99" t="str">
            <v>Last Mile</v>
          </cell>
          <cell r="H99" t="str">
            <v>Houston</v>
          </cell>
          <cell r="I99" t="str">
            <v>Houston</v>
          </cell>
          <cell r="J99" t="str">
            <v>TX</v>
          </cell>
          <cell r="K99">
            <v>77092</v>
          </cell>
          <cell r="L99" t="str">
            <v>United States</v>
          </cell>
          <cell r="M99"/>
          <cell r="N99">
            <v>52682</v>
          </cell>
          <cell r="O99">
            <v>1</v>
          </cell>
          <cell r="P99"/>
          <cell r="Q99" t="str">
            <v>Property - Private Equity</v>
          </cell>
          <cell r="R99" t="str">
            <v>Industrial</v>
          </cell>
          <cell r="S99" t="str">
            <v>Warehouse</v>
          </cell>
          <cell r="T99">
            <v>2015</v>
          </cell>
          <cell r="U99" t="str">
            <v>Sq. Feet</v>
          </cell>
          <cell r="V99" t="str">
            <v>Value-Add</v>
          </cell>
          <cell r="W99" t="str">
            <v>Industrial / Logistics</v>
          </cell>
          <cell r="X99" t="str">
            <v>Common Equity</v>
          </cell>
          <cell r="Y99"/>
          <cell r="Z99"/>
          <cell r="AA99"/>
          <cell r="AB99"/>
          <cell r="AC99"/>
          <cell r="AD99"/>
          <cell r="AE99"/>
          <cell r="AF99"/>
          <cell r="AG99"/>
          <cell r="AH99"/>
          <cell r="AI99"/>
          <cell r="AJ99"/>
          <cell r="AK99"/>
          <cell r="AL99"/>
          <cell r="AM99"/>
          <cell r="AN99"/>
          <cell r="AO99"/>
          <cell r="AP99"/>
          <cell r="AQ99"/>
          <cell r="AR99"/>
          <cell r="AS99">
            <v>43442</v>
          </cell>
          <cell r="AT99">
            <v>7726700</v>
          </cell>
          <cell r="AU99">
            <v>8030363.9299999997</v>
          </cell>
          <cell r="AV99">
            <v>656769.5</v>
          </cell>
          <cell r="AW99"/>
          <cell r="AX99">
            <v>8.5000000000000006E-2</v>
          </cell>
          <cell r="AY99"/>
          <cell r="AZ99"/>
          <cell r="BA99">
            <v>1</v>
          </cell>
          <cell r="BB99"/>
          <cell r="BC99">
            <v>1</v>
          </cell>
          <cell r="BD99">
            <v>298800.2</v>
          </cell>
          <cell r="BE99">
            <v>-139649.92000000001</v>
          </cell>
          <cell r="BF99">
            <v>142697.99</v>
          </cell>
          <cell r="BG99">
            <v>0</v>
          </cell>
          <cell r="BH99"/>
          <cell r="BI99"/>
          <cell r="BJ99">
            <v>8030363.9299999997</v>
          </cell>
        </row>
        <row r="100">
          <cell r="B100" t="str">
            <v>txhou002</v>
          </cell>
          <cell r="C100" t="str">
            <v>10111 Houston Oaks Drive</v>
          </cell>
          <cell r="D100" t="str">
            <v>Realized</v>
          </cell>
          <cell r="E100" t="str">
            <v>Logistic Fund I</v>
          </cell>
          <cell r="F100" t="str">
            <v>USD</v>
          </cell>
          <cell r="G100" t="str">
            <v>Last Mile</v>
          </cell>
          <cell r="H100" t="str">
            <v>Houston</v>
          </cell>
          <cell r="I100" t="str">
            <v>Houston</v>
          </cell>
          <cell r="J100" t="str">
            <v>TX</v>
          </cell>
          <cell r="K100">
            <v>77064</v>
          </cell>
          <cell r="L100" t="str">
            <v>United States</v>
          </cell>
          <cell r="M100"/>
          <cell r="N100">
            <v>105300</v>
          </cell>
          <cell r="O100">
            <v>1</v>
          </cell>
          <cell r="P100"/>
          <cell r="Q100" t="str">
            <v>Property - Private Equity</v>
          </cell>
          <cell r="R100" t="str">
            <v>Industrial</v>
          </cell>
          <cell r="S100" t="str">
            <v>Warehouse</v>
          </cell>
          <cell r="T100">
            <v>2006</v>
          </cell>
          <cell r="U100" t="str">
            <v>Sq. Feet</v>
          </cell>
          <cell r="V100" t="str">
            <v>Value-Add</v>
          </cell>
          <cell r="W100" t="str">
            <v>Industrial / Logistics</v>
          </cell>
          <cell r="X100" t="str">
            <v>Common Equity</v>
          </cell>
          <cell r="Y100"/>
          <cell r="Z100"/>
          <cell r="AA100"/>
          <cell r="AB100"/>
          <cell r="AC100"/>
          <cell r="AD100"/>
          <cell r="AE100"/>
          <cell r="AF100"/>
          <cell r="AG100"/>
          <cell r="AH100"/>
          <cell r="AI100"/>
          <cell r="AJ100"/>
          <cell r="AK100"/>
          <cell r="AL100"/>
          <cell r="AM100"/>
          <cell r="AN100"/>
          <cell r="AO100"/>
          <cell r="AP100"/>
          <cell r="AQ100"/>
          <cell r="AR100"/>
          <cell r="AS100">
            <v>43448</v>
          </cell>
          <cell r="AT100">
            <v>7600000</v>
          </cell>
          <cell r="AU100">
            <v>7879505.3899999997</v>
          </cell>
          <cell r="AV100">
            <v>704520</v>
          </cell>
          <cell r="AW100"/>
          <cell r="AX100">
            <v>9.2700000000000005E-2</v>
          </cell>
          <cell r="AY100"/>
          <cell r="AZ100"/>
          <cell r="BA100">
            <v>1</v>
          </cell>
          <cell r="BB100"/>
          <cell r="BC100">
            <v>1</v>
          </cell>
          <cell r="BD100">
            <v>-37779.18</v>
          </cell>
          <cell r="BE100">
            <v>134847.49</v>
          </cell>
          <cell r="BF100">
            <v>360111.3</v>
          </cell>
          <cell r="BG100">
            <v>0</v>
          </cell>
          <cell r="BH100"/>
          <cell r="BI100"/>
          <cell r="BJ100">
            <v>7879505.3899999997</v>
          </cell>
        </row>
        <row r="101">
          <cell r="B101" t="str">
            <v>txwin004</v>
          </cell>
          <cell r="C101" t="str">
            <v>11300 Windfern Rd</v>
          </cell>
          <cell r="D101" t="str">
            <v>Realized</v>
          </cell>
          <cell r="E101" t="str">
            <v>Logistic Fund I</v>
          </cell>
          <cell r="F101" t="str">
            <v>USD</v>
          </cell>
          <cell r="G101" t="str">
            <v>Last Mile</v>
          </cell>
          <cell r="H101" t="str">
            <v>Houston</v>
          </cell>
          <cell r="I101" t="str">
            <v>Houston</v>
          </cell>
          <cell r="J101" t="str">
            <v>TX</v>
          </cell>
          <cell r="K101">
            <v>77064</v>
          </cell>
          <cell r="L101" t="str">
            <v>United States</v>
          </cell>
          <cell r="M101"/>
          <cell r="N101">
            <v>59600</v>
          </cell>
          <cell r="O101">
            <v>1</v>
          </cell>
          <cell r="P101"/>
          <cell r="Q101" t="str">
            <v>Property - Private Equity</v>
          </cell>
          <cell r="R101" t="str">
            <v>Industrial</v>
          </cell>
          <cell r="S101" t="str">
            <v>Warehouse</v>
          </cell>
          <cell r="T101">
            <v>2000</v>
          </cell>
          <cell r="U101" t="str">
            <v>Sq. Feet</v>
          </cell>
          <cell r="V101" t="str">
            <v>Value-Add</v>
          </cell>
          <cell r="W101" t="str">
            <v>Industrial / Logistics</v>
          </cell>
          <cell r="X101" t="str">
            <v>Common Equity</v>
          </cell>
          <cell r="Y101"/>
          <cell r="Z101"/>
          <cell r="AA101"/>
          <cell r="AB101"/>
          <cell r="AC101"/>
          <cell r="AD101"/>
          <cell r="AE101"/>
          <cell r="AF101"/>
          <cell r="AG101"/>
          <cell r="AH101"/>
          <cell r="AI101"/>
          <cell r="AJ101"/>
          <cell r="AK101"/>
          <cell r="AL101"/>
          <cell r="AM101"/>
          <cell r="AN101"/>
          <cell r="AO101"/>
          <cell r="AP101"/>
          <cell r="AQ101"/>
          <cell r="AR101"/>
          <cell r="AS101">
            <v>43480</v>
          </cell>
          <cell r="AT101">
            <v>5030000</v>
          </cell>
          <cell r="AU101">
            <v>5311725.58</v>
          </cell>
          <cell r="AV101">
            <v>195994.4933</v>
          </cell>
          <cell r="AW101"/>
          <cell r="AX101">
            <v>3.8965108011928429E-2</v>
          </cell>
          <cell r="AY101"/>
          <cell r="AZ101"/>
          <cell r="BA101">
            <v>1</v>
          </cell>
          <cell r="BB101"/>
          <cell r="BC101">
            <v>1</v>
          </cell>
          <cell r="BD101">
            <v>28787.759999999998</v>
          </cell>
          <cell r="BE101">
            <v>140140.41</v>
          </cell>
          <cell r="BF101">
            <v>12930.48</v>
          </cell>
          <cell r="BG101">
            <v>0</v>
          </cell>
          <cell r="BH101"/>
          <cell r="BI101"/>
          <cell r="BJ101">
            <v>5311725.58</v>
          </cell>
        </row>
        <row r="102">
          <cell r="B102" t="str">
            <v>gasc1002</v>
          </cell>
          <cell r="C102" t="str">
            <v>5101 Chatooga Drive</v>
          </cell>
          <cell r="D102" t="str">
            <v>Realized</v>
          </cell>
          <cell r="E102" t="str">
            <v>Logistic Fund I</v>
          </cell>
          <cell r="F102" t="str">
            <v>USD</v>
          </cell>
          <cell r="G102" t="str">
            <v>Last Mile</v>
          </cell>
          <cell r="H102" t="str">
            <v>Atlanta</v>
          </cell>
          <cell r="I102" t="str">
            <v>Stonecrest</v>
          </cell>
          <cell r="J102" t="str">
            <v>GA</v>
          </cell>
          <cell r="K102">
            <v>30038</v>
          </cell>
          <cell r="L102" t="str">
            <v>United States</v>
          </cell>
          <cell r="M102"/>
          <cell r="N102">
            <v>24090</v>
          </cell>
          <cell r="O102">
            <v>1</v>
          </cell>
          <cell r="P102"/>
          <cell r="Q102" t="str">
            <v>Property - Private Equity</v>
          </cell>
          <cell r="R102" t="str">
            <v>Industrial</v>
          </cell>
          <cell r="S102" t="str">
            <v>Warehouse</v>
          </cell>
          <cell r="T102">
            <v>1974</v>
          </cell>
          <cell r="U102" t="str">
            <v>Sq. Feet</v>
          </cell>
          <cell r="V102" t="str">
            <v>Value-Add</v>
          </cell>
          <cell r="W102" t="str">
            <v>Industrial / Logistics</v>
          </cell>
          <cell r="X102" t="str">
            <v>Common Equity</v>
          </cell>
          <cell r="Y102"/>
          <cell r="Z102"/>
          <cell r="AA102"/>
          <cell r="AB102"/>
          <cell r="AC102"/>
          <cell r="AD102"/>
          <cell r="AE102"/>
          <cell r="AF102"/>
          <cell r="AG102"/>
          <cell r="AH102"/>
          <cell r="AI102"/>
          <cell r="AJ102"/>
          <cell r="AK102"/>
          <cell r="AL102"/>
          <cell r="AM102"/>
          <cell r="AN102"/>
          <cell r="AO102"/>
          <cell r="AP102"/>
          <cell r="AQ102"/>
          <cell r="AR102"/>
          <cell r="AS102">
            <v>43511</v>
          </cell>
          <cell r="AT102">
            <v>918324</v>
          </cell>
          <cell r="AU102">
            <v>955076.00146596902</v>
          </cell>
          <cell r="AV102">
            <v>86506.178010000003</v>
          </cell>
          <cell r="AW102"/>
          <cell r="AX102">
            <v>9.420006229827381E-2</v>
          </cell>
          <cell r="AY102"/>
          <cell r="AZ102"/>
          <cell r="BA102">
            <v>1</v>
          </cell>
          <cell r="BB102"/>
          <cell r="BC102">
            <v>1</v>
          </cell>
          <cell r="BD102">
            <v>64414.64</v>
          </cell>
          <cell r="BE102">
            <v>66543.039999999994</v>
          </cell>
          <cell r="BF102">
            <v>44836.46</v>
          </cell>
          <cell r="BG102">
            <v>0</v>
          </cell>
          <cell r="BH102"/>
          <cell r="BI102"/>
          <cell r="BJ102">
            <v>955076.00146596902</v>
          </cell>
        </row>
        <row r="103">
          <cell r="B103" t="str">
            <v>gasc2003</v>
          </cell>
          <cell r="C103" t="str">
            <v>5079 Chatooga Drive</v>
          </cell>
          <cell r="D103" t="str">
            <v>Realized</v>
          </cell>
          <cell r="E103" t="str">
            <v>Logistic Fund I</v>
          </cell>
          <cell r="F103" t="str">
            <v>USD</v>
          </cell>
          <cell r="G103" t="str">
            <v>Last Mile</v>
          </cell>
          <cell r="H103" t="str">
            <v>Atlanta</v>
          </cell>
          <cell r="I103" t="str">
            <v>Stonecrest</v>
          </cell>
          <cell r="J103" t="str">
            <v>GA</v>
          </cell>
          <cell r="K103">
            <v>30038</v>
          </cell>
          <cell r="L103" t="str">
            <v>United States</v>
          </cell>
          <cell r="M103"/>
          <cell r="N103">
            <v>32000</v>
          </cell>
          <cell r="O103">
            <v>1</v>
          </cell>
          <cell r="P103"/>
          <cell r="Q103" t="str">
            <v>Property - Private Equity</v>
          </cell>
          <cell r="R103" t="str">
            <v>Industrial</v>
          </cell>
          <cell r="S103" t="str">
            <v>Warehouse</v>
          </cell>
          <cell r="T103">
            <v>1978</v>
          </cell>
          <cell r="U103" t="str">
            <v>Sq. Feet</v>
          </cell>
          <cell r="V103" t="str">
            <v>Value-Add</v>
          </cell>
          <cell r="W103" t="str">
            <v>Industrial / Logistics</v>
          </cell>
          <cell r="X103" t="str">
            <v>Common Equity</v>
          </cell>
          <cell r="Y103"/>
          <cell r="Z103"/>
          <cell r="AA103"/>
          <cell r="AB103"/>
          <cell r="AC103"/>
          <cell r="AD103"/>
          <cell r="AE103"/>
          <cell r="AF103"/>
          <cell r="AG103"/>
          <cell r="AH103"/>
          <cell r="AI103"/>
          <cell r="AJ103"/>
          <cell r="AK103"/>
          <cell r="AL103"/>
          <cell r="AM103"/>
          <cell r="AN103"/>
          <cell r="AO103"/>
          <cell r="AP103"/>
          <cell r="AQ103"/>
          <cell r="AR103"/>
          <cell r="AS103">
            <v>43511</v>
          </cell>
          <cell r="AT103">
            <v>1500000</v>
          </cell>
          <cell r="AU103">
            <v>1500000</v>
          </cell>
          <cell r="AV103">
            <v>141300</v>
          </cell>
          <cell r="AW103"/>
          <cell r="AX103">
            <v>9.4200000000000006E-2</v>
          </cell>
          <cell r="AY103"/>
          <cell r="AZ103"/>
          <cell r="BA103">
            <v>1</v>
          </cell>
          <cell r="BB103"/>
          <cell r="BC103">
            <v>1</v>
          </cell>
          <cell r="BD103">
            <v>64578.44</v>
          </cell>
          <cell r="BE103">
            <v>79073.919999999998</v>
          </cell>
          <cell r="BF103">
            <v>33546.339999999997</v>
          </cell>
          <cell r="BG103">
            <v>0</v>
          </cell>
          <cell r="BH103"/>
          <cell r="BI103"/>
          <cell r="BJ103">
            <v>1500000</v>
          </cell>
        </row>
        <row r="104">
          <cell r="B104" t="str">
            <v>gasc4005</v>
          </cell>
          <cell r="C104" t="str">
            <v>Schlesinger4</v>
          </cell>
          <cell r="D104" t="str">
            <v>Realized</v>
          </cell>
          <cell r="E104" t="str">
            <v>Logistic Fund I</v>
          </cell>
          <cell r="F104" t="str">
            <v>USD</v>
          </cell>
          <cell r="G104" t="str">
            <v>Last Mile</v>
          </cell>
          <cell r="H104" t="str">
            <v>Atlanta</v>
          </cell>
          <cell r="I104" t="str">
            <v>Stonecrest</v>
          </cell>
          <cell r="J104" t="str">
            <v>GA</v>
          </cell>
          <cell r="K104">
            <v>30038</v>
          </cell>
          <cell r="L104" t="str">
            <v>United States</v>
          </cell>
          <cell r="M104"/>
          <cell r="N104">
            <v>32400</v>
          </cell>
          <cell r="O104">
            <v>1</v>
          </cell>
          <cell r="P104"/>
          <cell r="Q104" t="str">
            <v>Property - Private Equity</v>
          </cell>
          <cell r="R104" t="str">
            <v>Industrial</v>
          </cell>
          <cell r="S104" t="str">
            <v>Warehouse</v>
          </cell>
          <cell r="T104" t="str">
            <v>N/A</v>
          </cell>
          <cell r="U104" t="str">
            <v>Sq. Feet</v>
          </cell>
          <cell r="V104" t="str">
            <v>Value-Add</v>
          </cell>
          <cell r="W104" t="str">
            <v>Industrial / Logistics</v>
          </cell>
          <cell r="X104" t="str">
            <v>Common Equity</v>
          </cell>
          <cell r="Y104"/>
          <cell r="Z104"/>
          <cell r="AA104"/>
          <cell r="AB104"/>
          <cell r="AC104"/>
          <cell r="AD104"/>
          <cell r="AE104"/>
          <cell r="AF104"/>
          <cell r="AG104"/>
          <cell r="AH104"/>
          <cell r="AI104"/>
          <cell r="AJ104"/>
          <cell r="AK104"/>
          <cell r="AL104"/>
          <cell r="AM104"/>
          <cell r="AN104"/>
          <cell r="AO104"/>
          <cell r="AP104"/>
          <cell r="AQ104"/>
          <cell r="AR104"/>
          <cell r="AS104">
            <v>43511</v>
          </cell>
          <cell r="AT104">
            <v>300000</v>
          </cell>
          <cell r="AU104">
            <v>300000</v>
          </cell>
          <cell r="AV104">
            <v>28200</v>
          </cell>
          <cell r="AW104"/>
          <cell r="AX104">
            <v>9.4E-2</v>
          </cell>
          <cell r="AY104"/>
          <cell r="AZ104"/>
          <cell r="BA104">
            <v>0.94</v>
          </cell>
          <cell r="BB104"/>
          <cell r="BC104">
            <v>1</v>
          </cell>
          <cell r="BD104">
            <v>47005.39</v>
          </cell>
          <cell r="BE104">
            <v>54538.85</v>
          </cell>
          <cell r="BF104">
            <v>0</v>
          </cell>
          <cell r="BG104">
            <v>0</v>
          </cell>
          <cell r="BH104"/>
          <cell r="BI104"/>
          <cell r="BJ104">
            <v>300000</v>
          </cell>
        </row>
        <row r="105">
          <cell r="B105" t="str">
            <v>gasc6007</v>
          </cell>
          <cell r="C105" t="str">
            <v>5220 Minola Drive</v>
          </cell>
          <cell r="D105" t="str">
            <v>Realized</v>
          </cell>
          <cell r="E105" t="str">
            <v>Logistic Fund I</v>
          </cell>
          <cell r="F105" t="str">
            <v>USD</v>
          </cell>
          <cell r="G105" t="str">
            <v>Last Mile</v>
          </cell>
          <cell r="H105" t="str">
            <v>Atlanta</v>
          </cell>
          <cell r="I105" t="str">
            <v>Stonecrest</v>
          </cell>
          <cell r="J105" t="str">
            <v>GA</v>
          </cell>
          <cell r="K105">
            <v>30038</v>
          </cell>
          <cell r="L105" t="str">
            <v>United States</v>
          </cell>
          <cell r="M105"/>
          <cell r="N105">
            <v>37800</v>
          </cell>
          <cell r="O105">
            <v>1</v>
          </cell>
          <cell r="P105"/>
          <cell r="Q105" t="str">
            <v>Property - Private Equity</v>
          </cell>
          <cell r="R105" t="str">
            <v>Industrial</v>
          </cell>
          <cell r="S105" t="str">
            <v>Warehouse</v>
          </cell>
          <cell r="T105">
            <v>1980</v>
          </cell>
          <cell r="U105" t="str">
            <v>Sq. Feet</v>
          </cell>
          <cell r="V105" t="str">
            <v>Value-Add</v>
          </cell>
          <cell r="W105" t="str">
            <v>Industrial / Logistics</v>
          </cell>
          <cell r="X105" t="str">
            <v>Common Equity</v>
          </cell>
          <cell r="Y105"/>
          <cell r="Z105"/>
          <cell r="AA105"/>
          <cell r="AB105"/>
          <cell r="AC105"/>
          <cell r="AD105"/>
          <cell r="AE105"/>
          <cell r="AF105"/>
          <cell r="AG105"/>
          <cell r="AH105"/>
          <cell r="AI105"/>
          <cell r="AJ105"/>
          <cell r="AK105"/>
          <cell r="AL105"/>
          <cell r="AM105"/>
          <cell r="AN105"/>
          <cell r="AO105"/>
          <cell r="AP105"/>
          <cell r="AQ105"/>
          <cell r="AR105"/>
          <cell r="AS105">
            <v>43511</v>
          </cell>
          <cell r="AT105">
            <v>1200000</v>
          </cell>
          <cell r="AU105">
            <v>1200000</v>
          </cell>
          <cell r="AV105">
            <v>113040</v>
          </cell>
          <cell r="AW105"/>
          <cell r="AX105">
            <v>9.4200000000000006E-2</v>
          </cell>
          <cell r="AY105"/>
          <cell r="AZ105"/>
          <cell r="BA105">
            <v>1</v>
          </cell>
          <cell r="BB105"/>
          <cell r="BC105">
            <v>1</v>
          </cell>
          <cell r="BD105">
            <v>140244.01999999999</v>
          </cell>
          <cell r="BE105">
            <v>71459.990000000005</v>
          </cell>
          <cell r="BF105">
            <v>61779.57</v>
          </cell>
          <cell r="BG105">
            <v>0</v>
          </cell>
          <cell r="BH105"/>
          <cell r="BI105"/>
          <cell r="BJ105">
            <v>1200000</v>
          </cell>
        </row>
        <row r="106">
          <cell r="B106" t="str">
            <v>gasc5006</v>
          </cell>
          <cell r="C106" t="str">
            <v>Schlesinger5</v>
          </cell>
          <cell r="D106" t="str">
            <v>Realized</v>
          </cell>
          <cell r="E106" t="str">
            <v>Logistic Fund I</v>
          </cell>
          <cell r="F106" t="str">
            <v>USD</v>
          </cell>
          <cell r="G106" t="str">
            <v>Last Mile</v>
          </cell>
          <cell r="H106" t="str">
            <v>Atlanta</v>
          </cell>
          <cell r="I106" t="str">
            <v>Stonecrest</v>
          </cell>
          <cell r="J106" t="str">
            <v>GA</v>
          </cell>
          <cell r="K106">
            <v>30038</v>
          </cell>
          <cell r="L106" t="str">
            <v>United States</v>
          </cell>
          <cell r="M106"/>
          <cell r="N106">
            <v>42000</v>
          </cell>
          <cell r="O106">
            <v>1</v>
          </cell>
          <cell r="P106"/>
          <cell r="Q106" t="str">
            <v>Property - Private Equity</v>
          </cell>
          <cell r="R106" t="str">
            <v>Industrial</v>
          </cell>
          <cell r="S106" t="str">
            <v>Warehouse</v>
          </cell>
          <cell r="T106" t="str">
            <v>N/A</v>
          </cell>
          <cell r="U106" t="str">
            <v>Sq. Feet</v>
          </cell>
          <cell r="V106" t="str">
            <v>Value-Add</v>
          </cell>
          <cell r="W106" t="str">
            <v>Industrial / Logistics</v>
          </cell>
          <cell r="X106" t="str">
            <v>Common Equity</v>
          </cell>
          <cell r="Y106"/>
          <cell r="Z106"/>
          <cell r="AA106"/>
          <cell r="AB106"/>
          <cell r="AC106"/>
          <cell r="AD106"/>
          <cell r="AE106"/>
          <cell r="AF106"/>
          <cell r="AG106"/>
          <cell r="AH106"/>
          <cell r="AI106"/>
          <cell r="AJ106"/>
          <cell r="AK106"/>
          <cell r="AL106"/>
          <cell r="AM106"/>
          <cell r="AN106"/>
          <cell r="AO106"/>
          <cell r="AP106"/>
          <cell r="AQ106"/>
          <cell r="AR106"/>
          <cell r="AS106">
            <v>43511</v>
          </cell>
          <cell r="AT106">
            <v>1000000</v>
          </cell>
          <cell r="AU106">
            <v>1000000</v>
          </cell>
          <cell r="AV106">
            <v>94000</v>
          </cell>
          <cell r="AW106"/>
          <cell r="AX106">
            <v>9.4E-2</v>
          </cell>
          <cell r="AY106"/>
          <cell r="AZ106"/>
          <cell r="BA106">
            <v>0.94</v>
          </cell>
          <cell r="BB106"/>
          <cell r="BC106">
            <v>1</v>
          </cell>
          <cell r="BD106">
            <v>33951.15</v>
          </cell>
          <cell r="BE106">
            <v>30399.7</v>
          </cell>
          <cell r="BF106">
            <v>0</v>
          </cell>
          <cell r="BG106">
            <v>0</v>
          </cell>
          <cell r="BH106"/>
          <cell r="BI106"/>
          <cell r="BJ106">
            <v>1000000</v>
          </cell>
        </row>
        <row r="107">
          <cell r="B107" t="str">
            <v>gasc3004</v>
          </cell>
          <cell r="C107" t="str">
            <v>Schlesinger3</v>
          </cell>
          <cell r="D107" t="str">
            <v>Realized</v>
          </cell>
          <cell r="E107" t="str">
            <v>Logistic Fund I</v>
          </cell>
          <cell r="F107" t="str">
            <v>USD</v>
          </cell>
          <cell r="G107" t="str">
            <v>Last Mile</v>
          </cell>
          <cell r="H107" t="str">
            <v>Atlanta</v>
          </cell>
          <cell r="I107" t="str">
            <v>Stonecrest</v>
          </cell>
          <cell r="J107" t="str">
            <v>GA</v>
          </cell>
          <cell r="K107">
            <v>30038</v>
          </cell>
          <cell r="L107" t="str">
            <v>United States</v>
          </cell>
          <cell r="M107"/>
          <cell r="N107">
            <v>44000</v>
          </cell>
          <cell r="O107">
            <v>1</v>
          </cell>
          <cell r="P107"/>
          <cell r="Q107" t="str">
            <v>Property - Private Equity</v>
          </cell>
          <cell r="R107" t="str">
            <v>Industrial</v>
          </cell>
          <cell r="S107" t="str">
            <v>Warehouse</v>
          </cell>
          <cell r="T107" t="str">
            <v>N/A</v>
          </cell>
          <cell r="U107" t="str">
            <v>Sq. Feet</v>
          </cell>
          <cell r="V107" t="str">
            <v>Value-Add</v>
          </cell>
          <cell r="W107" t="str">
            <v>Industrial / Logistics</v>
          </cell>
          <cell r="X107" t="str">
            <v>Common Equity</v>
          </cell>
          <cell r="Y107"/>
          <cell r="Z107"/>
          <cell r="AA107"/>
          <cell r="AB107"/>
          <cell r="AC107"/>
          <cell r="AD107"/>
          <cell r="AE107"/>
          <cell r="AF107"/>
          <cell r="AG107"/>
          <cell r="AH107"/>
          <cell r="AI107"/>
          <cell r="AJ107"/>
          <cell r="AK107"/>
          <cell r="AL107"/>
          <cell r="AM107"/>
          <cell r="AN107"/>
          <cell r="AO107"/>
          <cell r="AP107"/>
          <cell r="AQ107"/>
          <cell r="AR107"/>
          <cell r="AS107">
            <v>43511</v>
          </cell>
          <cell r="AT107">
            <v>500000</v>
          </cell>
          <cell r="AU107">
            <v>600000</v>
          </cell>
          <cell r="AV107">
            <v>47000</v>
          </cell>
          <cell r="AW107"/>
          <cell r="AX107">
            <v>9.4E-2</v>
          </cell>
          <cell r="AY107"/>
          <cell r="AZ107"/>
          <cell r="BA107">
            <v>0.72</v>
          </cell>
          <cell r="BB107"/>
          <cell r="BC107">
            <v>1</v>
          </cell>
          <cell r="BD107">
            <v>47434.52</v>
          </cell>
          <cell r="BE107">
            <v>29270.11</v>
          </cell>
          <cell r="BF107">
            <v>0</v>
          </cell>
          <cell r="BG107">
            <v>0</v>
          </cell>
          <cell r="BH107"/>
          <cell r="BI107"/>
          <cell r="BJ107">
            <v>600000</v>
          </cell>
        </row>
        <row r="108">
          <cell r="B108" t="str">
            <v>tnw13006</v>
          </cell>
          <cell r="C108" t="str">
            <v>5070 E Raines Rd</v>
          </cell>
          <cell r="D108" t="str">
            <v>Realized</v>
          </cell>
          <cell r="E108" t="str">
            <v>Logistic Fund I</v>
          </cell>
          <cell r="F108" t="str">
            <v>USD</v>
          </cell>
          <cell r="G108" t="str">
            <v>Last Mile</v>
          </cell>
          <cell r="H108" t="str">
            <v>Memphis</v>
          </cell>
          <cell r="I108" t="str">
            <v>Memphis</v>
          </cell>
          <cell r="J108" t="str">
            <v>TN</v>
          </cell>
          <cell r="K108" t="str">
            <v>N/A</v>
          </cell>
          <cell r="L108" t="str">
            <v>United States</v>
          </cell>
          <cell r="M108"/>
          <cell r="N108">
            <v>36000</v>
          </cell>
          <cell r="O108">
            <v>1</v>
          </cell>
          <cell r="P108"/>
          <cell r="Q108" t="str">
            <v>Property - Private Equity</v>
          </cell>
          <cell r="R108" t="str">
            <v>Industrial</v>
          </cell>
          <cell r="S108" t="str">
            <v>Warehouse</v>
          </cell>
          <cell r="T108">
            <v>1985</v>
          </cell>
          <cell r="U108" t="str">
            <v>Sq. Feet</v>
          </cell>
          <cell r="V108" t="str">
            <v>Value-Add</v>
          </cell>
          <cell r="W108" t="str">
            <v>Industrial / Logistics</v>
          </cell>
          <cell r="X108" t="str">
            <v>Common Equity</v>
          </cell>
          <cell r="Y108"/>
          <cell r="Z108"/>
          <cell r="AA108"/>
          <cell r="AB108"/>
          <cell r="AC108"/>
          <cell r="AD108"/>
          <cell r="AE108"/>
          <cell r="AF108"/>
          <cell r="AG108"/>
          <cell r="AH108"/>
          <cell r="AI108"/>
          <cell r="AJ108"/>
          <cell r="AK108"/>
          <cell r="AL108"/>
          <cell r="AM108"/>
          <cell r="AN108"/>
          <cell r="AO108"/>
          <cell r="AP108"/>
          <cell r="AQ108"/>
          <cell r="AR108"/>
          <cell r="AS108">
            <v>43539</v>
          </cell>
          <cell r="AT108">
            <v>1674304</v>
          </cell>
          <cell r="AU108">
            <v>1706347.5540098199</v>
          </cell>
          <cell r="AV108">
            <v>115192.144</v>
          </cell>
          <cell r="AW108"/>
          <cell r="AX108">
            <v>6.880001720117733E-2</v>
          </cell>
          <cell r="AY108"/>
          <cell r="AZ108"/>
          <cell r="BA108">
            <v>0.8</v>
          </cell>
          <cell r="BB108"/>
          <cell r="BC108">
            <v>1</v>
          </cell>
          <cell r="BD108">
            <v>148586.79</v>
          </cell>
          <cell r="BE108">
            <v>159055.26999999999</v>
          </cell>
          <cell r="BF108">
            <v>70153.759999999995</v>
          </cell>
          <cell r="BG108">
            <v>0</v>
          </cell>
          <cell r="BH108"/>
          <cell r="BI108"/>
          <cell r="BJ108">
            <v>1706347.5540098199</v>
          </cell>
        </row>
        <row r="109">
          <cell r="B109" t="str">
            <v>tnwl9001</v>
          </cell>
          <cell r="C109" t="str">
            <v>Willowlake 9</v>
          </cell>
          <cell r="D109" t="str">
            <v>Realized</v>
          </cell>
          <cell r="E109" t="str">
            <v>Logistic Fund I</v>
          </cell>
          <cell r="F109" t="str">
            <v>USD</v>
          </cell>
          <cell r="G109" t="str">
            <v>Last Mile</v>
          </cell>
          <cell r="H109" t="str">
            <v>Memphis</v>
          </cell>
          <cell r="I109" t="str">
            <v>Memphis</v>
          </cell>
          <cell r="J109" t="str">
            <v>TN</v>
          </cell>
          <cell r="K109" t="str">
            <v>N/A</v>
          </cell>
          <cell r="L109" t="str">
            <v>United States</v>
          </cell>
          <cell r="M109"/>
          <cell r="N109">
            <v>50000</v>
          </cell>
          <cell r="O109">
            <v>1</v>
          </cell>
          <cell r="P109"/>
          <cell r="Q109" t="str">
            <v>Property - Private Equity</v>
          </cell>
          <cell r="R109" t="str">
            <v>Industrial</v>
          </cell>
          <cell r="S109" t="str">
            <v>Warehouse</v>
          </cell>
          <cell r="T109" t="str">
            <v>N/A</v>
          </cell>
          <cell r="U109" t="str">
            <v>Sq. Feet</v>
          </cell>
          <cell r="V109" t="str">
            <v>Value-Add</v>
          </cell>
          <cell r="W109" t="str">
            <v>Industrial / Logistics</v>
          </cell>
          <cell r="X109" t="str">
            <v>Common Equity</v>
          </cell>
          <cell r="Y109"/>
          <cell r="Z109"/>
          <cell r="AA109"/>
          <cell r="AB109"/>
          <cell r="AC109"/>
          <cell r="AD109"/>
          <cell r="AE109"/>
          <cell r="AF109"/>
          <cell r="AG109"/>
          <cell r="AH109"/>
          <cell r="AI109"/>
          <cell r="AJ109"/>
          <cell r="AK109"/>
          <cell r="AL109"/>
          <cell r="AM109"/>
          <cell r="AN109"/>
          <cell r="AO109"/>
          <cell r="AP109"/>
          <cell r="AQ109"/>
          <cell r="AR109"/>
          <cell r="AS109">
            <v>43539</v>
          </cell>
          <cell r="AT109">
            <v>1500000</v>
          </cell>
          <cell r="AU109">
            <v>1680000</v>
          </cell>
          <cell r="AV109">
            <v>103500.00000000001</v>
          </cell>
          <cell r="AW109"/>
          <cell r="AX109">
            <v>6.9000000000000006E-2</v>
          </cell>
          <cell r="AY109"/>
          <cell r="AZ109"/>
          <cell r="BA109">
            <v>0.26</v>
          </cell>
          <cell r="BB109"/>
          <cell r="BC109">
            <v>1</v>
          </cell>
          <cell r="BD109">
            <v>-10210.14</v>
          </cell>
          <cell r="BE109">
            <v>-8225.7099999999991</v>
          </cell>
          <cell r="BF109">
            <v>0</v>
          </cell>
          <cell r="BG109">
            <v>0</v>
          </cell>
          <cell r="BH109"/>
          <cell r="BI109"/>
          <cell r="BJ109">
            <v>1680000</v>
          </cell>
        </row>
        <row r="110">
          <cell r="B110" t="str">
            <v>tnwl1002</v>
          </cell>
          <cell r="C110" t="str">
            <v>5300 E Raines Rd</v>
          </cell>
          <cell r="D110" t="str">
            <v>Realized</v>
          </cell>
          <cell r="E110" t="str">
            <v>Logistic Fund I</v>
          </cell>
          <cell r="F110" t="str">
            <v>USD</v>
          </cell>
          <cell r="G110" t="str">
            <v>Last Mile</v>
          </cell>
          <cell r="H110" t="str">
            <v>Memphis</v>
          </cell>
          <cell r="I110" t="str">
            <v>Memphis</v>
          </cell>
          <cell r="J110" t="str">
            <v>TN</v>
          </cell>
          <cell r="K110" t="str">
            <v>N/A</v>
          </cell>
          <cell r="L110" t="str">
            <v>United States</v>
          </cell>
          <cell r="M110"/>
          <cell r="N110">
            <v>78299</v>
          </cell>
          <cell r="O110">
            <v>1</v>
          </cell>
          <cell r="P110"/>
          <cell r="Q110" t="str">
            <v>Property - Private Equity</v>
          </cell>
          <cell r="R110" t="str">
            <v>Industrial</v>
          </cell>
          <cell r="S110" t="str">
            <v>Warehouse</v>
          </cell>
          <cell r="T110">
            <v>1990</v>
          </cell>
          <cell r="U110" t="str">
            <v>Sq. Feet</v>
          </cell>
          <cell r="V110" t="str">
            <v>Value-Add</v>
          </cell>
          <cell r="W110" t="str">
            <v>Industrial / Logistics</v>
          </cell>
          <cell r="X110" t="str">
            <v>Common Equity</v>
          </cell>
          <cell r="Y110"/>
          <cell r="Z110"/>
          <cell r="AA110"/>
          <cell r="AB110"/>
          <cell r="AC110"/>
          <cell r="AD110"/>
          <cell r="AE110"/>
          <cell r="AF110"/>
          <cell r="AG110"/>
          <cell r="AH110"/>
          <cell r="AI110"/>
          <cell r="AJ110"/>
          <cell r="AK110"/>
          <cell r="AL110"/>
          <cell r="AM110"/>
          <cell r="AN110"/>
          <cell r="AO110"/>
          <cell r="AP110"/>
          <cell r="AQ110"/>
          <cell r="AR110"/>
          <cell r="AS110">
            <v>43539</v>
          </cell>
          <cell r="AT110">
            <v>2917349</v>
          </cell>
          <cell r="AU110">
            <v>2973181.34410802</v>
          </cell>
          <cell r="AV110">
            <v>200713.58429999999</v>
          </cell>
          <cell r="AW110"/>
          <cell r="AX110">
            <v>6.8799990779299963E-2</v>
          </cell>
          <cell r="AY110"/>
          <cell r="AZ110"/>
          <cell r="BA110">
            <v>0.8</v>
          </cell>
          <cell r="BB110"/>
          <cell r="BC110">
            <v>1</v>
          </cell>
          <cell r="BD110">
            <v>-399216.58</v>
          </cell>
          <cell r="BE110">
            <v>-197405</v>
          </cell>
          <cell r="BF110">
            <v>189295.84</v>
          </cell>
          <cell r="BG110">
            <v>0</v>
          </cell>
          <cell r="BH110"/>
          <cell r="BI110"/>
          <cell r="BJ110">
            <v>2973181.34410802</v>
          </cell>
        </row>
        <row r="111">
          <cell r="B111" t="str">
            <v>tnwl7005</v>
          </cell>
          <cell r="C111" t="str">
            <v>5146 E Raines Rd</v>
          </cell>
          <cell r="D111" t="str">
            <v>Realized</v>
          </cell>
          <cell r="E111" t="str">
            <v>Logistic Fund I</v>
          </cell>
          <cell r="F111" t="str">
            <v>USD</v>
          </cell>
          <cell r="G111" t="str">
            <v>Last Mile</v>
          </cell>
          <cell r="H111" t="str">
            <v>Memphis</v>
          </cell>
          <cell r="I111" t="str">
            <v>Memphis</v>
          </cell>
          <cell r="J111" t="str">
            <v>TN</v>
          </cell>
          <cell r="K111" t="str">
            <v>N/A</v>
          </cell>
          <cell r="L111" t="str">
            <v>United States</v>
          </cell>
          <cell r="M111"/>
          <cell r="N111">
            <v>86700</v>
          </cell>
          <cell r="O111">
            <v>1</v>
          </cell>
          <cell r="P111"/>
          <cell r="Q111" t="str">
            <v>Property - Private Equity</v>
          </cell>
          <cell r="R111" t="str">
            <v>Industrial</v>
          </cell>
          <cell r="S111" t="str">
            <v>Warehouse</v>
          </cell>
          <cell r="T111">
            <v>1986</v>
          </cell>
          <cell r="U111" t="str">
            <v>Sq. Feet</v>
          </cell>
          <cell r="V111" t="str">
            <v>Value-Add</v>
          </cell>
          <cell r="W111" t="str">
            <v>Industrial / Logistics</v>
          </cell>
          <cell r="X111" t="str">
            <v>Common Equity</v>
          </cell>
          <cell r="Y111"/>
          <cell r="Z111"/>
          <cell r="AA111"/>
          <cell r="AB111"/>
          <cell r="AC111"/>
          <cell r="AD111"/>
          <cell r="AE111"/>
          <cell r="AF111"/>
          <cell r="AG111"/>
          <cell r="AH111"/>
          <cell r="AI111"/>
          <cell r="AJ111"/>
          <cell r="AK111"/>
          <cell r="AL111"/>
          <cell r="AM111"/>
          <cell r="AN111"/>
          <cell r="AO111"/>
          <cell r="AP111"/>
          <cell r="AQ111"/>
          <cell r="AR111"/>
          <cell r="AS111">
            <v>43539</v>
          </cell>
          <cell r="AT111">
            <v>2841244</v>
          </cell>
          <cell r="AU111">
            <v>2895620.0916530276</v>
          </cell>
          <cell r="AV111">
            <v>195477.57769999999</v>
          </cell>
          <cell r="AW111"/>
          <cell r="AX111">
            <v>6.8799996656394163E-2</v>
          </cell>
          <cell r="AY111"/>
          <cell r="AZ111"/>
          <cell r="BA111">
            <v>0.8</v>
          </cell>
          <cell r="BB111"/>
          <cell r="BC111">
            <v>1</v>
          </cell>
          <cell r="BD111">
            <v>260443.44</v>
          </cell>
          <cell r="BE111">
            <v>208743.3</v>
          </cell>
          <cell r="BF111">
            <v>91614.74</v>
          </cell>
          <cell r="BG111">
            <v>0</v>
          </cell>
          <cell r="BH111"/>
          <cell r="BI111"/>
          <cell r="BJ111">
            <v>2895620.0916530276</v>
          </cell>
        </row>
        <row r="112">
          <cell r="B112" t="str">
            <v>tnwl4003</v>
          </cell>
          <cell r="C112" t="str">
            <v>4002 Willow Lake Blvd</v>
          </cell>
          <cell r="D112" t="str">
            <v>Realized</v>
          </cell>
          <cell r="E112" t="str">
            <v>Logistic Fund I</v>
          </cell>
          <cell r="F112" t="str">
            <v>USD</v>
          </cell>
          <cell r="G112" t="str">
            <v>Last Mile</v>
          </cell>
          <cell r="H112" t="str">
            <v>Memphis</v>
          </cell>
          <cell r="I112" t="str">
            <v>Memphis</v>
          </cell>
          <cell r="J112" t="str">
            <v>TN</v>
          </cell>
          <cell r="K112" t="str">
            <v>N/A</v>
          </cell>
          <cell r="L112" t="str">
            <v>United States</v>
          </cell>
          <cell r="M112"/>
          <cell r="N112">
            <v>100000</v>
          </cell>
          <cell r="O112">
            <v>1</v>
          </cell>
          <cell r="P112"/>
          <cell r="Q112" t="str">
            <v>Property - Private Equity</v>
          </cell>
          <cell r="R112" t="str">
            <v>Industrial</v>
          </cell>
          <cell r="S112" t="str">
            <v>Warehouse</v>
          </cell>
          <cell r="T112">
            <v>1989</v>
          </cell>
          <cell r="U112" t="str">
            <v>Sq. Feet</v>
          </cell>
          <cell r="V112" t="str">
            <v>Value-Add</v>
          </cell>
          <cell r="W112" t="str">
            <v>Industrial / Logistics</v>
          </cell>
          <cell r="X112" t="str">
            <v>Common Equity</v>
          </cell>
          <cell r="Y112"/>
          <cell r="Z112"/>
          <cell r="AA112"/>
          <cell r="AB112"/>
          <cell r="AC112"/>
          <cell r="AD112"/>
          <cell r="AE112"/>
          <cell r="AF112"/>
          <cell r="AG112"/>
          <cell r="AH112"/>
          <cell r="AI112"/>
          <cell r="AJ112"/>
          <cell r="AK112"/>
          <cell r="AL112"/>
          <cell r="AM112"/>
          <cell r="AN112"/>
          <cell r="AO112"/>
          <cell r="AP112"/>
          <cell r="AQ112"/>
          <cell r="AR112"/>
          <cell r="AS112">
            <v>43539</v>
          </cell>
          <cell r="AT112">
            <v>3044190</v>
          </cell>
          <cell r="AU112">
            <v>3102450.0981996725</v>
          </cell>
          <cell r="AV112">
            <v>209440.26190000001</v>
          </cell>
          <cell r="AW112"/>
          <cell r="AX112">
            <v>6.8799996682204462E-2</v>
          </cell>
          <cell r="AY112"/>
          <cell r="AZ112"/>
          <cell r="BA112">
            <v>0.8</v>
          </cell>
          <cell r="BB112"/>
          <cell r="BC112">
            <v>1</v>
          </cell>
          <cell r="BD112">
            <v>369581.59</v>
          </cell>
          <cell r="BE112">
            <v>192638.97</v>
          </cell>
          <cell r="BF112">
            <v>160277.89000000001</v>
          </cell>
          <cell r="BG112">
            <v>0</v>
          </cell>
          <cell r="BH112"/>
          <cell r="BI112"/>
          <cell r="BJ112">
            <v>3102450.0981996725</v>
          </cell>
        </row>
        <row r="113">
          <cell r="B113" t="str">
            <v>tnwl5004</v>
          </cell>
          <cell r="C113" t="str">
            <v>3960 WIllow lake Blvd</v>
          </cell>
          <cell r="D113" t="str">
            <v>Realized</v>
          </cell>
          <cell r="E113" t="str">
            <v>Logistic Fund I</v>
          </cell>
          <cell r="F113" t="str">
            <v>USD</v>
          </cell>
          <cell r="G113" t="str">
            <v>Last Mile</v>
          </cell>
          <cell r="H113" t="str">
            <v>Memphis</v>
          </cell>
          <cell r="I113" t="str">
            <v>Memphis</v>
          </cell>
          <cell r="J113" t="str">
            <v>TN</v>
          </cell>
          <cell r="K113" t="str">
            <v>N/A</v>
          </cell>
          <cell r="L113" t="str">
            <v>United States</v>
          </cell>
          <cell r="M113"/>
          <cell r="N113">
            <v>118400</v>
          </cell>
          <cell r="O113">
            <v>1</v>
          </cell>
          <cell r="P113"/>
          <cell r="Q113" t="str">
            <v>Property - Private Equity</v>
          </cell>
          <cell r="R113" t="str">
            <v>Industrial</v>
          </cell>
          <cell r="S113" t="str">
            <v>Warehouse</v>
          </cell>
          <cell r="T113">
            <v>1991</v>
          </cell>
          <cell r="U113" t="str">
            <v>Sq. Feet</v>
          </cell>
          <cell r="V113" t="str">
            <v>Value-Add</v>
          </cell>
          <cell r="W113" t="str">
            <v>Industrial / Logistics</v>
          </cell>
          <cell r="X113" t="str">
            <v>Common Equity</v>
          </cell>
          <cell r="Y113"/>
          <cell r="Z113"/>
          <cell r="AA113"/>
          <cell r="AB113"/>
          <cell r="AC113"/>
          <cell r="AD113"/>
          <cell r="AE113"/>
          <cell r="AF113"/>
          <cell r="AG113"/>
          <cell r="AH113"/>
          <cell r="AI113"/>
          <cell r="AJ113"/>
          <cell r="AK113"/>
          <cell r="AL113"/>
          <cell r="AM113"/>
          <cell r="AN113"/>
          <cell r="AO113"/>
          <cell r="AP113"/>
          <cell r="AQ113"/>
          <cell r="AR113"/>
          <cell r="AS113">
            <v>43539</v>
          </cell>
          <cell r="AT113">
            <v>3500818</v>
          </cell>
          <cell r="AU113">
            <v>3567817.6129296236</v>
          </cell>
          <cell r="AV113">
            <v>240856.30110000001</v>
          </cell>
          <cell r="AW113"/>
          <cell r="AX113">
            <v>6.8800006484198845E-2</v>
          </cell>
          <cell r="AY113"/>
          <cell r="AZ113"/>
          <cell r="BA113">
            <v>0.8</v>
          </cell>
          <cell r="BB113"/>
          <cell r="BC113">
            <v>1</v>
          </cell>
          <cell r="BD113">
            <v>111240.74</v>
          </cell>
          <cell r="BE113">
            <v>82759.490000000005</v>
          </cell>
          <cell r="BF113">
            <v>129140.11</v>
          </cell>
          <cell r="BG113">
            <v>0</v>
          </cell>
          <cell r="BH113"/>
          <cell r="BI113"/>
          <cell r="BJ113">
            <v>3567817.6129296236</v>
          </cell>
        </row>
        <row r="114">
          <cell r="B114" t="str">
            <v>gacn011</v>
          </cell>
          <cell r="C114" t="str">
            <v>1417 Parker Road</v>
          </cell>
          <cell r="D114" t="str">
            <v>Realized</v>
          </cell>
          <cell r="E114" t="str">
            <v>Logistic Fund I</v>
          </cell>
          <cell r="F114" t="str">
            <v>USD</v>
          </cell>
          <cell r="G114" t="str">
            <v>Last Mile</v>
          </cell>
          <cell r="H114" t="str">
            <v>Atlanta</v>
          </cell>
          <cell r="I114" t="str">
            <v>Conyers</v>
          </cell>
          <cell r="J114" t="str">
            <v>GA</v>
          </cell>
          <cell r="K114">
            <v>30094</v>
          </cell>
          <cell r="L114" t="str">
            <v>United States</v>
          </cell>
          <cell r="M114"/>
          <cell r="N114">
            <v>18000</v>
          </cell>
          <cell r="O114">
            <v>1</v>
          </cell>
          <cell r="P114"/>
          <cell r="Q114" t="str">
            <v>Property - Private Equity</v>
          </cell>
          <cell r="R114" t="str">
            <v>Industrial</v>
          </cell>
          <cell r="S114" t="str">
            <v>Warehouse</v>
          </cell>
          <cell r="T114">
            <v>1985</v>
          </cell>
          <cell r="U114" t="str">
            <v>Sq. Feet</v>
          </cell>
          <cell r="V114" t="str">
            <v>Value-Add</v>
          </cell>
          <cell r="W114" t="str">
            <v>Industrial / Logistics</v>
          </cell>
          <cell r="X114" t="str">
            <v>Common Equity</v>
          </cell>
          <cell r="Y114"/>
          <cell r="Z114"/>
          <cell r="AA114"/>
          <cell r="AB114"/>
          <cell r="AC114"/>
          <cell r="AD114"/>
          <cell r="AE114"/>
          <cell r="AF114"/>
          <cell r="AG114"/>
          <cell r="AH114"/>
          <cell r="AI114"/>
          <cell r="AJ114"/>
          <cell r="AK114"/>
          <cell r="AL114"/>
          <cell r="AM114"/>
          <cell r="AN114"/>
          <cell r="AO114"/>
          <cell r="AP114"/>
          <cell r="AQ114"/>
          <cell r="AR114"/>
          <cell r="AS114">
            <v>43544</v>
          </cell>
          <cell r="AT114">
            <v>854602</v>
          </cell>
          <cell r="AU114">
            <v>889433.57495575224</v>
          </cell>
          <cell r="AV114">
            <v>81443.548670000004</v>
          </cell>
          <cell r="AW114"/>
          <cell r="AX114">
            <v>9.5299974338932045E-2</v>
          </cell>
          <cell r="AY114"/>
          <cell r="AZ114"/>
          <cell r="BA114">
            <v>1</v>
          </cell>
          <cell r="BB114"/>
          <cell r="BC114">
            <v>1</v>
          </cell>
          <cell r="BD114">
            <v>62677.95</v>
          </cell>
          <cell r="BE114">
            <v>75622.63</v>
          </cell>
          <cell r="BF114">
            <v>56941.91</v>
          </cell>
          <cell r="BG114">
            <v>0</v>
          </cell>
          <cell r="BH114"/>
          <cell r="BI114"/>
          <cell r="BJ114">
            <v>889433.57495575224</v>
          </cell>
        </row>
        <row r="115">
          <cell r="B115" t="str">
            <v>gacn010</v>
          </cell>
          <cell r="C115" t="str">
            <v>1479 Parker Road</v>
          </cell>
          <cell r="D115" t="str">
            <v>Realized</v>
          </cell>
          <cell r="E115" t="str">
            <v>Logistic Fund I</v>
          </cell>
          <cell r="F115" t="str">
            <v>USD</v>
          </cell>
          <cell r="G115" t="str">
            <v>Last Mile</v>
          </cell>
          <cell r="H115" t="str">
            <v>Atlanta</v>
          </cell>
          <cell r="I115" t="str">
            <v>Conyers</v>
          </cell>
          <cell r="J115" t="str">
            <v>GA</v>
          </cell>
          <cell r="K115">
            <v>30094</v>
          </cell>
          <cell r="L115" t="str">
            <v>United States</v>
          </cell>
          <cell r="M115"/>
          <cell r="N115">
            <v>18600</v>
          </cell>
          <cell r="O115">
            <v>1</v>
          </cell>
          <cell r="P115"/>
          <cell r="Q115" t="str">
            <v>Property - Private Equity</v>
          </cell>
          <cell r="R115" t="str">
            <v>Industrial</v>
          </cell>
          <cell r="S115" t="str">
            <v>Warehouse</v>
          </cell>
          <cell r="T115">
            <v>1989</v>
          </cell>
          <cell r="U115" t="str">
            <v>Sq. Feet</v>
          </cell>
          <cell r="V115" t="str">
            <v>Value-Add</v>
          </cell>
          <cell r="W115" t="str">
            <v>Industrial / Logistics</v>
          </cell>
          <cell r="X115" t="str">
            <v>Common Equity</v>
          </cell>
          <cell r="Y115"/>
          <cell r="Z115"/>
          <cell r="AA115"/>
          <cell r="AB115"/>
          <cell r="AC115"/>
          <cell r="AD115"/>
          <cell r="AE115"/>
          <cell r="AF115"/>
          <cell r="AG115"/>
          <cell r="AH115"/>
          <cell r="AI115"/>
          <cell r="AJ115"/>
          <cell r="AK115"/>
          <cell r="AL115"/>
          <cell r="AM115"/>
          <cell r="AN115"/>
          <cell r="AO115"/>
          <cell r="AP115"/>
          <cell r="AQ115"/>
          <cell r="AR115"/>
          <cell r="AS115">
            <v>43544</v>
          </cell>
          <cell r="AT115">
            <v>893894</v>
          </cell>
          <cell r="AU115">
            <v>930327.07265486731</v>
          </cell>
          <cell r="AV115">
            <v>85188.07965</v>
          </cell>
          <cell r="AW115"/>
          <cell r="AX115">
            <v>9.5299979248098771E-2</v>
          </cell>
          <cell r="AY115"/>
          <cell r="AZ115"/>
          <cell r="BA115">
            <v>1</v>
          </cell>
          <cell r="BB115"/>
          <cell r="BC115">
            <v>1</v>
          </cell>
          <cell r="BD115">
            <v>51342.39</v>
          </cell>
          <cell r="BE115">
            <v>107903.82</v>
          </cell>
          <cell r="BF115">
            <v>53361.25</v>
          </cell>
          <cell r="BG115">
            <v>0</v>
          </cell>
          <cell r="BH115"/>
          <cell r="BI115"/>
          <cell r="BJ115">
            <v>930327.07265486731</v>
          </cell>
        </row>
        <row r="116">
          <cell r="B116" t="str">
            <v>gaold008</v>
          </cell>
          <cell r="C116" t="str">
            <v>1721 Old Covington</v>
          </cell>
          <cell r="D116" t="str">
            <v>Realized</v>
          </cell>
          <cell r="E116" t="str">
            <v>Logistic Fund I</v>
          </cell>
          <cell r="F116" t="str">
            <v>USD</v>
          </cell>
          <cell r="G116" t="str">
            <v>Last Mile</v>
          </cell>
          <cell r="H116" t="str">
            <v>Atlanta</v>
          </cell>
          <cell r="I116" t="str">
            <v>Conyers</v>
          </cell>
          <cell r="J116" t="str">
            <v>GA</v>
          </cell>
          <cell r="K116">
            <v>30013</v>
          </cell>
          <cell r="L116" t="str">
            <v>United States</v>
          </cell>
          <cell r="M116"/>
          <cell r="N116">
            <v>33750</v>
          </cell>
          <cell r="O116">
            <v>1</v>
          </cell>
          <cell r="P116"/>
          <cell r="Q116" t="str">
            <v>Property - Private Equity</v>
          </cell>
          <cell r="R116" t="str">
            <v>Industrial</v>
          </cell>
          <cell r="S116" t="str">
            <v>Warehouse</v>
          </cell>
          <cell r="T116">
            <v>1976</v>
          </cell>
          <cell r="U116" t="str">
            <v>Sq. Feet</v>
          </cell>
          <cell r="V116" t="str">
            <v>Value-Add</v>
          </cell>
          <cell r="W116" t="str">
            <v>Industrial / Logistics</v>
          </cell>
          <cell r="X116" t="str">
            <v>Common Equity</v>
          </cell>
          <cell r="Y116"/>
          <cell r="Z116"/>
          <cell r="AA116"/>
          <cell r="AB116"/>
          <cell r="AC116"/>
          <cell r="AD116"/>
          <cell r="AE116"/>
          <cell r="AF116"/>
          <cell r="AG116"/>
          <cell r="AH116"/>
          <cell r="AI116"/>
          <cell r="AJ116"/>
          <cell r="AK116"/>
          <cell r="AL116"/>
          <cell r="AM116"/>
          <cell r="AN116"/>
          <cell r="AO116"/>
          <cell r="AP116"/>
          <cell r="AQ116"/>
          <cell r="AR116"/>
          <cell r="AS116">
            <v>43544</v>
          </cell>
          <cell r="AT116">
            <v>1140000</v>
          </cell>
          <cell r="AU116">
            <v>1200871.1399999999</v>
          </cell>
          <cell r="AV116">
            <v>108642</v>
          </cell>
          <cell r="AW116"/>
          <cell r="AX116">
            <v>9.5299999999999996E-2</v>
          </cell>
          <cell r="AY116"/>
          <cell r="AZ116"/>
          <cell r="BA116">
            <v>1</v>
          </cell>
          <cell r="BB116"/>
          <cell r="BC116">
            <v>1</v>
          </cell>
          <cell r="BD116">
            <v>89530.08</v>
          </cell>
          <cell r="BE116">
            <v>111897.60000000001</v>
          </cell>
          <cell r="BF116">
            <v>95797.9</v>
          </cell>
          <cell r="BG116">
            <v>0</v>
          </cell>
          <cell r="BH116"/>
          <cell r="BI116"/>
          <cell r="BJ116">
            <v>1200871.1399999999</v>
          </cell>
        </row>
        <row r="117">
          <cell r="B117" t="str">
            <v>gacn012</v>
          </cell>
          <cell r="C117" t="str">
            <v>1390 Business Center Dr</v>
          </cell>
          <cell r="D117" t="str">
            <v>Realized</v>
          </cell>
          <cell r="E117" t="str">
            <v>Logistic Fund I</v>
          </cell>
          <cell r="F117" t="str">
            <v>USD</v>
          </cell>
          <cell r="G117" t="str">
            <v>Last Mile</v>
          </cell>
          <cell r="H117" t="str">
            <v>Atlanta</v>
          </cell>
          <cell r="I117" t="str">
            <v>Conyers</v>
          </cell>
          <cell r="J117" t="str">
            <v>GA</v>
          </cell>
          <cell r="K117">
            <v>30094</v>
          </cell>
          <cell r="L117" t="str">
            <v>United States</v>
          </cell>
          <cell r="M117"/>
          <cell r="N117">
            <v>36750</v>
          </cell>
          <cell r="O117">
            <v>1</v>
          </cell>
          <cell r="P117"/>
          <cell r="Q117" t="str">
            <v>Property - Private Equity</v>
          </cell>
          <cell r="R117" t="str">
            <v>Industrial</v>
          </cell>
          <cell r="S117" t="str">
            <v>Warehouse</v>
          </cell>
          <cell r="T117">
            <v>1986</v>
          </cell>
          <cell r="U117" t="str">
            <v>Sq. Feet</v>
          </cell>
          <cell r="V117" t="str">
            <v>Value-Add</v>
          </cell>
          <cell r="W117" t="str">
            <v>Industrial / Logistics</v>
          </cell>
          <cell r="X117" t="str">
            <v>Common Equity</v>
          </cell>
          <cell r="Y117"/>
          <cell r="Z117"/>
          <cell r="AA117"/>
          <cell r="AB117"/>
          <cell r="AC117"/>
          <cell r="AD117"/>
          <cell r="AE117"/>
          <cell r="AF117"/>
          <cell r="AG117"/>
          <cell r="AH117"/>
          <cell r="AI117"/>
          <cell r="AJ117"/>
          <cell r="AK117"/>
          <cell r="AL117"/>
          <cell r="AM117"/>
          <cell r="AN117"/>
          <cell r="AO117"/>
          <cell r="AP117"/>
          <cell r="AQ117"/>
          <cell r="AR117"/>
          <cell r="AS117">
            <v>43544</v>
          </cell>
          <cell r="AT117">
            <v>1581504</v>
          </cell>
          <cell r="AU117">
            <v>1645963.2823893805</v>
          </cell>
          <cell r="AV117">
            <v>150717.37169999999</v>
          </cell>
          <cell r="AW117"/>
          <cell r="AX117">
            <v>9.530002560853465E-2</v>
          </cell>
          <cell r="AY117"/>
          <cell r="AZ117"/>
          <cell r="BA117">
            <v>1</v>
          </cell>
          <cell r="BB117"/>
          <cell r="BC117">
            <v>1</v>
          </cell>
          <cell r="BD117">
            <v>115573.66</v>
          </cell>
          <cell r="BE117">
            <v>132065.06</v>
          </cell>
          <cell r="BF117">
            <v>93016.06</v>
          </cell>
          <cell r="BG117">
            <v>0</v>
          </cell>
          <cell r="BH117"/>
          <cell r="BI117"/>
          <cell r="BJ117">
            <v>1645963.2823893805</v>
          </cell>
        </row>
        <row r="118">
          <cell r="B118" t="str">
            <v>gasto009</v>
          </cell>
          <cell r="C118" t="str">
            <v>7217 Daniel Drive</v>
          </cell>
          <cell r="D118" t="str">
            <v>Realized</v>
          </cell>
          <cell r="E118" t="str">
            <v>Logistic Fund I</v>
          </cell>
          <cell r="F118" t="str">
            <v>USD</v>
          </cell>
          <cell r="G118" t="str">
            <v>Last Mile</v>
          </cell>
          <cell r="H118" t="str">
            <v>Atlanta</v>
          </cell>
          <cell r="I118" t="str">
            <v>Stockbridge</v>
          </cell>
          <cell r="J118" t="str">
            <v>GA</v>
          </cell>
          <cell r="K118">
            <v>30281</v>
          </cell>
          <cell r="L118" t="str">
            <v>United States</v>
          </cell>
          <cell r="M118"/>
          <cell r="N118">
            <v>40200</v>
          </cell>
          <cell r="O118">
            <v>1</v>
          </cell>
          <cell r="P118"/>
          <cell r="Q118" t="str">
            <v>Property - Private Equity</v>
          </cell>
          <cell r="R118" t="str">
            <v>Industrial</v>
          </cell>
          <cell r="S118" t="str">
            <v>Warehouse</v>
          </cell>
          <cell r="T118">
            <v>1999</v>
          </cell>
          <cell r="U118" t="str">
            <v>Sq. Feet</v>
          </cell>
          <cell r="V118" t="str">
            <v>Value-Add</v>
          </cell>
          <cell r="W118" t="str">
            <v>Industrial / Logistics</v>
          </cell>
          <cell r="X118" t="str">
            <v>Common Equity</v>
          </cell>
          <cell r="Y118"/>
          <cell r="Z118"/>
          <cell r="AA118"/>
          <cell r="AB118"/>
          <cell r="AC118"/>
          <cell r="AD118"/>
          <cell r="AE118"/>
          <cell r="AF118"/>
          <cell r="AG118"/>
          <cell r="AH118"/>
          <cell r="AI118"/>
          <cell r="AJ118"/>
          <cell r="AK118"/>
          <cell r="AL118"/>
          <cell r="AM118"/>
          <cell r="AN118"/>
          <cell r="AO118"/>
          <cell r="AP118"/>
          <cell r="AQ118"/>
          <cell r="AR118"/>
          <cell r="AS118">
            <v>43544</v>
          </cell>
          <cell r="AT118">
            <v>1850000</v>
          </cell>
          <cell r="AU118">
            <v>1940306.01</v>
          </cell>
          <cell r="AV118">
            <v>176305</v>
          </cell>
          <cell r="AW118"/>
          <cell r="AX118">
            <v>9.5299999999999996E-2</v>
          </cell>
          <cell r="AY118"/>
          <cell r="AZ118"/>
          <cell r="BA118">
            <v>1</v>
          </cell>
          <cell r="BB118"/>
          <cell r="BC118">
            <v>1</v>
          </cell>
          <cell r="BD118">
            <v>145923.04</v>
          </cell>
          <cell r="BE118">
            <v>138650.43</v>
          </cell>
          <cell r="BF118">
            <v>87410.14</v>
          </cell>
          <cell r="BG118">
            <v>0</v>
          </cell>
          <cell r="BH118"/>
          <cell r="BI118"/>
          <cell r="BJ118">
            <v>1940306.01</v>
          </cell>
        </row>
        <row r="119">
          <cell r="B119" t="str">
            <v>tndan007</v>
          </cell>
          <cell r="C119" t="str">
            <v>761 S Danny Thomas Drive</v>
          </cell>
          <cell r="D119" t="str">
            <v>Realized</v>
          </cell>
          <cell r="E119" t="str">
            <v>Logistic Fund I</v>
          </cell>
          <cell r="F119" t="str">
            <v>USD</v>
          </cell>
          <cell r="G119" t="str">
            <v>Last Mile</v>
          </cell>
          <cell r="H119" t="str">
            <v>Memphis</v>
          </cell>
          <cell r="I119" t="str">
            <v>Memphis</v>
          </cell>
          <cell r="J119" t="str">
            <v>TN</v>
          </cell>
          <cell r="K119">
            <v>38126</v>
          </cell>
          <cell r="L119" t="str">
            <v>United States</v>
          </cell>
          <cell r="M119"/>
          <cell r="N119">
            <v>100100</v>
          </cell>
          <cell r="O119">
            <v>1</v>
          </cell>
          <cell r="P119"/>
          <cell r="Q119" t="str">
            <v>Property - Private Equity</v>
          </cell>
          <cell r="R119" t="str">
            <v>Industrial</v>
          </cell>
          <cell r="S119" t="str">
            <v>Warehouse</v>
          </cell>
          <cell r="T119">
            <v>1969</v>
          </cell>
          <cell r="U119" t="str">
            <v>Sq. Feet</v>
          </cell>
          <cell r="V119" t="str">
            <v>Value-Add</v>
          </cell>
          <cell r="W119" t="str">
            <v>Industrial / Logistics</v>
          </cell>
          <cell r="X119" t="str">
            <v>Common Equity</v>
          </cell>
          <cell r="Y119"/>
          <cell r="Z119"/>
          <cell r="AA119"/>
          <cell r="AB119"/>
          <cell r="AC119"/>
          <cell r="AD119"/>
          <cell r="AE119"/>
          <cell r="AF119"/>
          <cell r="AG119"/>
          <cell r="AH119"/>
          <cell r="AI119"/>
          <cell r="AJ119"/>
          <cell r="AK119"/>
          <cell r="AL119"/>
          <cell r="AM119"/>
          <cell r="AN119"/>
          <cell r="AO119"/>
          <cell r="AP119"/>
          <cell r="AQ119"/>
          <cell r="AR119"/>
          <cell r="AS119">
            <v>43614</v>
          </cell>
          <cell r="AT119">
            <v>1300000</v>
          </cell>
          <cell r="AU119">
            <v>1353957.2068925505</v>
          </cell>
          <cell r="AV119">
            <v>142870</v>
          </cell>
          <cell r="AW119"/>
          <cell r="AX119">
            <v>0.1099</v>
          </cell>
          <cell r="AY119"/>
          <cell r="AZ119"/>
          <cell r="BA119">
            <v>0.85</v>
          </cell>
          <cell r="BB119"/>
          <cell r="BC119">
            <v>1</v>
          </cell>
          <cell r="BD119">
            <v>56069.85</v>
          </cell>
          <cell r="BE119">
            <v>170034.31</v>
          </cell>
          <cell r="BF119">
            <v>123124.21</v>
          </cell>
          <cell r="BG119">
            <v>0</v>
          </cell>
          <cell r="BH119"/>
          <cell r="BI119"/>
          <cell r="BJ119">
            <v>1353957.2068925505</v>
          </cell>
        </row>
        <row r="120">
          <cell r="B120" t="str">
            <v>gahaz013</v>
          </cell>
          <cell r="C120" t="str">
            <v>8306 Hazelbrand Road</v>
          </cell>
          <cell r="D120" t="str">
            <v>Realized</v>
          </cell>
          <cell r="E120" t="str">
            <v>Logistic Fund I</v>
          </cell>
          <cell r="F120" t="str">
            <v>USD</v>
          </cell>
          <cell r="G120" t="str">
            <v>Last Mile</v>
          </cell>
          <cell r="H120" t="str">
            <v>Atlanta</v>
          </cell>
          <cell r="I120" t="str">
            <v>Covington</v>
          </cell>
          <cell r="J120" t="str">
            <v>GA</v>
          </cell>
          <cell r="K120">
            <v>30014</v>
          </cell>
          <cell r="L120" t="str">
            <v>United States</v>
          </cell>
          <cell r="M120"/>
          <cell r="N120">
            <v>73500</v>
          </cell>
          <cell r="O120">
            <v>1</v>
          </cell>
          <cell r="P120"/>
          <cell r="Q120" t="str">
            <v>Property - Private Equity</v>
          </cell>
          <cell r="R120" t="str">
            <v>Industrial</v>
          </cell>
          <cell r="S120" t="str">
            <v>Warehouse</v>
          </cell>
          <cell r="T120">
            <v>1978</v>
          </cell>
          <cell r="U120" t="str">
            <v>Sq. Feet</v>
          </cell>
          <cell r="V120" t="str">
            <v>Value-Add</v>
          </cell>
          <cell r="W120" t="str">
            <v>Industrial / Logistics</v>
          </cell>
          <cell r="X120" t="str">
            <v>Common Equity</v>
          </cell>
          <cell r="Y120"/>
          <cell r="Z120"/>
          <cell r="AA120"/>
          <cell r="AB120"/>
          <cell r="AC120"/>
          <cell r="AD120"/>
          <cell r="AE120"/>
          <cell r="AF120"/>
          <cell r="AG120"/>
          <cell r="AH120"/>
          <cell r="AI120"/>
          <cell r="AJ120"/>
          <cell r="AK120"/>
          <cell r="AL120"/>
          <cell r="AM120"/>
          <cell r="AN120"/>
          <cell r="AO120"/>
          <cell r="AP120"/>
          <cell r="AQ120"/>
          <cell r="AR120"/>
          <cell r="AS120">
            <v>43647</v>
          </cell>
          <cell r="AT120">
            <v>2000000</v>
          </cell>
          <cell r="AU120">
            <v>2080509.8259885395</v>
          </cell>
          <cell r="AV120">
            <v>192000</v>
          </cell>
          <cell r="AW120"/>
          <cell r="AX120">
            <v>9.6000000000000002E-2</v>
          </cell>
          <cell r="AY120"/>
          <cell r="AZ120"/>
          <cell r="BA120">
            <v>1</v>
          </cell>
          <cell r="BB120"/>
          <cell r="BC120">
            <v>1</v>
          </cell>
          <cell r="BD120">
            <v>165840.10999999999</v>
          </cell>
          <cell r="BE120">
            <v>180705.48</v>
          </cell>
          <cell r="BF120">
            <v>117334.73</v>
          </cell>
          <cell r="BG120">
            <v>0</v>
          </cell>
          <cell r="BH120"/>
          <cell r="BI120"/>
          <cell r="BJ120">
            <v>2080509.8259885395</v>
          </cell>
        </row>
        <row r="121">
          <cell r="B121" t="str">
            <v>ohhon001</v>
          </cell>
          <cell r="C121" t="str">
            <v>7100 Dixie Hwy</v>
          </cell>
          <cell r="D121" t="str">
            <v>Realized</v>
          </cell>
          <cell r="E121" t="str">
            <v>Logistic Fund I</v>
          </cell>
          <cell r="F121" t="str">
            <v>USD</v>
          </cell>
          <cell r="G121" t="str">
            <v>Last Mile</v>
          </cell>
          <cell r="H121" t="str">
            <v>Cincinnati</v>
          </cell>
          <cell r="I121" t="str">
            <v>Fairfield</v>
          </cell>
          <cell r="J121" t="str">
            <v>OH</v>
          </cell>
          <cell r="K121">
            <v>45014</v>
          </cell>
          <cell r="L121" t="str">
            <v>United States</v>
          </cell>
          <cell r="M121"/>
          <cell r="N121">
            <v>214100</v>
          </cell>
          <cell r="O121">
            <v>1</v>
          </cell>
          <cell r="P121"/>
          <cell r="Q121" t="str">
            <v>Property - Private Equity</v>
          </cell>
          <cell r="R121" t="str">
            <v>Industrial</v>
          </cell>
          <cell r="S121" t="str">
            <v>Warehouse</v>
          </cell>
          <cell r="T121">
            <v>1969</v>
          </cell>
          <cell r="U121" t="str">
            <v>Sq. Feet</v>
          </cell>
          <cell r="V121" t="str">
            <v>Value-Add</v>
          </cell>
          <cell r="W121" t="str">
            <v>Industrial / Logistics</v>
          </cell>
          <cell r="X121" t="str">
            <v>Common Equity</v>
          </cell>
          <cell r="Y121"/>
          <cell r="Z121"/>
          <cell r="AA121"/>
          <cell r="AB121"/>
          <cell r="AC121"/>
          <cell r="AD121"/>
          <cell r="AE121"/>
          <cell r="AF121"/>
          <cell r="AG121"/>
          <cell r="AH121"/>
          <cell r="AI121"/>
          <cell r="AJ121"/>
          <cell r="AK121"/>
          <cell r="AL121"/>
          <cell r="AM121"/>
          <cell r="AN121"/>
          <cell r="AO121"/>
          <cell r="AP121"/>
          <cell r="AQ121"/>
          <cell r="AR121"/>
          <cell r="AS121">
            <v>43647</v>
          </cell>
          <cell r="AT121">
            <v>9500000</v>
          </cell>
          <cell r="AU121">
            <v>9861019.8211711943</v>
          </cell>
          <cell r="AV121">
            <v>748600</v>
          </cell>
          <cell r="AW121"/>
          <cell r="AX121">
            <v>7.8799999999999995E-2</v>
          </cell>
          <cell r="AY121"/>
          <cell r="AZ121"/>
          <cell r="BA121">
            <v>1</v>
          </cell>
          <cell r="BB121"/>
          <cell r="BC121">
            <v>1</v>
          </cell>
          <cell r="BD121">
            <v>654676.56999999995</v>
          </cell>
          <cell r="BE121">
            <v>709811.39</v>
          </cell>
          <cell r="BF121">
            <v>387204.66</v>
          </cell>
          <cell r="BG121">
            <v>0</v>
          </cell>
          <cell r="BH121"/>
          <cell r="BI121"/>
          <cell r="BJ121">
            <v>9861019.8211711943</v>
          </cell>
        </row>
        <row r="122">
          <cell r="B122" t="str">
            <v>gasc2015</v>
          </cell>
          <cell r="C122" t="str">
            <v>754 East Hightower Trail</v>
          </cell>
          <cell r="D122" t="str">
            <v>Realized</v>
          </cell>
          <cell r="E122" t="str">
            <v>Logistic Fund I</v>
          </cell>
          <cell r="F122" t="str">
            <v>USD</v>
          </cell>
          <cell r="G122" t="str">
            <v>Last Mile</v>
          </cell>
          <cell r="H122" t="str">
            <v>Atlanta</v>
          </cell>
          <cell r="I122" t="str">
            <v>Social Circle</v>
          </cell>
          <cell r="J122" t="str">
            <v>GA</v>
          </cell>
          <cell r="K122">
            <v>30025</v>
          </cell>
          <cell r="L122" t="str">
            <v>United States</v>
          </cell>
          <cell r="M122"/>
          <cell r="N122">
            <v>50161</v>
          </cell>
          <cell r="O122">
            <v>1</v>
          </cell>
          <cell r="P122"/>
          <cell r="Q122" t="str">
            <v>Property - Private Equity</v>
          </cell>
          <cell r="R122" t="str">
            <v>Industrial</v>
          </cell>
          <cell r="S122" t="str">
            <v>Warehouse</v>
          </cell>
          <cell r="T122">
            <v>1985</v>
          </cell>
          <cell r="U122" t="str">
            <v>Sq. Feet</v>
          </cell>
          <cell r="V122" t="str">
            <v>Value-Add</v>
          </cell>
          <cell r="W122" t="str">
            <v>Industrial / Logistics</v>
          </cell>
          <cell r="X122" t="str">
            <v>Common Equity</v>
          </cell>
          <cell r="Y122"/>
          <cell r="Z122"/>
          <cell r="AA122"/>
          <cell r="AB122"/>
          <cell r="AC122"/>
          <cell r="AD122"/>
          <cell r="AE122"/>
          <cell r="AF122"/>
          <cell r="AG122"/>
          <cell r="AH122"/>
          <cell r="AI122"/>
          <cell r="AJ122"/>
          <cell r="AK122"/>
          <cell r="AL122"/>
          <cell r="AM122"/>
          <cell r="AN122"/>
          <cell r="AO122"/>
          <cell r="AP122"/>
          <cell r="AQ122"/>
          <cell r="AR122"/>
          <cell r="AS122">
            <v>43669</v>
          </cell>
          <cell r="AT122">
            <v>1903045</v>
          </cell>
          <cell r="AU122">
            <v>1912443.9498339731</v>
          </cell>
          <cell r="AV122">
            <v>161758.81409999999</v>
          </cell>
          <cell r="AW122"/>
          <cell r="AX122">
            <v>8.4999994272337218E-2</v>
          </cell>
          <cell r="AY122"/>
          <cell r="AZ122"/>
          <cell r="BA122">
            <v>1</v>
          </cell>
          <cell r="BB122"/>
          <cell r="BC122">
            <v>1</v>
          </cell>
          <cell r="BD122">
            <v>0</v>
          </cell>
          <cell r="BE122">
            <v>143681.91</v>
          </cell>
          <cell r="BF122">
            <v>163501.92000000001</v>
          </cell>
          <cell r="BG122">
            <v>0</v>
          </cell>
          <cell r="BH122"/>
          <cell r="BI122"/>
          <cell r="BJ122">
            <v>1912443.9498339731</v>
          </cell>
        </row>
        <row r="123">
          <cell r="B123" t="str">
            <v>gasc3016</v>
          </cell>
          <cell r="C123" t="str">
            <v>772 East Hightower Trail</v>
          </cell>
          <cell r="D123" t="str">
            <v>Realized</v>
          </cell>
          <cell r="E123" t="str">
            <v>Logistic Fund I</v>
          </cell>
          <cell r="F123" t="str">
            <v>USD</v>
          </cell>
          <cell r="G123" t="str">
            <v>Last Mile</v>
          </cell>
          <cell r="H123" t="str">
            <v>Atlanta</v>
          </cell>
          <cell r="I123" t="str">
            <v>Social Circle</v>
          </cell>
          <cell r="J123" t="str">
            <v>GA</v>
          </cell>
          <cell r="K123">
            <v>30025</v>
          </cell>
          <cell r="L123" t="str">
            <v>United States</v>
          </cell>
          <cell r="M123"/>
          <cell r="N123">
            <v>60408</v>
          </cell>
          <cell r="O123">
            <v>1</v>
          </cell>
          <cell r="P123"/>
          <cell r="Q123" t="str">
            <v>Property - Private Equity</v>
          </cell>
          <cell r="R123" t="str">
            <v>Industrial</v>
          </cell>
          <cell r="S123" t="str">
            <v>Warehouse</v>
          </cell>
          <cell r="T123">
            <v>1999</v>
          </cell>
          <cell r="U123" t="str">
            <v>Sq. Feet</v>
          </cell>
          <cell r="V123" t="str">
            <v>Value-Add</v>
          </cell>
          <cell r="W123" t="str">
            <v>Industrial / Logistics</v>
          </cell>
          <cell r="X123" t="str">
            <v>Common Equity</v>
          </cell>
          <cell r="Y123"/>
          <cell r="Z123"/>
          <cell r="AA123"/>
          <cell r="AB123"/>
          <cell r="AC123"/>
          <cell r="AD123"/>
          <cell r="AE123"/>
          <cell r="AF123"/>
          <cell r="AG123"/>
          <cell r="AH123"/>
          <cell r="AI123"/>
          <cell r="AJ123"/>
          <cell r="AK123"/>
          <cell r="AL123"/>
          <cell r="AM123"/>
          <cell r="AN123"/>
          <cell r="AO123"/>
          <cell r="AP123"/>
          <cell r="AQ123"/>
          <cell r="AR123"/>
          <cell r="AS123">
            <v>43669</v>
          </cell>
          <cell r="AT123">
            <v>2203526</v>
          </cell>
          <cell r="AU123">
            <v>2214408.7840182846</v>
          </cell>
          <cell r="AV123">
            <v>187299.6795</v>
          </cell>
          <cell r="AW123"/>
          <cell r="AX123">
            <v>8.4999986158547702E-2</v>
          </cell>
          <cell r="AY123"/>
          <cell r="AZ123"/>
          <cell r="BA123">
            <v>1</v>
          </cell>
          <cell r="BB123"/>
          <cell r="BC123">
            <v>1</v>
          </cell>
          <cell r="BD123">
            <v>0</v>
          </cell>
          <cell r="BE123">
            <v>163392.56</v>
          </cell>
          <cell r="BF123">
            <v>195289.48</v>
          </cell>
          <cell r="BG123">
            <v>0</v>
          </cell>
          <cell r="BH123"/>
          <cell r="BI123"/>
          <cell r="BJ123">
            <v>2214408.7840182846</v>
          </cell>
        </row>
        <row r="124">
          <cell r="B124" t="str">
            <v>gasc1014</v>
          </cell>
          <cell r="C124" t="str">
            <v>1 Legget Drive</v>
          </cell>
          <cell r="D124" t="str">
            <v>Realized</v>
          </cell>
          <cell r="E124" t="str">
            <v>Logistic Fund I</v>
          </cell>
          <cell r="F124" t="str">
            <v>USD</v>
          </cell>
          <cell r="G124" t="str">
            <v>Last Mile</v>
          </cell>
          <cell r="H124" t="str">
            <v>Atlanta</v>
          </cell>
          <cell r="I124" t="str">
            <v>Social Circle</v>
          </cell>
          <cell r="J124" t="str">
            <v>GA</v>
          </cell>
          <cell r="K124">
            <v>30025</v>
          </cell>
          <cell r="L124" t="str">
            <v>United States</v>
          </cell>
          <cell r="M124"/>
          <cell r="N124">
            <v>101595</v>
          </cell>
          <cell r="O124">
            <v>1</v>
          </cell>
          <cell r="P124"/>
          <cell r="Q124" t="str">
            <v>Property - Private Equity</v>
          </cell>
          <cell r="R124" t="str">
            <v>Industrial</v>
          </cell>
          <cell r="S124" t="str">
            <v>Warehouse</v>
          </cell>
          <cell r="T124">
            <v>1985</v>
          </cell>
          <cell r="U124" t="str">
            <v>Sq. Feet</v>
          </cell>
          <cell r="V124" t="str">
            <v>Value-Add</v>
          </cell>
          <cell r="W124" t="str">
            <v>Industrial / Logistics</v>
          </cell>
          <cell r="X124" t="str">
            <v>Common Equity</v>
          </cell>
          <cell r="Y124"/>
          <cell r="Z124"/>
          <cell r="AA124"/>
          <cell r="AB124"/>
          <cell r="AC124"/>
          <cell r="AD124"/>
          <cell r="AE124"/>
          <cell r="AF124"/>
          <cell r="AG124"/>
          <cell r="AH124"/>
          <cell r="AI124"/>
          <cell r="AJ124"/>
          <cell r="AK124"/>
          <cell r="AL124"/>
          <cell r="AM124"/>
          <cell r="AN124"/>
          <cell r="AO124"/>
          <cell r="AP124"/>
          <cell r="AQ124"/>
          <cell r="AR124"/>
          <cell r="AS124">
            <v>43669</v>
          </cell>
          <cell r="AT124">
            <v>3705929</v>
          </cell>
          <cell r="AU124">
            <v>3724232.9549398422</v>
          </cell>
          <cell r="AV124">
            <v>315004.00640000001</v>
          </cell>
          <cell r="AW124"/>
          <cell r="AX124">
            <v>8.5000011171287956E-2</v>
          </cell>
          <cell r="AY124"/>
          <cell r="AZ124"/>
          <cell r="BA124">
            <v>1</v>
          </cell>
          <cell r="BB124"/>
          <cell r="BC124">
            <v>1</v>
          </cell>
          <cell r="BD124">
            <v>444988.48</v>
          </cell>
          <cell r="BE124">
            <v>221179.78</v>
          </cell>
          <cell r="BF124">
            <v>305104.59000000003</v>
          </cell>
          <cell r="BG124">
            <v>0</v>
          </cell>
          <cell r="BH124"/>
          <cell r="BI124"/>
          <cell r="BJ124">
            <v>3724232.9549398422</v>
          </cell>
        </row>
        <row r="125">
          <cell r="B125" t="str">
            <v>gatuc017</v>
          </cell>
          <cell r="C125" t="str">
            <v>1868 Tucker Industrial Rd</v>
          </cell>
          <cell r="D125" t="str">
            <v>Realized</v>
          </cell>
          <cell r="E125" t="str">
            <v>Logistic Fund I</v>
          </cell>
          <cell r="F125" t="str">
            <v>USD</v>
          </cell>
          <cell r="G125" t="str">
            <v>Last Mile</v>
          </cell>
          <cell r="H125" t="str">
            <v>Atlanta</v>
          </cell>
          <cell r="I125" t="str">
            <v>Tucker</v>
          </cell>
          <cell r="J125" t="str">
            <v>GA</v>
          </cell>
          <cell r="K125">
            <v>30084</v>
          </cell>
          <cell r="L125" t="str">
            <v>United States</v>
          </cell>
          <cell r="M125"/>
          <cell r="N125">
            <v>59000</v>
          </cell>
          <cell r="O125">
            <v>1</v>
          </cell>
          <cell r="P125"/>
          <cell r="Q125" t="str">
            <v>Property - Private Equity</v>
          </cell>
          <cell r="R125" t="str">
            <v>Industrial</v>
          </cell>
          <cell r="S125" t="str">
            <v>Warehouse</v>
          </cell>
          <cell r="T125">
            <v>1981</v>
          </cell>
          <cell r="U125" t="str">
            <v>Sq. Feet</v>
          </cell>
          <cell r="V125" t="str">
            <v>Value-Add</v>
          </cell>
          <cell r="W125" t="str">
            <v>Industrial / Logistics</v>
          </cell>
          <cell r="X125" t="str">
            <v>Common Equity</v>
          </cell>
          <cell r="Y125"/>
          <cell r="Z125"/>
          <cell r="AA125"/>
          <cell r="AB125"/>
          <cell r="AC125"/>
          <cell r="AD125"/>
          <cell r="AE125"/>
          <cell r="AF125"/>
          <cell r="AG125"/>
          <cell r="AH125"/>
          <cell r="AI125"/>
          <cell r="AJ125"/>
          <cell r="AK125"/>
          <cell r="AL125"/>
          <cell r="AM125"/>
          <cell r="AN125"/>
          <cell r="AO125"/>
          <cell r="AP125"/>
          <cell r="AQ125"/>
          <cell r="AR125"/>
          <cell r="AS125">
            <v>43691</v>
          </cell>
          <cell r="AT125">
            <v>2325000</v>
          </cell>
          <cell r="AU125">
            <v>2436242.2756975698</v>
          </cell>
          <cell r="AV125">
            <v>172050</v>
          </cell>
          <cell r="AW125"/>
          <cell r="AX125">
            <v>7.3999999999999996E-2</v>
          </cell>
          <cell r="AY125"/>
          <cell r="AZ125"/>
          <cell r="BA125">
            <v>1</v>
          </cell>
          <cell r="BB125"/>
          <cell r="BC125">
            <v>1</v>
          </cell>
          <cell r="BD125">
            <v>127574.87</v>
          </cell>
          <cell r="BE125">
            <v>164651.46</v>
          </cell>
          <cell r="BF125">
            <v>83053.05</v>
          </cell>
          <cell r="BG125">
            <v>0</v>
          </cell>
          <cell r="BH125"/>
          <cell r="BI125"/>
          <cell r="BJ125">
            <v>2436242.2756975698</v>
          </cell>
        </row>
        <row r="126">
          <cell r="B126" t="str">
            <v>tnb09014</v>
          </cell>
          <cell r="C126" t="str">
            <v>307-317 East Belz</v>
          </cell>
          <cell r="D126" t="str">
            <v>Realized</v>
          </cell>
          <cell r="E126" t="str">
            <v>Logistic Fund I</v>
          </cell>
          <cell r="F126" t="str">
            <v>USD</v>
          </cell>
          <cell r="G126" t="str">
            <v>Last Mile</v>
          </cell>
          <cell r="H126" t="str">
            <v>Memphis</v>
          </cell>
          <cell r="I126" t="str">
            <v>Memphis</v>
          </cell>
          <cell r="J126" t="str">
            <v>TN</v>
          </cell>
          <cell r="K126">
            <v>38109</v>
          </cell>
          <cell r="L126" t="str">
            <v>United States</v>
          </cell>
          <cell r="M126"/>
          <cell r="N126">
            <v>36600</v>
          </cell>
          <cell r="O126">
            <v>1</v>
          </cell>
          <cell r="P126"/>
          <cell r="Q126" t="str">
            <v>Property - Private Equity</v>
          </cell>
          <cell r="R126" t="str">
            <v>Industrial</v>
          </cell>
          <cell r="S126" t="str">
            <v>Warehouse</v>
          </cell>
          <cell r="T126">
            <v>1967</v>
          </cell>
          <cell r="U126" t="str">
            <v>Sq. Feet</v>
          </cell>
          <cell r="V126" t="str">
            <v>Value-Add</v>
          </cell>
          <cell r="W126" t="str">
            <v>Industrial / Logistics</v>
          </cell>
          <cell r="X126" t="str">
            <v>Common Equity</v>
          </cell>
          <cell r="Y126"/>
          <cell r="Z126"/>
          <cell r="AA126"/>
          <cell r="AB126"/>
          <cell r="AC126"/>
          <cell r="AD126"/>
          <cell r="AE126"/>
          <cell r="AF126"/>
          <cell r="AG126"/>
          <cell r="AH126"/>
          <cell r="AI126"/>
          <cell r="AJ126"/>
          <cell r="AK126"/>
          <cell r="AL126"/>
          <cell r="AM126"/>
          <cell r="AN126"/>
          <cell r="AO126"/>
          <cell r="AP126"/>
          <cell r="AQ126"/>
          <cell r="AR126"/>
          <cell r="AS126">
            <v>43692</v>
          </cell>
          <cell r="AT126">
            <v>736424</v>
          </cell>
          <cell r="AU126">
            <v>773835.54921840283</v>
          </cell>
          <cell r="AV126">
            <v>61712.357369999998</v>
          </cell>
          <cell r="AW126"/>
          <cell r="AX126">
            <v>8.3800035536593043E-2</v>
          </cell>
          <cell r="AY126"/>
          <cell r="AZ126"/>
          <cell r="BA126">
            <v>0.89</v>
          </cell>
          <cell r="BB126"/>
          <cell r="BC126">
            <v>1</v>
          </cell>
          <cell r="BD126">
            <v>81397.66</v>
          </cell>
          <cell r="BE126">
            <v>26416.41</v>
          </cell>
          <cell r="BF126">
            <v>23795.95</v>
          </cell>
          <cell r="BG126">
            <v>0</v>
          </cell>
          <cell r="BH126"/>
          <cell r="BI126"/>
          <cell r="BJ126">
            <v>773835.54921840283</v>
          </cell>
        </row>
        <row r="127">
          <cell r="B127" t="str">
            <v>tnb10010</v>
          </cell>
          <cell r="C127" t="str">
            <v>1887 Latham Street</v>
          </cell>
          <cell r="D127" t="str">
            <v>Realized</v>
          </cell>
          <cell r="E127" t="str">
            <v>Logistic Fund I</v>
          </cell>
          <cell r="F127" t="str">
            <v>USD</v>
          </cell>
          <cell r="G127" t="str">
            <v>Last Mile</v>
          </cell>
          <cell r="H127" t="str">
            <v>Memphis</v>
          </cell>
          <cell r="I127" t="str">
            <v>Memphis</v>
          </cell>
          <cell r="J127" t="str">
            <v>TN</v>
          </cell>
          <cell r="K127">
            <v>38106</v>
          </cell>
          <cell r="L127" t="str">
            <v>United States</v>
          </cell>
          <cell r="M127"/>
          <cell r="N127">
            <v>75527</v>
          </cell>
          <cell r="O127">
            <v>1</v>
          </cell>
          <cell r="P127"/>
          <cell r="Q127" t="str">
            <v>Property - Private Equity</v>
          </cell>
          <cell r="R127" t="str">
            <v>Industrial</v>
          </cell>
          <cell r="S127" t="str">
            <v>Warehouse</v>
          </cell>
          <cell r="T127">
            <v>1965</v>
          </cell>
          <cell r="U127" t="str">
            <v>Sq. Feet</v>
          </cell>
          <cell r="V127" t="str">
            <v>Value-Add</v>
          </cell>
          <cell r="W127" t="str">
            <v>Industrial / Logistics</v>
          </cell>
          <cell r="X127" t="str">
            <v>Common Equity</v>
          </cell>
          <cell r="Y127"/>
          <cell r="Z127"/>
          <cell r="AA127"/>
          <cell r="AB127"/>
          <cell r="AC127"/>
          <cell r="AD127"/>
          <cell r="AE127"/>
          <cell r="AF127"/>
          <cell r="AG127"/>
          <cell r="AH127"/>
          <cell r="AI127"/>
          <cell r="AJ127"/>
          <cell r="AK127"/>
          <cell r="AL127"/>
          <cell r="AM127"/>
          <cell r="AN127"/>
          <cell r="AO127"/>
          <cell r="AP127"/>
          <cell r="AQ127"/>
          <cell r="AR127"/>
          <cell r="AS127">
            <v>43692</v>
          </cell>
          <cell r="AT127">
            <v>1195494</v>
          </cell>
          <cell r="AU127">
            <v>1256226.5409389655</v>
          </cell>
          <cell r="AV127">
            <v>100182.3983</v>
          </cell>
          <cell r="AW127"/>
          <cell r="AX127">
            <v>8.3800000920121728E-2</v>
          </cell>
          <cell r="AY127"/>
          <cell r="AZ127"/>
          <cell r="BA127">
            <v>0.89</v>
          </cell>
          <cell r="BB127"/>
          <cell r="BC127">
            <v>1</v>
          </cell>
          <cell r="BD127">
            <v>83520.429999999993</v>
          </cell>
          <cell r="BE127">
            <v>80077.88</v>
          </cell>
          <cell r="BF127">
            <v>25492.84</v>
          </cell>
          <cell r="BG127">
            <v>0</v>
          </cell>
          <cell r="BH127"/>
          <cell r="BI127"/>
          <cell r="BJ127">
            <v>1256226.5409389655</v>
          </cell>
        </row>
        <row r="128">
          <cell r="B128" t="str">
            <v>tnb12011</v>
          </cell>
          <cell r="C128" t="str">
            <v>1950-1980 Latham Street</v>
          </cell>
          <cell r="D128" t="str">
            <v>Realized</v>
          </cell>
          <cell r="E128" t="str">
            <v>Logistic Fund I</v>
          </cell>
          <cell r="F128" t="str">
            <v>USD</v>
          </cell>
          <cell r="G128" t="str">
            <v>Last Mile</v>
          </cell>
          <cell r="H128" t="str">
            <v>Memphis</v>
          </cell>
          <cell r="I128" t="str">
            <v>Memphis</v>
          </cell>
          <cell r="J128" t="str">
            <v>TN</v>
          </cell>
          <cell r="K128">
            <v>38106</v>
          </cell>
          <cell r="L128" t="str">
            <v>United States</v>
          </cell>
          <cell r="M128"/>
          <cell r="N128">
            <v>104573</v>
          </cell>
          <cell r="O128">
            <v>1</v>
          </cell>
          <cell r="P128"/>
          <cell r="Q128" t="str">
            <v>Property - Private Equity</v>
          </cell>
          <cell r="R128" t="str">
            <v>Industrial</v>
          </cell>
          <cell r="S128" t="str">
            <v>Warehouse</v>
          </cell>
          <cell r="T128">
            <v>1953</v>
          </cell>
          <cell r="U128" t="str">
            <v>Sq. Feet</v>
          </cell>
          <cell r="V128" t="str">
            <v>Value-Add</v>
          </cell>
          <cell r="W128" t="str">
            <v>Industrial / Logistics</v>
          </cell>
          <cell r="X128" t="str">
            <v>Common Equity</v>
          </cell>
          <cell r="Y128"/>
          <cell r="Z128"/>
          <cell r="AA128"/>
          <cell r="AB128"/>
          <cell r="AC128"/>
          <cell r="AD128"/>
          <cell r="AE128"/>
          <cell r="AF128"/>
          <cell r="AG128"/>
          <cell r="AH128"/>
          <cell r="AI128"/>
          <cell r="AJ128"/>
          <cell r="AK128"/>
          <cell r="AL128"/>
          <cell r="AM128"/>
          <cell r="AN128"/>
          <cell r="AO128"/>
          <cell r="AP128"/>
          <cell r="AQ128"/>
          <cell r="AR128"/>
          <cell r="AS128">
            <v>43692</v>
          </cell>
          <cell r="AT128">
            <v>478198</v>
          </cell>
          <cell r="AU128">
            <v>502490.61637558625</v>
          </cell>
          <cell r="AV128">
            <v>40072.959329999998</v>
          </cell>
          <cell r="AW128"/>
          <cell r="AX128">
            <v>8.3799930844545567E-2</v>
          </cell>
          <cell r="AY128"/>
          <cell r="AZ128"/>
          <cell r="BA128">
            <v>0.89</v>
          </cell>
          <cell r="BB128"/>
          <cell r="BC128">
            <v>1</v>
          </cell>
          <cell r="BD128">
            <v>106790.91</v>
          </cell>
          <cell r="BE128">
            <v>132981.57</v>
          </cell>
          <cell r="BF128">
            <v>22684.29</v>
          </cell>
          <cell r="BG128">
            <v>0</v>
          </cell>
          <cell r="BH128"/>
          <cell r="BI128"/>
          <cell r="BJ128">
            <v>502490.61637558625</v>
          </cell>
        </row>
        <row r="129">
          <cell r="B129" t="str">
            <v>tnb11012</v>
          </cell>
          <cell r="C129" t="str">
            <v>2000 Latham Street</v>
          </cell>
          <cell r="D129" t="str">
            <v>Realized</v>
          </cell>
          <cell r="E129" t="str">
            <v>Logistic Fund I</v>
          </cell>
          <cell r="F129" t="str">
            <v>USD</v>
          </cell>
          <cell r="G129" t="str">
            <v>Last Mile</v>
          </cell>
          <cell r="H129" t="str">
            <v>Memphis</v>
          </cell>
          <cell r="I129" t="str">
            <v>Memphis</v>
          </cell>
          <cell r="J129" t="str">
            <v>TN</v>
          </cell>
          <cell r="K129">
            <v>38016</v>
          </cell>
          <cell r="L129" t="str">
            <v>United States</v>
          </cell>
          <cell r="M129"/>
          <cell r="N129">
            <v>109955</v>
          </cell>
          <cell r="O129">
            <v>1</v>
          </cell>
          <cell r="P129"/>
          <cell r="Q129" t="str">
            <v>Property - Private Equity</v>
          </cell>
          <cell r="R129" t="str">
            <v>Industrial</v>
          </cell>
          <cell r="S129" t="str">
            <v>Warehouse</v>
          </cell>
          <cell r="T129">
            <v>1957</v>
          </cell>
          <cell r="U129" t="str">
            <v>Sq. Feet</v>
          </cell>
          <cell r="V129" t="str">
            <v>Value-Add</v>
          </cell>
          <cell r="W129" t="str">
            <v>Industrial / Logistics</v>
          </cell>
          <cell r="X129" t="str">
            <v>Common Equity</v>
          </cell>
          <cell r="Y129"/>
          <cell r="Z129"/>
          <cell r="AA129"/>
          <cell r="AB129"/>
          <cell r="AC129"/>
          <cell r="AD129"/>
          <cell r="AE129"/>
          <cell r="AF129"/>
          <cell r="AG129"/>
          <cell r="AH129"/>
          <cell r="AI129"/>
          <cell r="AJ129"/>
          <cell r="AK129"/>
          <cell r="AL129"/>
          <cell r="AM129"/>
          <cell r="AN129"/>
          <cell r="AO129"/>
          <cell r="AP129"/>
          <cell r="AQ129"/>
          <cell r="AR129"/>
          <cell r="AS129">
            <v>43692</v>
          </cell>
          <cell r="AT129">
            <v>1338953</v>
          </cell>
          <cell r="AU129">
            <v>1406973.7258516413</v>
          </cell>
          <cell r="AV129">
            <v>112204.2861</v>
          </cell>
          <cell r="AW129"/>
          <cell r="AX129">
            <v>8.380001844724945E-2</v>
          </cell>
          <cell r="AY129"/>
          <cell r="AZ129"/>
          <cell r="BA129">
            <v>0.89</v>
          </cell>
          <cell r="BB129"/>
          <cell r="BC129">
            <v>1</v>
          </cell>
          <cell r="BD129">
            <v>119143.7</v>
          </cell>
          <cell r="BE129">
            <v>27171.13</v>
          </cell>
          <cell r="BF129">
            <v>39919.11</v>
          </cell>
          <cell r="BG129">
            <v>0</v>
          </cell>
          <cell r="BH129"/>
          <cell r="BI129"/>
          <cell r="BJ129">
            <v>1406973.7258516413</v>
          </cell>
        </row>
        <row r="130">
          <cell r="B130" t="str">
            <v>tnwl3009</v>
          </cell>
          <cell r="C130" t="str">
            <v>4070 Willow Lake Blvd</v>
          </cell>
          <cell r="D130" t="str">
            <v>Realized</v>
          </cell>
          <cell r="E130" t="str">
            <v>Logistic Fund I</v>
          </cell>
          <cell r="F130" t="str">
            <v>USD</v>
          </cell>
          <cell r="G130" t="str">
            <v>Last Mile</v>
          </cell>
          <cell r="H130" t="str">
            <v>Memphis</v>
          </cell>
          <cell r="I130" t="str">
            <v>Memphis</v>
          </cell>
          <cell r="J130" t="str">
            <v>TN</v>
          </cell>
          <cell r="K130">
            <v>38118</v>
          </cell>
          <cell r="L130" t="str">
            <v>United States</v>
          </cell>
          <cell r="M130"/>
          <cell r="N130">
            <v>65400</v>
          </cell>
          <cell r="O130">
            <v>1</v>
          </cell>
          <cell r="P130"/>
          <cell r="Q130" t="str">
            <v>Property - Private Equity</v>
          </cell>
          <cell r="R130" t="str">
            <v>Industrial</v>
          </cell>
          <cell r="S130" t="str">
            <v>Warehouse</v>
          </cell>
          <cell r="T130">
            <v>1986</v>
          </cell>
          <cell r="U130" t="str">
            <v>Sq. Feet</v>
          </cell>
          <cell r="V130" t="str">
            <v>Value-Add</v>
          </cell>
          <cell r="W130" t="str">
            <v>Industrial / Logistics</v>
          </cell>
          <cell r="X130" t="str">
            <v>Common Equity</v>
          </cell>
          <cell r="Y130"/>
          <cell r="Z130"/>
          <cell r="AA130"/>
          <cell r="AB130"/>
          <cell r="AC130"/>
          <cell r="AD130"/>
          <cell r="AE130"/>
          <cell r="AF130"/>
          <cell r="AG130"/>
          <cell r="AH130"/>
          <cell r="AI130"/>
          <cell r="AJ130"/>
          <cell r="AK130"/>
          <cell r="AL130"/>
          <cell r="AM130"/>
          <cell r="AN130"/>
          <cell r="AO130"/>
          <cell r="AP130"/>
          <cell r="AQ130"/>
          <cell r="AR130"/>
          <cell r="AS130">
            <v>43707</v>
          </cell>
          <cell r="AT130">
            <v>2597750</v>
          </cell>
          <cell r="AU130">
            <v>2717146.4167476823</v>
          </cell>
          <cell r="AV130">
            <v>273543.07500000001</v>
          </cell>
          <cell r="AW130"/>
          <cell r="AX130">
            <v>0.1053</v>
          </cell>
          <cell r="AY130"/>
          <cell r="AZ130"/>
          <cell r="BA130">
            <v>1</v>
          </cell>
          <cell r="BB130"/>
          <cell r="BC130">
            <v>1</v>
          </cell>
          <cell r="BD130">
            <v>195305.29</v>
          </cell>
          <cell r="BE130">
            <v>211760.71</v>
          </cell>
          <cell r="BF130">
            <v>269436.71000000002</v>
          </cell>
          <cell r="BG130">
            <v>0</v>
          </cell>
          <cell r="BH130"/>
          <cell r="BI130"/>
          <cell r="BJ130">
            <v>2717146.4167476823</v>
          </cell>
        </row>
        <row r="131">
          <cell r="B131" t="str">
            <v>tnamz015</v>
          </cell>
          <cell r="C131" t="str">
            <v>3347 Pearson Road</v>
          </cell>
          <cell r="D131" t="str">
            <v>Realized</v>
          </cell>
          <cell r="E131" t="str">
            <v>Logistic Fund I</v>
          </cell>
          <cell r="F131" t="str">
            <v>USD</v>
          </cell>
          <cell r="G131" t="str">
            <v>Last Mile</v>
          </cell>
          <cell r="H131" t="str">
            <v>Memphis</v>
          </cell>
          <cell r="I131" t="str">
            <v>Memphis</v>
          </cell>
          <cell r="J131" t="str">
            <v>TN</v>
          </cell>
          <cell r="K131">
            <v>38118</v>
          </cell>
          <cell r="L131" t="str">
            <v>United States</v>
          </cell>
          <cell r="M131"/>
          <cell r="N131">
            <v>104329</v>
          </cell>
          <cell r="O131">
            <v>1</v>
          </cell>
          <cell r="P131"/>
          <cell r="Q131" t="str">
            <v>Property - Private Equity</v>
          </cell>
          <cell r="R131" t="str">
            <v>Industrial</v>
          </cell>
          <cell r="S131" t="str">
            <v>Warehouse</v>
          </cell>
          <cell r="T131">
            <v>1965</v>
          </cell>
          <cell r="U131" t="str">
            <v>Sq. Feet</v>
          </cell>
          <cell r="V131" t="str">
            <v>Value-Add</v>
          </cell>
          <cell r="W131" t="str">
            <v>Industrial / Logistics</v>
          </cell>
          <cell r="X131" t="str">
            <v>Common Equity</v>
          </cell>
          <cell r="Y131"/>
          <cell r="Z131"/>
          <cell r="AA131"/>
          <cell r="AB131"/>
          <cell r="AC131"/>
          <cell r="AD131"/>
          <cell r="AE131"/>
          <cell r="AF131"/>
          <cell r="AG131"/>
          <cell r="AH131"/>
          <cell r="AI131"/>
          <cell r="AJ131"/>
          <cell r="AK131"/>
          <cell r="AL131"/>
          <cell r="AM131"/>
          <cell r="AN131"/>
          <cell r="AO131"/>
          <cell r="AP131"/>
          <cell r="AQ131"/>
          <cell r="AR131"/>
          <cell r="AS131">
            <v>43707</v>
          </cell>
          <cell r="AT131">
            <v>9267000</v>
          </cell>
          <cell r="AU131">
            <v>9654000</v>
          </cell>
          <cell r="AV131">
            <v>558800.1</v>
          </cell>
          <cell r="AW131"/>
          <cell r="AX131">
            <v>6.0299999999999999E-2</v>
          </cell>
          <cell r="AY131"/>
          <cell r="AZ131"/>
          <cell r="BA131">
            <v>1</v>
          </cell>
          <cell r="BB131"/>
          <cell r="BC131">
            <v>1</v>
          </cell>
          <cell r="BD131">
            <v>271556.06</v>
          </cell>
          <cell r="BE131">
            <v>494333.59</v>
          </cell>
          <cell r="BF131">
            <v>421580.07</v>
          </cell>
          <cell r="BG131">
            <v>0</v>
          </cell>
          <cell r="BH131"/>
          <cell r="BI131"/>
          <cell r="BJ131">
            <v>9654000</v>
          </cell>
        </row>
        <row r="132">
          <cell r="B132" t="str">
            <v>tnlak008</v>
          </cell>
          <cell r="C132" t="str">
            <v>2900 Lakeview Dr</v>
          </cell>
          <cell r="D132" t="str">
            <v>Realized</v>
          </cell>
          <cell r="E132" t="str">
            <v>Logistic Fund I</v>
          </cell>
          <cell r="F132" t="str">
            <v>USD</v>
          </cell>
          <cell r="G132" t="str">
            <v>Last Mile</v>
          </cell>
          <cell r="H132" t="str">
            <v>Memphis</v>
          </cell>
          <cell r="I132" t="str">
            <v>Memphis</v>
          </cell>
          <cell r="J132" t="str">
            <v>TN</v>
          </cell>
          <cell r="K132" t="str">
            <v>N/A</v>
          </cell>
          <cell r="L132" t="str">
            <v>United States</v>
          </cell>
          <cell r="M132"/>
          <cell r="N132">
            <v>154818</v>
          </cell>
          <cell r="O132">
            <v>1</v>
          </cell>
          <cell r="P132"/>
          <cell r="Q132" t="str">
            <v>Property - Private Equity</v>
          </cell>
          <cell r="R132" t="str">
            <v>Industrial</v>
          </cell>
          <cell r="S132" t="str">
            <v>Warehouse</v>
          </cell>
          <cell r="T132">
            <v>1988</v>
          </cell>
          <cell r="U132" t="str">
            <v>Sq. Feet</v>
          </cell>
          <cell r="V132" t="str">
            <v>Value-Add</v>
          </cell>
          <cell r="W132" t="str">
            <v>Industrial / Logistics</v>
          </cell>
          <cell r="X132" t="str">
            <v>Common Equity</v>
          </cell>
          <cell r="Y132"/>
          <cell r="Z132"/>
          <cell r="AA132"/>
          <cell r="AB132"/>
          <cell r="AC132"/>
          <cell r="AD132"/>
          <cell r="AE132"/>
          <cell r="AF132"/>
          <cell r="AG132"/>
          <cell r="AH132"/>
          <cell r="AI132"/>
          <cell r="AJ132"/>
          <cell r="AK132"/>
          <cell r="AL132"/>
          <cell r="AM132"/>
          <cell r="AN132"/>
          <cell r="AO132"/>
          <cell r="AP132"/>
          <cell r="AQ132"/>
          <cell r="AR132"/>
          <cell r="AS132">
            <v>43707</v>
          </cell>
          <cell r="AT132">
            <v>3970000</v>
          </cell>
          <cell r="AU132">
            <v>4141836.4544599359</v>
          </cell>
          <cell r="AV132">
            <v>352469.34669999999</v>
          </cell>
          <cell r="AW132"/>
          <cell r="AX132">
            <v>8.8783210755667502E-2</v>
          </cell>
          <cell r="AY132"/>
          <cell r="AZ132"/>
          <cell r="BA132">
            <v>1</v>
          </cell>
          <cell r="BB132"/>
          <cell r="BC132">
            <v>1</v>
          </cell>
          <cell r="BD132">
            <v>231671.59</v>
          </cell>
          <cell r="BE132">
            <v>277887.87</v>
          </cell>
          <cell r="BF132">
            <v>142383.07999999999</v>
          </cell>
          <cell r="BG132">
            <v>0</v>
          </cell>
          <cell r="BH132"/>
          <cell r="BI132"/>
          <cell r="BJ132">
            <v>4141836.4544599359</v>
          </cell>
        </row>
        <row r="133">
          <cell r="B133" t="str">
            <v>tnb03013</v>
          </cell>
          <cell r="C133" t="str">
            <v>237-265 East Belz</v>
          </cell>
          <cell r="D133" t="str">
            <v>Realized</v>
          </cell>
          <cell r="E133" t="str">
            <v>Logistic Fund I</v>
          </cell>
          <cell r="F133" t="str">
            <v>USD</v>
          </cell>
          <cell r="G133" t="str">
            <v>Last Mile</v>
          </cell>
          <cell r="H133" t="str">
            <v>Memphis</v>
          </cell>
          <cell r="I133" t="str">
            <v>Memphis</v>
          </cell>
          <cell r="J133" t="str">
            <v>TN</v>
          </cell>
          <cell r="K133">
            <v>38109</v>
          </cell>
          <cell r="L133" t="str">
            <v>United States</v>
          </cell>
          <cell r="M133"/>
          <cell r="N133">
            <v>162000</v>
          </cell>
          <cell r="O133">
            <v>1</v>
          </cell>
          <cell r="P133"/>
          <cell r="Q133" t="str">
            <v>Property - Private Equity</v>
          </cell>
          <cell r="R133" t="str">
            <v>Industrial</v>
          </cell>
          <cell r="S133" t="str">
            <v>Warehouse</v>
          </cell>
          <cell r="T133">
            <v>1966</v>
          </cell>
          <cell r="U133" t="str">
            <v>Sq. Feet</v>
          </cell>
          <cell r="V133" t="str">
            <v>Value-Add</v>
          </cell>
          <cell r="W133" t="str">
            <v>Industrial / Logistics</v>
          </cell>
          <cell r="X133" t="str">
            <v>Common Equity</v>
          </cell>
          <cell r="Y133"/>
          <cell r="Z133"/>
          <cell r="AA133"/>
          <cell r="AB133"/>
          <cell r="AC133"/>
          <cell r="AD133"/>
          <cell r="AE133"/>
          <cell r="AF133"/>
          <cell r="AG133"/>
          <cell r="AH133"/>
          <cell r="AI133"/>
          <cell r="AJ133"/>
          <cell r="AK133"/>
          <cell r="AL133"/>
          <cell r="AM133"/>
          <cell r="AN133"/>
          <cell r="AO133"/>
          <cell r="AP133"/>
          <cell r="AQ133"/>
          <cell r="AR133"/>
          <cell r="AS133">
            <v>43707</v>
          </cell>
          <cell r="AT133">
            <v>1243314</v>
          </cell>
          <cell r="AU133">
            <v>1306475.6025765243</v>
          </cell>
          <cell r="AV133">
            <v>104189.6943</v>
          </cell>
          <cell r="AW133"/>
          <cell r="AX133">
            <v>8.3799984798691246E-2</v>
          </cell>
          <cell r="AY133"/>
          <cell r="AZ133"/>
          <cell r="BA133">
            <v>0.89</v>
          </cell>
          <cell r="BB133"/>
          <cell r="BC133">
            <v>1</v>
          </cell>
          <cell r="BD133">
            <v>-62.5</v>
          </cell>
          <cell r="BE133">
            <v>73554.460000000006</v>
          </cell>
          <cell r="BF133">
            <v>73743.17</v>
          </cell>
          <cell r="BG133">
            <v>0</v>
          </cell>
          <cell r="BH133"/>
          <cell r="BI133"/>
          <cell r="BJ133">
            <v>1306475.6025765243</v>
          </cell>
        </row>
        <row r="134">
          <cell r="B134" t="str">
            <v>txmil005</v>
          </cell>
          <cell r="C134" t="str">
            <v>5101 Milwee Street</v>
          </cell>
          <cell r="D134" t="str">
            <v>Realized</v>
          </cell>
          <cell r="E134" t="str">
            <v>Logistic Fund I</v>
          </cell>
          <cell r="F134" t="str">
            <v>USD</v>
          </cell>
          <cell r="G134" t="str">
            <v>Last Mile</v>
          </cell>
          <cell r="H134" t="str">
            <v>Houston</v>
          </cell>
          <cell r="I134" t="str">
            <v>Houston</v>
          </cell>
          <cell r="J134" t="str">
            <v>TX</v>
          </cell>
          <cell r="K134">
            <v>77092</v>
          </cell>
          <cell r="L134" t="str">
            <v>United States</v>
          </cell>
          <cell r="M134"/>
          <cell r="N134">
            <v>14600</v>
          </cell>
          <cell r="O134">
            <v>1</v>
          </cell>
          <cell r="P134"/>
          <cell r="Q134" t="str">
            <v>Property - Private Equity</v>
          </cell>
          <cell r="R134" t="str">
            <v>Industrial</v>
          </cell>
          <cell r="S134" t="str">
            <v>Warehouse</v>
          </cell>
          <cell r="T134">
            <v>2003</v>
          </cell>
          <cell r="U134" t="str">
            <v>Sq. Feet</v>
          </cell>
          <cell r="V134" t="str">
            <v>Value-Add</v>
          </cell>
          <cell r="W134" t="str">
            <v>Industrial / Logistics</v>
          </cell>
          <cell r="X134" t="str">
            <v>Common Equity</v>
          </cell>
          <cell r="Y134"/>
          <cell r="Z134"/>
          <cell r="AA134"/>
          <cell r="AB134"/>
          <cell r="AC134"/>
          <cell r="AD134"/>
          <cell r="AE134"/>
          <cell r="AF134"/>
          <cell r="AG134"/>
          <cell r="AH134"/>
          <cell r="AI134"/>
          <cell r="AJ134"/>
          <cell r="AK134"/>
          <cell r="AL134"/>
          <cell r="AM134"/>
          <cell r="AN134"/>
          <cell r="AO134"/>
          <cell r="AP134"/>
          <cell r="AQ134"/>
          <cell r="AR134"/>
          <cell r="AS134">
            <v>43714</v>
          </cell>
          <cell r="AT134">
            <v>1241000</v>
          </cell>
          <cell r="AU134">
            <v>1281775.3706975889</v>
          </cell>
          <cell r="AV134">
            <v>161632</v>
          </cell>
          <cell r="AW134"/>
          <cell r="AX134">
            <v>0.13024335213537469</v>
          </cell>
          <cell r="AY134"/>
          <cell r="AZ134"/>
          <cell r="BA134">
            <v>1</v>
          </cell>
          <cell r="BB134"/>
          <cell r="BC134">
            <v>1</v>
          </cell>
          <cell r="BD134">
            <v>16046.853819252714</v>
          </cell>
          <cell r="BE134">
            <v>59270.491073071964</v>
          </cell>
          <cell r="BF134">
            <v>36870.146143935206</v>
          </cell>
          <cell r="BG134">
            <v>0</v>
          </cell>
          <cell r="BH134"/>
          <cell r="BI134"/>
          <cell r="BJ134">
            <v>1281775.3706975889</v>
          </cell>
        </row>
        <row r="135">
          <cell r="B135" t="str">
            <v>txmil005</v>
          </cell>
          <cell r="C135" t="str">
            <v>5111 Milwee Street</v>
          </cell>
          <cell r="D135" t="str">
            <v>Realized</v>
          </cell>
          <cell r="E135" t="str">
            <v>Logistic Fund I</v>
          </cell>
          <cell r="F135" t="str">
            <v>USD</v>
          </cell>
          <cell r="G135" t="str">
            <v>Last Mile</v>
          </cell>
          <cell r="H135" t="str">
            <v>Houston</v>
          </cell>
          <cell r="I135" t="str">
            <v>Houston</v>
          </cell>
          <cell r="J135" t="str">
            <v>TX</v>
          </cell>
          <cell r="K135">
            <v>77092</v>
          </cell>
          <cell r="L135" t="str">
            <v>United States</v>
          </cell>
          <cell r="M135"/>
          <cell r="N135">
            <v>16350</v>
          </cell>
          <cell r="O135">
            <v>1</v>
          </cell>
          <cell r="P135"/>
          <cell r="Q135" t="str">
            <v>Property - Private Equity</v>
          </cell>
          <cell r="R135" t="str">
            <v>Industrial</v>
          </cell>
          <cell r="S135" t="str">
            <v>Warehouse</v>
          </cell>
          <cell r="T135">
            <v>2003</v>
          </cell>
          <cell r="U135" t="str">
            <v>Sq. Feet</v>
          </cell>
          <cell r="V135" t="str">
            <v>Value-Add</v>
          </cell>
          <cell r="W135" t="str">
            <v>Industrial / Logistics</v>
          </cell>
          <cell r="X135" t="str">
            <v>Common Equity</v>
          </cell>
          <cell r="Y135"/>
          <cell r="Z135"/>
          <cell r="AA135"/>
          <cell r="AB135"/>
          <cell r="AC135"/>
          <cell r="AD135"/>
          <cell r="AE135"/>
          <cell r="AF135"/>
          <cell r="AG135"/>
          <cell r="AH135"/>
          <cell r="AI135"/>
          <cell r="AJ135"/>
          <cell r="AK135"/>
          <cell r="AL135"/>
          <cell r="AM135"/>
          <cell r="AN135"/>
          <cell r="AO135"/>
          <cell r="AP135"/>
          <cell r="AQ135"/>
          <cell r="AR135"/>
          <cell r="AS135">
            <v>43714</v>
          </cell>
          <cell r="AT135">
            <v>1389750</v>
          </cell>
          <cell r="AU135">
            <v>1435412.8295140807</v>
          </cell>
          <cell r="AV135">
            <v>0</v>
          </cell>
          <cell r="AW135"/>
          <cell r="AX135">
            <v>0</v>
          </cell>
          <cell r="AY135"/>
          <cell r="AZ135"/>
          <cell r="BA135">
            <v>0</v>
          </cell>
          <cell r="BB135"/>
          <cell r="BC135">
            <v>1</v>
          </cell>
          <cell r="BD135">
            <v>17970.278078409716</v>
          </cell>
          <cell r="BE135">
            <v>66374.830756488125</v>
          </cell>
          <cell r="BF135">
            <v>41289.512976256206</v>
          </cell>
          <cell r="BG135">
            <v>0</v>
          </cell>
          <cell r="BH135"/>
          <cell r="BI135"/>
          <cell r="BJ135">
            <v>1435412.8295140807</v>
          </cell>
        </row>
        <row r="136">
          <cell r="B136" t="str">
            <v>txmil005</v>
          </cell>
          <cell r="C136" t="str">
            <v>5151 Milwee Street</v>
          </cell>
          <cell r="D136" t="str">
            <v>Realized</v>
          </cell>
          <cell r="E136" t="str">
            <v>Logistic Fund I</v>
          </cell>
          <cell r="F136" t="str">
            <v>USD</v>
          </cell>
          <cell r="G136" t="str">
            <v>Last Mile</v>
          </cell>
          <cell r="H136" t="str">
            <v>Houston</v>
          </cell>
          <cell r="I136" t="str">
            <v>Houston</v>
          </cell>
          <cell r="J136" t="str">
            <v>TX</v>
          </cell>
          <cell r="K136">
            <v>77092</v>
          </cell>
          <cell r="L136" t="str">
            <v>United States</v>
          </cell>
          <cell r="M136"/>
          <cell r="N136">
            <v>23380</v>
          </cell>
          <cell r="O136">
            <v>1</v>
          </cell>
          <cell r="P136"/>
          <cell r="Q136" t="str">
            <v>Property - Private Equity</v>
          </cell>
          <cell r="R136" t="str">
            <v>Industrial</v>
          </cell>
          <cell r="S136" t="str">
            <v>Warehouse</v>
          </cell>
          <cell r="T136">
            <v>2005</v>
          </cell>
          <cell r="U136" t="str">
            <v>Sq. Feet</v>
          </cell>
          <cell r="V136" t="str">
            <v>Value-Add</v>
          </cell>
          <cell r="W136" t="str">
            <v>Industrial / Logistics</v>
          </cell>
          <cell r="X136" t="str">
            <v>Common Equity</v>
          </cell>
          <cell r="Y136"/>
          <cell r="Z136"/>
          <cell r="AA136"/>
          <cell r="AB136"/>
          <cell r="AC136"/>
          <cell r="AD136"/>
          <cell r="AE136"/>
          <cell r="AF136"/>
          <cell r="AG136"/>
          <cell r="AH136"/>
          <cell r="AI136"/>
          <cell r="AJ136"/>
          <cell r="AK136"/>
          <cell r="AL136"/>
          <cell r="AM136"/>
          <cell r="AN136"/>
          <cell r="AO136"/>
          <cell r="AP136"/>
          <cell r="AQ136"/>
          <cell r="AR136"/>
          <cell r="AS136">
            <v>43714</v>
          </cell>
          <cell r="AT136">
            <v>1987300</v>
          </cell>
          <cell r="AU136">
            <v>2052596.4497883306</v>
          </cell>
          <cell r="AV136">
            <v>0</v>
          </cell>
          <cell r="AW136"/>
          <cell r="AX136">
            <v>0</v>
          </cell>
          <cell r="AY136"/>
          <cell r="AZ136"/>
          <cell r="BA136">
            <v>0</v>
          </cell>
          <cell r="BB136"/>
          <cell r="BC136">
            <v>1</v>
          </cell>
          <cell r="BD136">
            <v>25696.948102337567</v>
          </cell>
          <cell r="BE136">
            <v>94913.978170439892</v>
          </cell>
          <cell r="BF136">
            <v>59042.740879808574</v>
          </cell>
          <cell r="BG136">
            <v>0</v>
          </cell>
          <cell r="BH136"/>
          <cell r="BI136"/>
          <cell r="BJ136">
            <v>2052596.4497883306</v>
          </cell>
        </row>
        <row r="137">
          <cell r="B137" t="str">
            <v>ohfai003</v>
          </cell>
          <cell r="C137" t="str">
            <v>Fairfield Business Center</v>
          </cell>
          <cell r="D137" t="str">
            <v>Realized</v>
          </cell>
          <cell r="E137" t="str">
            <v>Logistic Fund I</v>
          </cell>
          <cell r="F137" t="str">
            <v>USD</v>
          </cell>
          <cell r="G137" t="str">
            <v>Last Mile</v>
          </cell>
          <cell r="H137" t="str">
            <v>Cincinnati</v>
          </cell>
          <cell r="I137" t="str">
            <v>Fairfield</v>
          </cell>
          <cell r="J137" t="str">
            <v>OH</v>
          </cell>
          <cell r="K137">
            <v>45014</v>
          </cell>
          <cell r="L137" t="str">
            <v>United States</v>
          </cell>
          <cell r="M137"/>
          <cell r="N137">
            <v>37000</v>
          </cell>
          <cell r="O137">
            <v>1</v>
          </cell>
          <cell r="P137"/>
          <cell r="Q137" t="str">
            <v>Property - Private Equity</v>
          </cell>
          <cell r="R137" t="str">
            <v>Industrial</v>
          </cell>
          <cell r="S137" t="str">
            <v>Warehouse</v>
          </cell>
          <cell r="T137">
            <v>1987</v>
          </cell>
          <cell r="U137" t="str">
            <v>Sq. Feet</v>
          </cell>
          <cell r="V137" t="str">
            <v>Value-Add</v>
          </cell>
          <cell r="W137" t="str">
            <v>Industrial / Logistics</v>
          </cell>
          <cell r="X137" t="str">
            <v>Common Equity</v>
          </cell>
          <cell r="Y137"/>
          <cell r="Z137"/>
          <cell r="AA137"/>
          <cell r="AB137"/>
          <cell r="AC137"/>
          <cell r="AD137"/>
          <cell r="AE137"/>
          <cell r="AF137"/>
          <cell r="AG137"/>
          <cell r="AH137"/>
          <cell r="AI137"/>
          <cell r="AJ137"/>
          <cell r="AK137"/>
          <cell r="AL137"/>
          <cell r="AM137"/>
          <cell r="AN137"/>
          <cell r="AO137"/>
          <cell r="AP137"/>
          <cell r="AQ137"/>
          <cell r="AR137"/>
          <cell r="AS137">
            <v>43753</v>
          </cell>
          <cell r="AT137">
            <v>2113474.0259740259</v>
          </cell>
          <cell r="AU137">
            <v>2208215.6005194806</v>
          </cell>
          <cell r="AV137">
            <v>172882.17532467531</v>
          </cell>
          <cell r="AW137"/>
          <cell r="AX137">
            <v>8.1799999999999998E-2</v>
          </cell>
          <cell r="AY137"/>
          <cell r="AZ137"/>
          <cell r="BA137">
            <v>1</v>
          </cell>
          <cell r="BB137"/>
          <cell r="BC137">
            <v>1</v>
          </cell>
          <cell r="BD137">
            <v>153977.75</v>
          </cell>
          <cell r="BE137">
            <v>612808.5</v>
          </cell>
          <cell r="BF137">
            <v>0</v>
          </cell>
          <cell r="BG137">
            <v>0</v>
          </cell>
          <cell r="BH137"/>
          <cell r="BI137"/>
          <cell r="BJ137">
            <v>2208215.6005194806</v>
          </cell>
        </row>
        <row r="138">
          <cell r="B138" t="str">
            <v>ohkem002</v>
          </cell>
          <cell r="C138" t="str">
            <v>1310 Kemper Meadow Drive</v>
          </cell>
          <cell r="D138" t="str">
            <v>Realized</v>
          </cell>
          <cell r="E138" t="str">
            <v>Logistic Fund I</v>
          </cell>
          <cell r="F138" t="str">
            <v>USD</v>
          </cell>
          <cell r="G138" t="str">
            <v>Last Mile</v>
          </cell>
          <cell r="H138" t="str">
            <v>Cincinnati</v>
          </cell>
          <cell r="I138" t="str">
            <v>Cincinnati</v>
          </cell>
          <cell r="J138" t="str">
            <v>OH</v>
          </cell>
          <cell r="K138">
            <v>45240</v>
          </cell>
          <cell r="L138" t="str">
            <v>United States</v>
          </cell>
          <cell r="M138"/>
          <cell r="N138">
            <v>27650</v>
          </cell>
          <cell r="O138">
            <v>1</v>
          </cell>
          <cell r="P138"/>
          <cell r="Q138" t="str">
            <v>Property - Private Equity</v>
          </cell>
          <cell r="R138" t="str">
            <v>Industrial</v>
          </cell>
          <cell r="S138" t="str">
            <v>Warehouse</v>
          </cell>
          <cell r="T138">
            <v>1988</v>
          </cell>
          <cell r="U138" t="str">
            <v>Sq. Feet</v>
          </cell>
          <cell r="V138" t="str">
            <v>Value-Add</v>
          </cell>
          <cell r="W138" t="str">
            <v>Industrial / Logistics</v>
          </cell>
          <cell r="X138" t="str">
            <v>Common Equity</v>
          </cell>
          <cell r="Y138"/>
          <cell r="Z138"/>
          <cell r="AA138"/>
          <cell r="AB138"/>
          <cell r="AC138"/>
          <cell r="AD138"/>
          <cell r="AE138"/>
          <cell r="AF138"/>
          <cell r="AG138"/>
          <cell r="AH138"/>
          <cell r="AI138"/>
          <cell r="AJ138"/>
          <cell r="AK138"/>
          <cell r="AL138"/>
          <cell r="AM138"/>
          <cell r="AN138"/>
          <cell r="AO138"/>
          <cell r="AP138"/>
          <cell r="AQ138"/>
          <cell r="AR138"/>
          <cell r="AS138">
            <v>43780</v>
          </cell>
          <cell r="AT138">
            <v>1342130</v>
          </cell>
          <cell r="AU138">
            <v>1402294.2167738902</v>
          </cell>
          <cell r="AV138">
            <v>110055</v>
          </cell>
          <cell r="AW138"/>
          <cell r="AX138">
            <v>8.2000253328664133E-2</v>
          </cell>
          <cell r="AY138"/>
          <cell r="AZ138"/>
          <cell r="BA138">
            <v>1</v>
          </cell>
          <cell r="BB138"/>
          <cell r="BC138">
            <v>1</v>
          </cell>
          <cell r="BD138">
            <v>121741.34001869927</v>
          </cell>
          <cell r="BE138">
            <v>115490.4901085336</v>
          </cell>
          <cell r="BF138">
            <v>77646.938055931343</v>
          </cell>
          <cell r="BG138">
            <v>0</v>
          </cell>
          <cell r="BH138"/>
          <cell r="BI138"/>
          <cell r="BJ138">
            <v>1402294.2167738902</v>
          </cell>
        </row>
        <row r="139">
          <cell r="B139" t="str">
            <v>ohkem002</v>
          </cell>
          <cell r="C139" t="str">
            <v>1330 Kemper Meadow Drive</v>
          </cell>
          <cell r="D139" t="str">
            <v>Realized</v>
          </cell>
          <cell r="E139" t="str">
            <v>Logistic Fund I</v>
          </cell>
          <cell r="F139" t="str">
            <v>USD</v>
          </cell>
          <cell r="G139" t="str">
            <v>Last Mile</v>
          </cell>
          <cell r="H139" t="str">
            <v>Cincinnati</v>
          </cell>
          <cell r="I139" t="str">
            <v>Cincinnati</v>
          </cell>
          <cell r="J139" t="str">
            <v>OH</v>
          </cell>
          <cell r="K139">
            <v>45240</v>
          </cell>
          <cell r="L139" t="str">
            <v>United States</v>
          </cell>
          <cell r="M139"/>
          <cell r="N139">
            <v>35292</v>
          </cell>
          <cell r="O139">
            <v>1</v>
          </cell>
          <cell r="P139"/>
          <cell r="Q139" t="str">
            <v>Property - Private Equity</v>
          </cell>
          <cell r="R139" t="str">
            <v>Industrial</v>
          </cell>
          <cell r="S139" t="str">
            <v>Warehouse</v>
          </cell>
          <cell r="T139">
            <v>1988</v>
          </cell>
          <cell r="U139" t="str">
            <v>Sq. Feet</v>
          </cell>
          <cell r="V139" t="str">
            <v>Value-Add</v>
          </cell>
          <cell r="W139" t="str">
            <v>Industrial / Logistics</v>
          </cell>
          <cell r="X139" t="str">
            <v>Common Equity</v>
          </cell>
          <cell r="Y139"/>
          <cell r="Z139"/>
          <cell r="AA139"/>
          <cell r="AB139"/>
          <cell r="AC139"/>
          <cell r="AD139"/>
          <cell r="AE139"/>
          <cell r="AF139"/>
          <cell r="AG139"/>
          <cell r="AH139"/>
          <cell r="AI139"/>
          <cell r="AJ139"/>
          <cell r="AK139"/>
          <cell r="AL139"/>
          <cell r="AM139"/>
          <cell r="AN139"/>
          <cell r="AO139"/>
          <cell r="AP139"/>
          <cell r="AQ139"/>
          <cell r="AR139"/>
          <cell r="AS139">
            <v>43780</v>
          </cell>
          <cell r="AT139">
            <v>1713075</v>
          </cell>
          <cell r="AU139">
            <v>1789867.6946172896</v>
          </cell>
          <cell r="AV139">
            <v>140472</v>
          </cell>
          <cell r="AW139"/>
          <cell r="AX139">
            <v>8.1999912438159447E-2</v>
          </cell>
          <cell r="AY139"/>
          <cell r="AZ139"/>
          <cell r="BA139">
            <v>0.39400000000000002</v>
          </cell>
          <cell r="BB139"/>
          <cell r="BC139">
            <v>1</v>
          </cell>
          <cell r="BD139">
            <v>155388.85420221608</v>
          </cell>
          <cell r="BE139">
            <v>147410.3613978698</v>
          </cell>
          <cell r="BF139">
            <v>99107.408666344447</v>
          </cell>
          <cell r="BG139">
            <v>0</v>
          </cell>
          <cell r="BH139"/>
          <cell r="BI139"/>
          <cell r="BJ139">
            <v>1789867.6946172896</v>
          </cell>
        </row>
        <row r="140">
          <cell r="B140" t="str">
            <v>ohkem002</v>
          </cell>
          <cell r="C140" t="str">
            <v>1320 Kemper Meadow Drive</v>
          </cell>
          <cell r="D140" t="str">
            <v>Realized</v>
          </cell>
          <cell r="E140" t="str">
            <v>Logistic Fund I</v>
          </cell>
          <cell r="F140" t="str">
            <v>USD</v>
          </cell>
          <cell r="G140" t="str">
            <v>Last Mile</v>
          </cell>
          <cell r="H140" t="str">
            <v>Cincinnati</v>
          </cell>
          <cell r="I140" t="str">
            <v>Cincinnati</v>
          </cell>
          <cell r="J140" t="str">
            <v>OH</v>
          </cell>
          <cell r="K140">
            <v>45240</v>
          </cell>
          <cell r="L140" t="str">
            <v>United States</v>
          </cell>
          <cell r="M140"/>
          <cell r="N140">
            <v>36382</v>
          </cell>
          <cell r="O140">
            <v>1</v>
          </cell>
          <cell r="P140"/>
          <cell r="Q140" t="str">
            <v>Property - Private Equity</v>
          </cell>
          <cell r="R140" t="str">
            <v>Industrial</v>
          </cell>
          <cell r="S140" t="str">
            <v>Warehouse</v>
          </cell>
          <cell r="T140">
            <v>1988</v>
          </cell>
          <cell r="U140" t="str">
            <v>Sq. Feet</v>
          </cell>
          <cell r="V140" t="str">
            <v>Value-Add</v>
          </cell>
          <cell r="W140" t="str">
            <v>Industrial / Logistics</v>
          </cell>
          <cell r="X140" t="str">
            <v>Common Equity</v>
          </cell>
          <cell r="Y140"/>
          <cell r="Z140"/>
          <cell r="AA140"/>
          <cell r="AB140"/>
          <cell r="AC140"/>
          <cell r="AD140"/>
          <cell r="AE140"/>
          <cell r="AF140"/>
          <cell r="AG140"/>
          <cell r="AH140"/>
          <cell r="AI140"/>
          <cell r="AJ140"/>
          <cell r="AK140"/>
          <cell r="AL140"/>
          <cell r="AM140"/>
          <cell r="AN140"/>
          <cell r="AO140"/>
          <cell r="AP140"/>
          <cell r="AQ140"/>
          <cell r="AR140"/>
          <cell r="AS140">
            <v>43780</v>
          </cell>
          <cell r="AT140">
            <v>1756321</v>
          </cell>
          <cell r="AU140">
            <v>1835052.3280893401</v>
          </cell>
          <cell r="AV140">
            <v>144018</v>
          </cell>
          <cell r="AW140"/>
          <cell r="AX140">
            <v>8.1999816662216077E-2</v>
          </cell>
          <cell r="AY140"/>
          <cell r="AZ140"/>
          <cell r="BA140">
            <v>0.46500000000000002</v>
          </cell>
          <cell r="BB140"/>
          <cell r="BC140">
            <v>1</v>
          </cell>
          <cell r="BD140">
            <v>159311.5957790846</v>
          </cell>
          <cell r="BE140">
            <v>151131.68849359654</v>
          </cell>
          <cell r="BF140">
            <v>101609.3432777242</v>
          </cell>
          <cell r="BG140">
            <v>0</v>
          </cell>
          <cell r="BH140"/>
          <cell r="BI140"/>
          <cell r="BJ140">
            <v>1835052.3280893401</v>
          </cell>
        </row>
        <row r="141">
          <cell r="B141" t="str">
            <v>ohwar004</v>
          </cell>
          <cell r="C141" t="str">
            <v>420 Wards Corner Road</v>
          </cell>
          <cell r="D141" t="str">
            <v>Realized</v>
          </cell>
          <cell r="E141" t="str">
            <v>Logistic Fund I</v>
          </cell>
          <cell r="F141" t="str">
            <v>USD</v>
          </cell>
          <cell r="G141" t="str">
            <v>Last Mile</v>
          </cell>
          <cell r="H141" t="str">
            <v>Cincinnati</v>
          </cell>
          <cell r="I141" t="str">
            <v>Loveland</v>
          </cell>
          <cell r="J141" t="str">
            <v>OH</v>
          </cell>
          <cell r="K141">
            <v>45140</v>
          </cell>
          <cell r="L141" t="str">
            <v>United States</v>
          </cell>
          <cell r="M141"/>
          <cell r="N141">
            <v>49887</v>
          </cell>
          <cell r="O141">
            <v>1</v>
          </cell>
          <cell r="P141"/>
          <cell r="Q141" t="str">
            <v>Property - Private Equity</v>
          </cell>
          <cell r="R141" t="str">
            <v>Industrial</v>
          </cell>
          <cell r="S141" t="str">
            <v>Warehouse</v>
          </cell>
          <cell r="T141">
            <v>1985</v>
          </cell>
          <cell r="U141" t="str">
            <v>Sq. Feet</v>
          </cell>
          <cell r="V141" t="str">
            <v>Value-Add</v>
          </cell>
          <cell r="W141" t="str">
            <v>Industrial / Logistics</v>
          </cell>
          <cell r="X141" t="str">
            <v>Common Equity</v>
          </cell>
          <cell r="Y141"/>
          <cell r="Z141"/>
          <cell r="AA141"/>
          <cell r="AB141"/>
          <cell r="AC141"/>
          <cell r="AD141"/>
          <cell r="AE141"/>
          <cell r="AF141"/>
          <cell r="AG141"/>
          <cell r="AH141"/>
          <cell r="AI141"/>
          <cell r="AJ141"/>
          <cell r="AK141"/>
          <cell r="AL141"/>
          <cell r="AM141"/>
          <cell r="AN141"/>
          <cell r="AO141"/>
          <cell r="AP141"/>
          <cell r="AQ141"/>
          <cell r="AR141"/>
          <cell r="AS141">
            <v>43811</v>
          </cell>
          <cell r="AT141">
            <v>3315000</v>
          </cell>
          <cell r="AU141">
            <v>3432991.8049999997</v>
          </cell>
          <cell r="AV141">
            <v>394485</v>
          </cell>
          <cell r="AW141"/>
          <cell r="AX141">
            <v>0.11899999999999999</v>
          </cell>
          <cell r="AY141"/>
          <cell r="AZ141"/>
          <cell r="BA141">
            <v>1</v>
          </cell>
          <cell r="BB141"/>
          <cell r="BC141">
            <v>1</v>
          </cell>
          <cell r="BD141">
            <v>610428.82999999996</v>
          </cell>
          <cell r="BE141">
            <v>233092.15</v>
          </cell>
          <cell r="BF141">
            <v>177577.23</v>
          </cell>
          <cell r="BG141">
            <v>0</v>
          </cell>
          <cell r="BH141"/>
          <cell r="BI141"/>
          <cell r="BJ141">
            <v>3432991.8049999997</v>
          </cell>
        </row>
        <row r="142">
          <cell r="B142" t="str">
            <v>ohwar005</v>
          </cell>
          <cell r="C142" t="str">
            <v>422 Wards Corner Road</v>
          </cell>
          <cell r="D142" t="str">
            <v>Realized</v>
          </cell>
          <cell r="E142" t="str">
            <v>Logistic Fund I</v>
          </cell>
          <cell r="F142" t="str">
            <v>USD</v>
          </cell>
          <cell r="G142" t="str">
            <v>Last Mile</v>
          </cell>
          <cell r="H142" t="str">
            <v>Cincinnati</v>
          </cell>
          <cell r="I142" t="str">
            <v>Loveland</v>
          </cell>
          <cell r="J142" t="str">
            <v>OH</v>
          </cell>
          <cell r="K142">
            <v>45140</v>
          </cell>
          <cell r="L142" t="str">
            <v>United States</v>
          </cell>
          <cell r="M142"/>
          <cell r="N142">
            <v>50236</v>
          </cell>
          <cell r="O142">
            <v>1</v>
          </cell>
          <cell r="P142"/>
          <cell r="Q142" t="str">
            <v>Property - Private Equity</v>
          </cell>
          <cell r="R142" t="str">
            <v>Industrial</v>
          </cell>
          <cell r="S142" t="str">
            <v>Warehouse</v>
          </cell>
          <cell r="T142">
            <v>1985</v>
          </cell>
          <cell r="U142" t="str">
            <v>Sq. Feet</v>
          </cell>
          <cell r="V142" t="str">
            <v>Value-Add</v>
          </cell>
          <cell r="W142" t="str">
            <v>Industrial / Logistics</v>
          </cell>
          <cell r="X142" t="str">
            <v>Common Equity</v>
          </cell>
          <cell r="Y142"/>
          <cell r="Z142"/>
          <cell r="AA142"/>
          <cell r="AB142"/>
          <cell r="AC142"/>
          <cell r="AD142"/>
          <cell r="AE142"/>
          <cell r="AF142"/>
          <cell r="AG142"/>
          <cell r="AH142"/>
          <cell r="AI142"/>
          <cell r="AJ142"/>
          <cell r="AK142"/>
          <cell r="AL142"/>
          <cell r="AM142"/>
          <cell r="AN142"/>
          <cell r="AO142"/>
          <cell r="AP142"/>
          <cell r="AQ142"/>
          <cell r="AR142"/>
          <cell r="AS142">
            <v>43811</v>
          </cell>
          <cell r="AT142">
            <v>3315000</v>
          </cell>
          <cell r="AU142">
            <v>3432991.8049999997</v>
          </cell>
          <cell r="AV142">
            <v>394485</v>
          </cell>
          <cell r="AW142"/>
          <cell r="AX142">
            <v>0.11899999999999999</v>
          </cell>
          <cell r="AY142"/>
          <cell r="AZ142"/>
          <cell r="BA142">
            <v>0.78700000000000003</v>
          </cell>
          <cell r="BB142"/>
          <cell r="BC142">
            <v>1</v>
          </cell>
          <cell r="BD142">
            <v>112148.02</v>
          </cell>
          <cell r="BE142">
            <v>328521.65000000002</v>
          </cell>
          <cell r="BF142">
            <v>341832.03</v>
          </cell>
          <cell r="BG142">
            <v>0</v>
          </cell>
          <cell r="BH142"/>
          <cell r="BI142"/>
          <cell r="BJ142">
            <v>3432991.8049999997</v>
          </cell>
        </row>
        <row r="143">
          <cell r="B143" t="str">
            <v>gable014</v>
          </cell>
          <cell r="C143" t="str">
            <v>137 Bledsoe Rd</v>
          </cell>
          <cell r="D143" t="str">
            <v>Realized</v>
          </cell>
          <cell r="E143" t="str">
            <v>Logistic Fund I</v>
          </cell>
          <cell r="F143" t="str">
            <v>USD</v>
          </cell>
          <cell r="G143" t="str">
            <v>Last Mile</v>
          </cell>
          <cell r="H143" t="str">
            <v>Atlanta</v>
          </cell>
          <cell r="I143" t="str">
            <v>Newnan</v>
          </cell>
          <cell r="J143" t="str">
            <v>GA</v>
          </cell>
          <cell r="K143">
            <v>30265</v>
          </cell>
          <cell r="L143" t="str">
            <v>United States</v>
          </cell>
          <cell r="M143"/>
          <cell r="N143">
            <v>22533</v>
          </cell>
          <cell r="O143">
            <v>1</v>
          </cell>
          <cell r="P143"/>
          <cell r="Q143" t="str">
            <v>Property - Private Equity</v>
          </cell>
          <cell r="R143" t="str">
            <v>Industrial</v>
          </cell>
          <cell r="S143" t="str">
            <v>Warehouse</v>
          </cell>
          <cell r="T143">
            <v>2008</v>
          </cell>
          <cell r="U143" t="str">
            <v>Sq. Feet</v>
          </cell>
          <cell r="V143" t="str">
            <v>Value-Add</v>
          </cell>
          <cell r="W143" t="str">
            <v>Industrial / Logistics</v>
          </cell>
          <cell r="X143" t="str">
            <v>Common Equity</v>
          </cell>
          <cell r="Y143"/>
          <cell r="Z143"/>
          <cell r="AA143"/>
          <cell r="AB143"/>
          <cell r="AC143"/>
          <cell r="AD143"/>
          <cell r="AE143"/>
          <cell r="AF143"/>
          <cell r="AG143"/>
          <cell r="AH143"/>
          <cell r="AI143"/>
          <cell r="AJ143"/>
          <cell r="AK143"/>
          <cell r="AL143"/>
          <cell r="AM143"/>
          <cell r="AN143"/>
          <cell r="AO143"/>
          <cell r="AP143"/>
          <cell r="AQ143"/>
          <cell r="AR143"/>
          <cell r="AS143">
            <v>43826</v>
          </cell>
          <cell r="AT143">
            <v>1275000</v>
          </cell>
          <cell r="AU143">
            <v>1323441</v>
          </cell>
          <cell r="AV143">
            <v>126607.5</v>
          </cell>
          <cell r="AW143"/>
          <cell r="AX143">
            <v>9.9299999999999999E-2</v>
          </cell>
          <cell r="AY143"/>
          <cell r="AZ143"/>
          <cell r="BA143">
            <v>1</v>
          </cell>
          <cell r="BB143"/>
          <cell r="BC143">
            <v>1</v>
          </cell>
          <cell r="BD143">
            <v>85270.55</v>
          </cell>
          <cell r="BE143">
            <v>117214.34</v>
          </cell>
          <cell r="BF143">
            <v>59284.02</v>
          </cell>
          <cell r="BG143">
            <v>0</v>
          </cell>
          <cell r="BH143"/>
          <cell r="BI143"/>
          <cell r="BJ143">
            <v>1323441</v>
          </cell>
        </row>
        <row r="144">
          <cell r="B144" t="str">
            <v>tnmet016</v>
          </cell>
          <cell r="C144" t="str">
            <v>8045 Metro Rd</v>
          </cell>
          <cell r="D144" t="str">
            <v>Realized</v>
          </cell>
          <cell r="E144" t="str">
            <v>Logistic Fund I</v>
          </cell>
          <cell r="F144" t="str">
            <v>USD</v>
          </cell>
          <cell r="G144" t="str">
            <v>Last Mile</v>
          </cell>
          <cell r="H144" t="str">
            <v>Memphis</v>
          </cell>
          <cell r="I144" t="str">
            <v>Memphis</v>
          </cell>
          <cell r="J144" t="str">
            <v>TN</v>
          </cell>
          <cell r="K144" t="str">
            <v>N/A</v>
          </cell>
          <cell r="L144" t="str">
            <v>United States</v>
          </cell>
          <cell r="M144"/>
          <cell r="N144">
            <v>80000</v>
          </cell>
          <cell r="O144">
            <v>1</v>
          </cell>
          <cell r="P144"/>
          <cell r="Q144" t="str">
            <v>Property - Private Equity</v>
          </cell>
          <cell r="R144" t="str">
            <v>Industrial</v>
          </cell>
          <cell r="S144" t="str">
            <v>Warehouse</v>
          </cell>
          <cell r="T144">
            <v>2001</v>
          </cell>
          <cell r="U144" t="str">
            <v>Sq. Feet</v>
          </cell>
          <cell r="V144" t="str">
            <v>Value-Add</v>
          </cell>
          <cell r="W144" t="str">
            <v>Industrial / Logistics</v>
          </cell>
          <cell r="X144" t="str">
            <v>Common Equity</v>
          </cell>
          <cell r="Y144"/>
          <cell r="Z144"/>
          <cell r="AA144"/>
          <cell r="AB144"/>
          <cell r="AC144"/>
          <cell r="AD144"/>
          <cell r="AE144"/>
          <cell r="AF144"/>
          <cell r="AG144"/>
          <cell r="AH144"/>
          <cell r="AI144"/>
          <cell r="AJ144"/>
          <cell r="AK144"/>
          <cell r="AL144"/>
          <cell r="AM144"/>
          <cell r="AN144"/>
          <cell r="AO144"/>
          <cell r="AP144"/>
          <cell r="AQ144"/>
          <cell r="AR144"/>
          <cell r="AS144">
            <v>43832</v>
          </cell>
          <cell r="AT144">
            <v>2775000</v>
          </cell>
          <cell r="AU144">
            <v>2854627</v>
          </cell>
          <cell r="AV144">
            <v>210900</v>
          </cell>
          <cell r="AW144"/>
          <cell r="AX144">
            <v>7.5999999999999998E-2</v>
          </cell>
          <cell r="AY144"/>
          <cell r="AZ144"/>
          <cell r="BA144">
            <v>1</v>
          </cell>
          <cell r="BB144"/>
          <cell r="BC144">
            <v>1</v>
          </cell>
          <cell r="BD144">
            <v>129706.04</v>
          </cell>
          <cell r="BE144">
            <v>193558.23</v>
          </cell>
          <cell r="BF144">
            <v>14695.02</v>
          </cell>
          <cell r="BG144">
            <v>0</v>
          </cell>
          <cell r="BH144"/>
          <cell r="BI144"/>
          <cell r="BJ144">
            <v>2854627</v>
          </cell>
        </row>
        <row r="145">
          <cell r="B145" t="str">
            <v>gacom016</v>
          </cell>
          <cell r="C145" t="str">
            <v>4570 Commerce</v>
          </cell>
          <cell r="D145" t="str">
            <v>Realized</v>
          </cell>
          <cell r="E145" t="str">
            <v>Logistic Fund I</v>
          </cell>
          <cell r="F145" t="str">
            <v>USD</v>
          </cell>
          <cell r="G145" t="str">
            <v>Last Mile</v>
          </cell>
          <cell r="H145" t="str">
            <v>Atlanta</v>
          </cell>
          <cell r="I145" t="str">
            <v>Atlanta</v>
          </cell>
          <cell r="J145" t="str">
            <v>GA</v>
          </cell>
          <cell r="K145">
            <v>30336</v>
          </cell>
          <cell r="L145" t="str">
            <v>United States</v>
          </cell>
          <cell r="M145"/>
          <cell r="N145">
            <v>56767</v>
          </cell>
          <cell r="O145">
            <v>1</v>
          </cell>
          <cell r="P145"/>
          <cell r="Q145" t="str">
            <v>Property - Private Equity</v>
          </cell>
          <cell r="R145" t="str">
            <v>Industrial</v>
          </cell>
          <cell r="S145" t="str">
            <v>Warehouse</v>
          </cell>
          <cell r="T145">
            <v>1964</v>
          </cell>
          <cell r="U145" t="str">
            <v>Sq. Feet</v>
          </cell>
          <cell r="V145" t="str">
            <v>Value-Add</v>
          </cell>
          <cell r="W145" t="str">
            <v>Industrial / Logistics</v>
          </cell>
          <cell r="X145" t="str">
            <v>Common Equity</v>
          </cell>
          <cell r="Y145"/>
          <cell r="Z145"/>
          <cell r="AA145"/>
          <cell r="AB145"/>
          <cell r="AC145"/>
          <cell r="AD145"/>
          <cell r="AE145"/>
          <cell r="AF145"/>
          <cell r="AG145"/>
          <cell r="AH145"/>
          <cell r="AI145"/>
          <cell r="AJ145"/>
          <cell r="AK145"/>
          <cell r="AL145"/>
          <cell r="AM145"/>
          <cell r="AN145"/>
          <cell r="AO145"/>
          <cell r="AP145"/>
          <cell r="AQ145"/>
          <cell r="AR145"/>
          <cell r="AS145">
            <v>43837</v>
          </cell>
          <cell r="AT145">
            <v>1926960</v>
          </cell>
          <cell r="AU145">
            <v>1987973.2000000002</v>
          </cell>
          <cell r="AV145">
            <v>139704.6</v>
          </cell>
          <cell r="AW145"/>
          <cell r="AX145">
            <v>7.2500000000000009E-2</v>
          </cell>
          <cell r="AY145"/>
          <cell r="AZ145"/>
          <cell r="BA145">
            <v>1</v>
          </cell>
          <cell r="BB145"/>
          <cell r="BC145">
            <v>1</v>
          </cell>
          <cell r="BD145">
            <v>90609.18</v>
          </cell>
          <cell r="BE145">
            <v>66984.03</v>
          </cell>
          <cell r="BF145">
            <v>57339.9</v>
          </cell>
          <cell r="BG145">
            <v>0</v>
          </cell>
          <cell r="BH145"/>
          <cell r="BI145"/>
          <cell r="BJ145">
            <v>1987973.2000000002</v>
          </cell>
        </row>
        <row r="146">
          <cell r="B146" t="str">
            <v>gagra015</v>
          </cell>
          <cell r="C146" t="str">
            <v>1845 Grassland Parkway</v>
          </cell>
          <cell r="D146" t="str">
            <v>Realized</v>
          </cell>
          <cell r="E146" t="str">
            <v>Logistic Fund I</v>
          </cell>
          <cell r="F146" t="str">
            <v>USD</v>
          </cell>
          <cell r="G146" t="str">
            <v>Last Mile</v>
          </cell>
          <cell r="H146" t="str">
            <v>Atlanta</v>
          </cell>
          <cell r="I146" t="str">
            <v>Alpharetta</v>
          </cell>
          <cell r="J146" t="str">
            <v>GA</v>
          </cell>
          <cell r="K146">
            <v>30004</v>
          </cell>
          <cell r="L146" t="str">
            <v>United States</v>
          </cell>
          <cell r="M146"/>
          <cell r="N146">
            <v>21352</v>
          </cell>
          <cell r="O146">
            <v>1</v>
          </cell>
          <cell r="P146"/>
          <cell r="Q146" t="str">
            <v>Property - Private Equity</v>
          </cell>
          <cell r="R146" t="str">
            <v>Industrial</v>
          </cell>
          <cell r="S146" t="str">
            <v>Warehouse</v>
          </cell>
          <cell r="T146">
            <v>1990</v>
          </cell>
          <cell r="U146" t="str">
            <v>Sq. Feet</v>
          </cell>
          <cell r="V146" t="str">
            <v>Value-Add</v>
          </cell>
          <cell r="W146" t="str">
            <v>Industrial / Logistics</v>
          </cell>
          <cell r="X146" t="str">
            <v>Common Equity</v>
          </cell>
          <cell r="Y146"/>
          <cell r="Z146"/>
          <cell r="AA146"/>
          <cell r="AB146"/>
          <cell r="AC146"/>
          <cell r="AD146"/>
          <cell r="AE146"/>
          <cell r="AF146"/>
          <cell r="AG146"/>
          <cell r="AH146"/>
          <cell r="AI146"/>
          <cell r="AJ146"/>
          <cell r="AK146"/>
          <cell r="AL146"/>
          <cell r="AM146"/>
          <cell r="AN146"/>
          <cell r="AO146"/>
          <cell r="AP146"/>
          <cell r="AQ146"/>
          <cell r="AR146"/>
          <cell r="AS146">
            <v>43860</v>
          </cell>
          <cell r="AT146">
            <v>2000000</v>
          </cell>
          <cell r="AU146">
            <v>2078514.81</v>
          </cell>
          <cell r="AV146">
            <v>144000</v>
          </cell>
          <cell r="AW146"/>
          <cell r="AX146">
            <v>7.1999999999999995E-2</v>
          </cell>
          <cell r="AY146"/>
          <cell r="AZ146"/>
          <cell r="BA146">
            <v>1</v>
          </cell>
          <cell r="BB146"/>
          <cell r="BC146">
            <v>1</v>
          </cell>
          <cell r="BD146">
            <v>84565.43</v>
          </cell>
          <cell r="BE146">
            <v>107879.06</v>
          </cell>
          <cell r="BF146">
            <v>75152.84</v>
          </cell>
          <cell r="BG146">
            <v>0</v>
          </cell>
          <cell r="BH146"/>
          <cell r="BI146"/>
          <cell r="BJ146">
            <v>2078514.81</v>
          </cell>
        </row>
        <row r="147">
          <cell r="B147" t="str">
            <v>gasna025</v>
          </cell>
          <cell r="C147" t="str">
            <v>5205 snapfinger</v>
          </cell>
          <cell r="D147" t="str">
            <v>Realized</v>
          </cell>
          <cell r="E147" t="str">
            <v>Logistic Fund I</v>
          </cell>
          <cell r="F147" t="str">
            <v>USD</v>
          </cell>
          <cell r="G147" t="str">
            <v>Last Mile</v>
          </cell>
          <cell r="H147" t="str">
            <v>Atlanta</v>
          </cell>
          <cell r="I147" t="str">
            <v>Decatur</v>
          </cell>
          <cell r="J147" t="str">
            <v>GA</v>
          </cell>
          <cell r="K147">
            <v>30035</v>
          </cell>
          <cell r="L147" t="str">
            <v>United States</v>
          </cell>
          <cell r="M147"/>
          <cell r="N147">
            <v>40117</v>
          </cell>
          <cell r="O147">
            <v>1</v>
          </cell>
          <cell r="P147"/>
          <cell r="Q147" t="str">
            <v>Property - Private Equity</v>
          </cell>
          <cell r="R147" t="str">
            <v>Industrial</v>
          </cell>
          <cell r="S147" t="str">
            <v>Warehouse</v>
          </cell>
          <cell r="T147">
            <v>1988</v>
          </cell>
          <cell r="U147" t="str">
            <v>Sq. Feet</v>
          </cell>
          <cell r="V147" t="str">
            <v>Value-Add</v>
          </cell>
          <cell r="W147" t="str">
            <v>Industrial / Logistics</v>
          </cell>
          <cell r="X147" t="str">
            <v>Common Equity</v>
          </cell>
          <cell r="Y147"/>
          <cell r="Z147"/>
          <cell r="AA147"/>
          <cell r="AB147"/>
          <cell r="AC147"/>
          <cell r="AD147"/>
          <cell r="AE147"/>
          <cell r="AF147"/>
          <cell r="AG147"/>
          <cell r="AH147"/>
          <cell r="AI147"/>
          <cell r="AJ147"/>
          <cell r="AK147"/>
          <cell r="AL147"/>
          <cell r="AM147"/>
          <cell r="AN147"/>
          <cell r="AO147"/>
          <cell r="AP147"/>
          <cell r="AQ147"/>
          <cell r="AR147"/>
          <cell r="AS147">
            <v>43871</v>
          </cell>
          <cell r="AT147">
            <v>1475000</v>
          </cell>
          <cell r="AU147">
            <v>1522414.5</v>
          </cell>
          <cell r="AV147">
            <v>0</v>
          </cell>
          <cell r="AW147"/>
          <cell r="AX147">
            <v>0</v>
          </cell>
          <cell r="AY147"/>
          <cell r="AZ147"/>
          <cell r="BA147">
            <v>0</v>
          </cell>
          <cell r="BB147"/>
          <cell r="BC147">
            <v>1</v>
          </cell>
          <cell r="BD147">
            <v>-29205.89</v>
          </cell>
          <cell r="BE147">
            <v>-116972.16</v>
          </cell>
          <cell r="BF147">
            <v>94481.78</v>
          </cell>
          <cell r="BG147">
            <v>0</v>
          </cell>
          <cell r="BH147"/>
          <cell r="BI147"/>
          <cell r="BJ147">
            <v>1522414.5</v>
          </cell>
        </row>
        <row r="148">
          <cell r="B148" t="str">
            <v>gaboh026</v>
          </cell>
          <cell r="C148" t="str">
            <v>605 Bohannon Road</v>
          </cell>
          <cell r="D148" t="str">
            <v>Realized</v>
          </cell>
          <cell r="E148" t="str">
            <v>Logistic Fund I</v>
          </cell>
          <cell r="F148" t="str">
            <v>USD</v>
          </cell>
          <cell r="G148" t="str">
            <v>Last Mile</v>
          </cell>
          <cell r="H148" t="str">
            <v>Atlanta</v>
          </cell>
          <cell r="I148" t="str">
            <v>Fairburn</v>
          </cell>
          <cell r="J148" t="str">
            <v>GA</v>
          </cell>
          <cell r="K148">
            <v>30213</v>
          </cell>
          <cell r="L148" t="str">
            <v>United States</v>
          </cell>
          <cell r="M148"/>
          <cell r="N148">
            <v>104700</v>
          </cell>
          <cell r="O148">
            <v>1</v>
          </cell>
          <cell r="P148"/>
          <cell r="Q148" t="str">
            <v>Property - Private Equity</v>
          </cell>
          <cell r="R148" t="str">
            <v>Industrial</v>
          </cell>
          <cell r="S148" t="str">
            <v>Warehouse</v>
          </cell>
          <cell r="T148">
            <v>1995</v>
          </cell>
          <cell r="U148" t="str">
            <v>Sq. Feet</v>
          </cell>
          <cell r="V148" t="str">
            <v>Value-Add</v>
          </cell>
          <cell r="W148" t="str">
            <v>Industrial / Logistics</v>
          </cell>
          <cell r="X148" t="str">
            <v>Common Equity</v>
          </cell>
          <cell r="Y148"/>
          <cell r="Z148"/>
          <cell r="AA148"/>
          <cell r="AB148"/>
          <cell r="AC148"/>
          <cell r="AD148"/>
          <cell r="AE148"/>
          <cell r="AF148"/>
          <cell r="AG148"/>
          <cell r="AH148"/>
          <cell r="AI148"/>
          <cell r="AJ148"/>
          <cell r="AK148"/>
          <cell r="AL148"/>
          <cell r="AM148"/>
          <cell r="AN148"/>
          <cell r="AO148"/>
          <cell r="AP148"/>
          <cell r="AQ148"/>
          <cell r="AR148"/>
          <cell r="AS148">
            <v>43871</v>
          </cell>
          <cell r="AT148">
            <v>5800000</v>
          </cell>
          <cell r="AU148">
            <v>5908698</v>
          </cell>
          <cell r="AV148">
            <v>359600</v>
          </cell>
          <cell r="AW148"/>
          <cell r="AX148">
            <v>6.2E-2</v>
          </cell>
          <cell r="AY148"/>
          <cell r="AZ148"/>
          <cell r="BA148">
            <v>0</v>
          </cell>
          <cell r="BB148"/>
          <cell r="BC148">
            <v>1</v>
          </cell>
          <cell r="BD148">
            <v>56176.56</v>
          </cell>
          <cell r="BE148">
            <v>340900.49</v>
          </cell>
          <cell r="BF148">
            <v>182378.16</v>
          </cell>
          <cell r="BG148">
            <v>0</v>
          </cell>
          <cell r="BH148"/>
          <cell r="BI148"/>
          <cell r="BJ148">
            <v>5908698</v>
          </cell>
        </row>
        <row r="149">
          <cell r="B149" t="str">
            <v>ohles005</v>
          </cell>
          <cell r="C149" t="str">
            <v>9290 LeSaint Drive</v>
          </cell>
          <cell r="D149" t="str">
            <v>Realized</v>
          </cell>
          <cell r="E149" t="str">
            <v>Logistic Fund I</v>
          </cell>
          <cell r="F149" t="str">
            <v>USD</v>
          </cell>
          <cell r="G149" t="str">
            <v>Last Mile</v>
          </cell>
          <cell r="H149" t="str">
            <v>Cincinnati</v>
          </cell>
          <cell r="I149" t="str">
            <v>West Chester</v>
          </cell>
          <cell r="J149" t="str">
            <v>OH</v>
          </cell>
          <cell r="K149">
            <v>45014</v>
          </cell>
          <cell r="L149" t="str">
            <v>United States</v>
          </cell>
          <cell r="M149"/>
          <cell r="N149">
            <v>82187</v>
          </cell>
          <cell r="O149">
            <v>1</v>
          </cell>
          <cell r="P149"/>
          <cell r="Q149" t="str">
            <v>Property - Private Equity</v>
          </cell>
          <cell r="R149" t="str">
            <v>Industrial</v>
          </cell>
          <cell r="S149" t="str">
            <v>Warehouse</v>
          </cell>
          <cell r="T149">
            <v>1990</v>
          </cell>
          <cell r="U149" t="str">
            <v>Sq. Feet</v>
          </cell>
          <cell r="V149" t="str">
            <v>Value-Add</v>
          </cell>
          <cell r="W149" t="str">
            <v>Industrial / Logistics</v>
          </cell>
          <cell r="X149" t="str">
            <v>Common Equity</v>
          </cell>
          <cell r="Y149"/>
          <cell r="Z149"/>
          <cell r="AA149"/>
          <cell r="AB149"/>
          <cell r="AC149"/>
          <cell r="AD149"/>
          <cell r="AE149"/>
          <cell r="AF149"/>
          <cell r="AG149"/>
          <cell r="AH149"/>
          <cell r="AI149"/>
          <cell r="AJ149"/>
          <cell r="AK149"/>
          <cell r="AL149"/>
          <cell r="AM149"/>
          <cell r="AN149"/>
          <cell r="AO149"/>
          <cell r="AP149"/>
          <cell r="AQ149"/>
          <cell r="AR149"/>
          <cell r="AS149">
            <v>43892</v>
          </cell>
          <cell r="AT149">
            <v>6310000</v>
          </cell>
          <cell r="AU149">
            <v>6500153.1200000001</v>
          </cell>
          <cell r="AV149">
            <v>441700</v>
          </cell>
          <cell r="AW149"/>
          <cell r="AX149">
            <v>7.0000000000000007E-2</v>
          </cell>
          <cell r="AY149"/>
          <cell r="AZ149"/>
          <cell r="BA149">
            <v>1</v>
          </cell>
          <cell r="BB149"/>
          <cell r="BC149">
            <v>1</v>
          </cell>
          <cell r="BD149">
            <v>356093.68</v>
          </cell>
          <cell r="BE149">
            <v>447559.03</v>
          </cell>
          <cell r="BF149">
            <v>320602.82</v>
          </cell>
          <cell r="BG149">
            <v>0</v>
          </cell>
          <cell r="BH149"/>
          <cell r="BI149"/>
          <cell r="BJ149">
            <v>6500153.1200000001</v>
          </cell>
        </row>
        <row r="150">
          <cell r="B150" t="str">
            <v>ohclo007</v>
          </cell>
          <cell r="C150" t="str">
            <v>4064 Clough Woods Drive</v>
          </cell>
          <cell r="D150" t="str">
            <v>Realized</v>
          </cell>
          <cell r="E150" t="str">
            <v>Logistic Fund I</v>
          </cell>
          <cell r="F150" t="str">
            <v>USD</v>
          </cell>
          <cell r="G150" t="str">
            <v>Last Mile</v>
          </cell>
          <cell r="H150" t="str">
            <v>Cincinnati</v>
          </cell>
          <cell r="I150" t="str">
            <v>Batavia</v>
          </cell>
          <cell r="J150" t="str">
            <v>OH</v>
          </cell>
          <cell r="K150">
            <v>45103</v>
          </cell>
          <cell r="L150" t="str">
            <v>United States</v>
          </cell>
          <cell r="M150"/>
          <cell r="N150">
            <v>29387</v>
          </cell>
          <cell r="O150">
            <v>1</v>
          </cell>
          <cell r="P150"/>
          <cell r="Q150" t="str">
            <v>Property - Private Equity</v>
          </cell>
          <cell r="R150" t="str">
            <v>Industrial</v>
          </cell>
          <cell r="S150" t="str">
            <v>Warehouse</v>
          </cell>
          <cell r="T150">
            <v>1997</v>
          </cell>
          <cell r="U150" t="str">
            <v>Sq. Feet</v>
          </cell>
          <cell r="V150" t="str">
            <v>Value-Add</v>
          </cell>
          <cell r="W150" t="str">
            <v>Industrial / Logistics</v>
          </cell>
          <cell r="X150" t="str">
            <v>Common Equity</v>
          </cell>
          <cell r="Y150"/>
          <cell r="Z150"/>
          <cell r="AA150"/>
          <cell r="AB150"/>
          <cell r="AC150"/>
          <cell r="AD150"/>
          <cell r="AE150"/>
          <cell r="AF150"/>
          <cell r="AG150"/>
          <cell r="AH150"/>
          <cell r="AI150"/>
          <cell r="AJ150"/>
          <cell r="AK150"/>
          <cell r="AL150"/>
          <cell r="AM150"/>
          <cell r="AN150"/>
          <cell r="AO150"/>
          <cell r="AP150"/>
          <cell r="AQ150"/>
          <cell r="AR150"/>
          <cell r="AS150">
            <v>43913</v>
          </cell>
          <cell r="AT150">
            <v>2295000</v>
          </cell>
          <cell r="AU150">
            <v>2384079.92</v>
          </cell>
          <cell r="AV150">
            <v>160650</v>
          </cell>
          <cell r="AW150"/>
          <cell r="AX150">
            <v>7.0000000000000007E-2</v>
          </cell>
          <cell r="AY150"/>
          <cell r="AZ150"/>
          <cell r="BA150">
            <v>1</v>
          </cell>
          <cell r="BB150"/>
          <cell r="BC150">
            <v>1</v>
          </cell>
          <cell r="BD150">
            <v>118903.86</v>
          </cell>
          <cell r="BE150">
            <v>164816.62</v>
          </cell>
          <cell r="BF150">
            <v>87262.080000000002</v>
          </cell>
          <cell r="BG150">
            <v>0</v>
          </cell>
          <cell r="BH150"/>
          <cell r="BI150"/>
          <cell r="BJ150">
            <v>2384079.92</v>
          </cell>
        </row>
        <row r="151">
          <cell r="B151" t="str">
            <v>oh575006</v>
          </cell>
          <cell r="C151" t="str">
            <v>575 Quality Blvd</v>
          </cell>
          <cell r="D151" t="str">
            <v>Realized</v>
          </cell>
          <cell r="E151" t="str">
            <v>Logistic Fund I</v>
          </cell>
          <cell r="F151" t="str">
            <v>USD</v>
          </cell>
          <cell r="G151" t="str">
            <v>Last Mile</v>
          </cell>
          <cell r="H151" t="str">
            <v>Cincinnati</v>
          </cell>
          <cell r="I151" t="str">
            <v>Fairfield</v>
          </cell>
          <cell r="J151" t="str">
            <v>OH</v>
          </cell>
          <cell r="K151">
            <v>45014</v>
          </cell>
          <cell r="L151" t="str">
            <v>United States</v>
          </cell>
          <cell r="M151"/>
          <cell r="N151">
            <v>67140</v>
          </cell>
          <cell r="O151">
            <v>1</v>
          </cell>
          <cell r="P151"/>
          <cell r="Q151" t="str">
            <v>Property - Private Equity</v>
          </cell>
          <cell r="R151" t="str">
            <v>Industrial</v>
          </cell>
          <cell r="S151" t="str">
            <v>Warehouse</v>
          </cell>
          <cell r="T151">
            <v>2003</v>
          </cell>
          <cell r="U151" t="str">
            <v>Sq. Feet</v>
          </cell>
          <cell r="V151" t="str">
            <v>Value-Add</v>
          </cell>
          <cell r="W151" t="str">
            <v>Industrial / Logistics</v>
          </cell>
          <cell r="X151" t="str">
            <v>Common Equity</v>
          </cell>
          <cell r="Y151"/>
          <cell r="Z151"/>
          <cell r="AA151"/>
          <cell r="AB151"/>
          <cell r="AC151"/>
          <cell r="AD151"/>
          <cell r="AE151"/>
          <cell r="AF151"/>
          <cell r="AG151"/>
          <cell r="AH151"/>
          <cell r="AI151"/>
          <cell r="AJ151"/>
          <cell r="AK151"/>
          <cell r="AL151"/>
          <cell r="AM151"/>
          <cell r="AN151"/>
          <cell r="AO151"/>
          <cell r="AP151"/>
          <cell r="AQ151"/>
          <cell r="AR151"/>
          <cell r="AS151">
            <v>43913</v>
          </cell>
          <cell r="AT151">
            <v>5304000</v>
          </cell>
          <cell r="AU151">
            <v>5478232.2800000003</v>
          </cell>
          <cell r="AV151">
            <v>476829.6</v>
          </cell>
          <cell r="AW151"/>
          <cell r="AX151">
            <v>8.9899999999999994E-2</v>
          </cell>
          <cell r="AY151"/>
          <cell r="AZ151"/>
          <cell r="BA151">
            <v>1</v>
          </cell>
          <cell r="BB151"/>
          <cell r="BC151">
            <v>1</v>
          </cell>
          <cell r="BD151">
            <v>335277.18</v>
          </cell>
          <cell r="BE151">
            <v>433905.02</v>
          </cell>
          <cell r="BF151">
            <v>207814.5</v>
          </cell>
          <cell r="BG151">
            <v>0</v>
          </cell>
          <cell r="BH151"/>
          <cell r="BI151"/>
          <cell r="BJ151">
            <v>5478232.2800000003</v>
          </cell>
        </row>
        <row r="152">
          <cell r="B152" t="str">
            <v>gapar018</v>
          </cell>
          <cell r="C152" t="str">
            <v>1447 Parker Road</v>
          </cell>
          <cell r="D152" t="str">
            <v>Realized</v>
          </cell>
          <cell r="E152" t="str">
            <v>Logistic Fund I</v>
          </cell>
          <cell r="F152" t="str">
            <v>USD</v>
          </cell>
          <cell r="G152" t="str">
            <v>Last Mile</v>
          </cell>
          <cell r="H152" t="str">
            <v>Atlanta</v>
          </cell>
          <cell r="I152" t="str">
            <v>Conyers</v>
          </cell>
          <cell r="J152" t="str">
            <v>GA</v>
          </cell>
          <cell r="K152">
            <v>30094</v>
          </cell>
          <cell r="L152" t="str">
            <v>United States</v>
          </cell>
          <cell r="M152"/>
          <cell r="N152">
            <v>40000</v>
          </cell>
          <cell r="O152">
            <v>1</v>
          </cell>
          <cell r="P152"/>
          <cell r="Q152" t="str">
            <v>Property - Private Equity</v>
          </cell>
          <cell r="R152" t="str">
            <v>Industrial</v>
          </cell>
          <cell r="S152" t="str">
            <v>Warehouse</v>
          </cell>
          <cell r="T152">
            <v>1988</v>
          </cell>
          <cell r="U152" t="str">
            <v>Sq. Feet</v>
          </cell>
          <cell r="V152" t="str">
            <v>Value-Add</v>
          </cell>
          <cell r="W152" t="str">
            <v>Industrial / Logistics</v>
          </cell>
          <cell r="X152" t="str">
            <v>Common Equity</v>
          </cell>
          <cell r="Y152"/>
          <cell r="Z152"/>
          <cell r="AA152"/>
          <cell r="AB152"/>
          <cell r="AC152"/>
          <cell r="AD152"/>
          <cell r="AE152"/>
          <cell r="AF152"/>
          <cell r="AG152"/>
          <cell r="AH152"/>
          <cell r="AI152"/>
          <cell r="AJ152"/>
          <cell r="AK152"/>
          <cell r="AL152"/>
          <cell r="AM152"/>
          <cell r="AN152"/>
          <cell r="AO152"/>
          <cell r="AP152"/>
          <cell r="AQ152"/>
          <cell r="AR152"/>
          <cell r="AS152">
            <v>43937</v>
          </cell>
          <cell r="AT152">
            <v>2914500</v>
          </cell>
          <cell r="AU152">
            <v>2997514.25</v>
          </cell>
          <cell r="AV152">
            <v>227039.55</v>
          </cell>
          <cell r="AW152"/>
          <cell r="AX152">
            <v>7.7899999999999997E-2</v>
          </cell>
          <cell r="AY152"/>
          <cell r="AZ152"/>
          <cell r="BA152">
            <v>1</v>
          </cell>
          <cell r="BB152"/>
          <cell r="BC152">
            <v>1</v>
          </cell>
          <cell r="BD152">
            <v>102018.2</v>
          </cell>
          <cell r="BE152">
            <v>197000.52</v>
          </cell>
          <cell r="BF152">
            <v>76550.58</v>
          </cell>
          <cell r="BG152">
            <v>0</v>
          </cell>
          <cell r="BH152"/>
          <cell r="BI152"/>
          <cell r="BJ152">
            <v>2997514.25</v>
          </cell>
        </row>
        <row r="153">
          <cell r="B153" t="str">
            <v>tn10b017</v>
          </cell>
          <cell r="C153" t="str">
            <v>10 E Belz Blvd</v>
          </cell>
          <cell r="D153" t="str">
            <v>Realized</v>
          </cell>
          <cell r="E153" t="str">
            <v>Logistic Fund I</v>
          </cell>
          <cell r="F153" t="str">
            <v>USD</v>
          </cell>
          <cell r="G153" t="str">
            <v>Last Mile</v>
          </cell>
          <cell r="H153" t="str">
            <v>Memphis</v>
          </cell>
          <cell r="I153" t="str">
            <v>Memphis</v>
          </cell>
          <cell r="J153" t="str">
            <v>TN</v>
          </cell>
          <cell r="K153">
            <v>38109</v>
          </cell>
          <cell r="L153" t="str">
            <v>United States</v>
          </cell>
          <cell r="M153"/>
          <cell r="N153">
            <v>275000</v>
          </cell>
          <cell r="O153">
            <v>1</v>
          </cell>
          <cell r="P153"/>
          <cell r="Q153" t="str">
            <v>Property - Private Equity</v>
          </cell>
          <cell r="R153" t="str">
            <v>Industrial</v>
          </cell>
          <cell r="S153" t="str">
            <v>Warehouse</v>
          </cell>
          <cell r="T153">
            <v>1986</v>
          </cell>
          <cell r="U153" t="str">
            <v>Sq. Feet</v>
          </cell>
          <cell r="V153" t="str">
            <v>Value-Add</v>
          </cell>
          <cell r="W153" t="str">
            <v>Industrial / Logistics</v>
          </cell>
          <cell r="X153" t="str">
            <v>Common Equity</v>
          </cell>
          <cell r="Y153"/>
          <cell r="Z153"/>
          <cell r="AA153"/>
          <cell r="AB153"/>
          <cell r="AC153"/>
          <cell r="AD153"/>
          <cell r="AE153"/>
          <cell r="AF153"/>
          <cell r="AG153"/>
          <cell r="AH153"/>
          <cell r="AI153"/>
          <cell r="AJ153"/>
          <cell r="AK153"/>
          <cell r="AL153"/>
          <cell r="AM153"/>
          <cell r="AN153"/>
          <cell r="AO153"/>
          <cell r="AP153"/>
          <cell r="AQ153"/>
          <cell r="AR153"/>
          <cell r="AS153">
            <v>43959</v>
          </cell>
          <cell r="AT153">
            <v>4350000</v>
          </cell>
          <cell r="AU153">
            <v>4486503.7</v>
          </cell>
          <cell r="AV153">
            <v>73950</v>
          </cell>
          <cell r="AW153"/>
          <cell r="AX153">
            <v>1.7000000000000001E-2</v>
          </cell>
          <cell r="AY153"/>
          <cell r="AZ153"/>
          <cell r="BA153">
            <v>1</v>
          </cell>
          <cell r="BB153"/>
          <cell r="BC153">
            <v>1</v>
          </cell>
          <cell r="BD153">
            <v>169.47</v>
          </cell>
          <cell r="BE153">
            <v>196565.23</v>
          </cell>
          <cell r="BF153">
            <v>215878.98</v>
          </cell>
          <cell r="BG153">
            <v>0</v>
          </cell>
          <cell r="BH153"/>
          <cell r="BI153"/>
          <cell r="BJ153">
            <v>4486503.7</v>
          </cell>
        </row>
        <row r="154">
          <cell r="B154" t="str">
            <v>ohcom008</v>
          </cell>
          <cell r="C154" t="str">
            <v>10052 Commerce Park Drive</v>
          </cell>
          <cell r="D154" t="str">
            <v>Realized</v>
          </cell>
          <cell r="E154" t="str">
            <v>Logistic Fund I</v>
          </cell>
          <cell r="F154" t="str">
            <v>USD</v>
          </cell>
          <cell r="G154" t="str">
            <v>Last Mile</v>
          </cell>
          <cell r="H154" t="str">
            <v>Cincinnati</v>
          </cell>
          <cell r="I154" t="str">
            <v>West Chester</v>
          </cell>
          <cell r="J154" t="str">
            <v>OH</v>
          </cell>
          <cell r="K154">
            <v>45246</v>
          </cell>
          <cell r="L154" t="str">
            <v>United States</v>
          </cell>
          <cell r="M154"/>
          <cell r="N154">
            <v>43001</v>
          </cell>
          <cell r="O154">
            <v>1</v>
          </cell>
          <cell r="P154"/>
          <cell r="Q154" t="str">
            <v>Property - Private Equity</v>
          </cell>
          <cell r="R154" t="str">
            <v>Industrial</v>
          </cell>
          <cell r="S154" t="str">
            <v>Warehouse</v>
          </cell>
          <cell r="T154">
            <v>1984</v>
          </cell>
          <cell r="U154" t="str">
            <v>Sq. Feet</v>
          </cell>
          <cell r="V154" t="str">
            <v>Value-Add</v>
          </cell>
          <cell r="W154" t="str">
            <v>Industrial / Logistics</v>
          </cell>
          <cell r="X154" t="str">
            <v>Common Equity</v>
          </cell>
          <cell r="Y154"/>
          <cell r="Z154"/>
          <cell r="AA154"/>
          <cell r="AB154"/>
          <cell r="AC154"/>
          <cell r="AD154"/>
          <cell r="AE154"/>
          <cell r="AF154"/>
          <cell r="AG154"/>
          <cell r="AH154"/>
          <cell r="AI154"/>
          <cell r="AJ154"/>
          <cell r="AK154"/>
          <cell r="AL154"/>
          <cell r="AM154"/>
          <cell r="AN154"/>
          <cell r="AO154"/>
          <cell r="AP154"/>
          <cell r="AQ154"/>
          <cell r="AR154"/>
          <cell r="AS154">
            <v>43983</v>
          </cell>
          <cell r="AT154">
            <v>2736775</v>
          </cell>
          <cell r="AU154">
            <v>2829157.335</v>
          </cell>
          <cell r="AV154">
            <v>254520.07500000001</v>
          </cell>
          <cell r="AW154"/>
          <cell r="AX154">
            <v>9.2999999999999999E-2</v>
          </cell>
          <cell r="AY154"/>
          <cell r="AZ154"/>
          <cell r="BA154">
            <v>1</v>
          </cell>
          <cell r="BB154"/>
          <cell r="BC154">
            <v>1</v>
          </cell>
          <cell r="BD154">
            <v>119075.86</v>
          </cell>
          <cell r="BE154">
            <v>227150.09</v>
          </cell>
          <cell r="BF154">
            <v>157958.92000000001</v>
          </cell>
          <cell r="BG154">
            <v>0</v>
          </cell>
          <cell r="BH154"/>
          <cell r="BI154"/>
          <cell r="BJ154">
            <v>2829157.335</v>
          </cell>
        </row>
        <row r="155">
          <cell r="B155" t="str">
            <v>gajon020</v>
          </cell>
          <cell r="C155" t="str">
            <v>3075 Jonquil Drive</v>
          </cell>
          <cell r="D155" t="str">
            <v>Realized</v>
          </cell>
          <cell r="E155" t="str">
            <v>Logistic Fund I</v>
          </cell>
          <cell r="F155" t="str">
            <v>USD</v>
          </cell>
          <cell r="G155" t="str">
            <v>Last Mile</v>
          </cell>
          <cell r="H155" t="str">
            <v>Atlanta</v>
          </cell>
          <cell r="I155" t="str">
            <v>Smyrna</v>
          </cell>
          <cell r="J155" t="str">
            <v>GA</v>
          </cell>
          <cell r="K155">
            <v>30080</v>
          </cell>
          <cell r="L155" t="str">
            <v>United States</v>
          </cell>
          <cell r="M155"/>
          <cell r="N155">
            <v>48306</v>
          </cell>
          <cell r="O155">
            <v>1</v>
          </cell>
          <cell r="P155"/>
          <cell r="Q155" t="str">
            <v>Property - Private Equity</v>
          </cell>
          <cell r="R155" t="str">
            <v>Industrial</v>
          </cell>
          <cell r="S155" t="str">
            <v>Warehouse</v>
          </cell>
          <cell r="T155">
            <v>1980</v>
          </cell>
          <cell r="U155" t="str">
            <v>Sq. Feet</v>
          </cell>
          <cell r="V155" t="str">
            <v>Value-Add</v>
          </cell>
          <cell r="W155" t="str">
            <v>Industrial / Logistics</v>
          </cell>
          <cell r="X155" t="str">
            <v>Common Equity</v>
          </cell>
          <cell r="Y155"/>
          <cell r="Z155"/>
          <cell r="AA155"/>
          <cell r="AB155"/>
          <cell r="AC155"/>
          <cell r="AD155"/>
          <cell r="AE155"/>
          <cell r="AF155"/>
          <cell r="AG155"/>
          <cell r="AH155"/>
          <cell r="AI155"/>
          <cell r="AJ155"/>
          <cell r="AK155"/>
          <cell r="AL155"/>
          <cell r="AM155"/>
          <cell r="AN155"/>
          <cell r="AO155"/>
          <cell r="AP155"/>
          <cell r="AQ155"/>
          <cell r="AR155"/>
          <cell r="AS155">
            <v>43983</v>
          </cell>
          <cell r="AT155">
            <v>3175000</v>
          </cell>
          <cell r="AU155">
            <v>3281871.18</v>
          </cell>
          <cell r="AV155">
            <v>46037.5</v>
          </cell>
          <cell r="AW155"/>
          <cell r="AX155">
            <v>1.4500000000000001E-2</v>
          </cell>
          <cell r="AY155"/>
          <cell r="AZ155"/>
          <cell r="BA155">
            <v>0.25</v>
          </cell>
          <cell r="BB155"/>
          <cell r="BC155">
            <v>1</v>
          </cell>
          <cell r="BD155">
            <v>2625.95</v>
          </cell>
          <cell r="BE155">
            <v>138292.95000000001</v>
          </cell>
          <cell r="BF155">
            <v>150938.18</v>
          </cell>
          <cell r="BG155">
            <v>0</v>
          </cell>
          <cell r="BH155"/>
          <cell r="BI155"/>
          <cell r="BJ155">
            <v>3281871.18</v>
          </cell>
        </row>
        <row r="156">
          <cell r="B156" t="str">
            <v>gashi019</v>
          </cell>
          <cell r="C156" t="str">
            <v>4080 Shirley</v>
          </cell>
          <cell r="D156" t="str">
            <v>Realized</v>
          </cell>
          <cell r="E156" t="str">
            <v>Logistic Fund I</v>
          </cell>
          <cell r="F156" t="str">
            <v>USD</v>
          </cell>
          <cell r="G156" t="str">
            <v>Last Mile</v>
          </cell>
          <cell r="H156" t="str">
            <v>Atlanta</v>
          </cell>
          <cell r="I156" t="str">
            <v>Atlanta</v>
          </cell>
          <cell r="J156" t="str">
            <v>GA</v>
          </cell>
          <cell r="K156">
            <v>30336</v>
          </cell>
          <cell r="L156" t="str">
            <v>United States</v>
          </cell>
          <cell r="M156"/>
          <cell r="N156">
            <v>57874</v>
          </cell>
          <cell r="O156">
            <v>1</v>
          </cell>
          <cell r="P156"/>
          <cell r="Q156" t="str">
            <v>Property - Private Equity</v>
          </cell>
          <cell r="R156" t="str">
            <v>Industrial</v>
          </cell>
          <cell r="S156" t="str">
            <v>Warehouse</v>
          </cell>
          <cell r="T156">
            <v>1974</v>
          </cell>
          <cell r="U156" t="str">
            <v>Sq. Feet</v>
          </cell>
          <cell r="V156" t="str">
            <v>Value-Add</v>
          </cell>
          <cell r="W156" t="str">
            <v>Industrial / Logistics</v>
          </cell>
          <cell r="X156" t="str">
            <v>Common Equity</v>
          </cell>
          <cell r="Y156"/>
          <cell r="Z156"/>
          <cell r="AA156"/>
          <cell r="AB156"/>
          <cell r="AC156"/>
          <cell r="AD156"/>
          <cell r="AE156"/>
          <cell r="AF156"/>
          <cell r="AG156"/>
          <cell r="AH156"/>
          <cell r="AI156"/>
          <cell r="AJ156"/>
          <cell r="AK156"/>
          <cell r="AL156"/>
          <cell r="AM156"/>
          <cell r="AN156"/>
          <cell r="AO156"/>
          <cell r="AP156"/>
          <cell r="AQ156"/>
          <cell r="AR156"/>
          <cell r="AS156">
            <v>43983</v>
          </cell>
          <cell r="AT156">
            <v>2500000</v>
          </cell>
          <cell r="AU156">
            <v>2651689.31</v>
          </cell>
          <cell r="AV156">
            <v>258000</v>
          </cell>
          <cell r="AW156"/>
          <cell r="AX156">
            <v>0.1032</v>
          </cell>
          <cell r="AY156"/>
          <cell r="AZ156"/>
          <cell r="BA156">
            <v>1</v>
          </cell>
          <cell r="BB156"/>
          <cell r="BC156">
            <v>1</v>
          </cell>
          <cell r="BD156">
            <v>119294.32</v>
          </cell>
          <cell r="BE156">
            <v>214788.14</v>
          </cell>
          <cell r="BF156">
            <v>169627.57</v>
          </cell>
          <cell r="BG156">
            <v>0</v>
          </cell>
          <cell r="BH156"/>
          <cell r="BI156"/>
          <cell r="BJ156">
            <v>2651689.31</v>
          </cell>
        </row>
        <row r="157">
          <cell r="B157" t="str">
            <v>gahig021</v>
          </cell>
          <cell r="C157" t="str">
            <v>449 Highway 74 South</v>
          </cell>
          <cell r="D157" t="str">
            <v>Realized</v>
          </cell>
          <cell r="E157" t="str">
            <v>Logistic Fund I</v>
          </cell>
          <cell r="F157" t="str">
            <v>USD</v>
          </cell>
          <cell r="G157" t="str">
            <v>Last Mile</v>
          </cell>
          <cell r="H157" t="str">
            <v>Atlanta</v>
          </cell>
          <cell r="I157" t="str">
            <v>Peachtree City</v>
          </cell>
          <cell r="J157" t="str">
            <v>GA</v>
          </cell>
          <cell r="K157">
            <v>30269</v>
          </cell>
          <cell r="L157" t="str">
            <v>United States</v>
          </cell>
          <cell r="M157"/>
          <cell r="N157">
            <v>40037</v>
          </cell>
          <cell r="O157">
            <v>1</v>
          </cell>
          <cell r="P157"/>
          <cell r="Q157" t="str">
            <v>Property - Private Equity</v>
          </cell>
          <cell r="R157" t="str">
            <v>Industrial</v>
          </cell>
          <cell r="S157" t="str">
            <v>Warehouse</v>
          </cell>
          <cell r="T157">
            <v>1974</v>
          </cell>
          <cell r="U157" t="str">
            <v>Sq. Feet</v>
          </cell>
          <cell r="V157" t="str">
            <v>Value-Add</v>
          </cell>
          <cell r="W157" t="str">
            <v>Industrial / Logistics</v>
          </cell>
          <cell r="X157" t="str">
            <v>Common Equity</v>
          </cell>
          <cell r="Y157"/>
          <cell r="Z157"/>
          <cell r="AA157"/>
          <cell r="AB157"/>
          <cell r="AC157"/>
          <cell r="AD157"/>
          <cell r="AE157"/>
          <cell r="AF157"/>
          <cell r="AG157"/>
          <cell r="AH157"/>
          <cell r="AI157"/>
          <cell r="AJ157"/>
          <cell r="AK157"/>
          <cell r="AL157"/>
          <cell r="AM157"/>
          <cell r="AN157"/>
          <cell r="AO157"/>
          <cell r="AP157"/>
          <cell r="AQ157"/>
          <cell r="AR157"/>
          <cell r="AS157">
            <v>43990</v>
          </cell>
          <cell r="AT157">
            <v>3000000</v>
          </cell>
          <cell r="AU157">
            <v>3068488.5</v>
          </cell>
          <cell r="AV157">
            <v>232800</v>
          </cell>
          <cell r="AW157"/>
          <cell r="AX157">
            <v>7.7600000000000002E-2</v>
          </cell>
          <cell r="AY157"/>
          <cell r="AZ157"/>
          <cell r="BA157">
            <v>1</v>
          </cell>
          <cell r="BB157"/>
          <cell r="BC157">
            <v>1</v>
          </cell>
          <cell r="BD157">
            <v>71746.7</v>
          </cell>
          <cell r="BE157">
            <v>180832.87</v>
          </cell>
          <cell r="BF157">
            <v>118587.44</v>
          </cell>
          <cell r="BG157">
            <v>0</v>
          </cell>
          <cell r="BH157"/>
          <cell r="BI157"/>
          <cell r="BJ157">
            <v>3068488.5</v>
          </cell>
        </row>
        <row r="158">
          <cell r="B158" t="str">
            <v>tntri7</v>
          </cell>
          <cell r="C158" t="str">
            <v>4311-4313 Air Trans Road</v>
          </cell>
          <cell r="D158" t="str">
            <v>Realized</v>
          </cell>
          <cell r="E158" t="str">
            <v>Logistic Fund I</v>
          </cell>
          <cell r="F158" t="str">
            <v>USD</v>
          </cell>
          <cell r="G158" t="str">
            <v>Last Mile</v>
          </cell>
          <cell r="H158" t="str">
            <v>Memphis</v>
          </cell>
          <cell r="I158" t="str">
            <v>Memphis</v>
          </cell>
          <cell r="J158" t="str">
            <v>TN</v>
          </cell>
          <cell r="K158" t="str">
            <v>N/A</v>
          </cell>
          <cell r="L158" t="str">
            <v>United States</v>
          </cell>
          <cell r="M158"/>
          <cell r="N158">
            <v>6000</v>
          </cell>
          <cell r="O158">
            <v>1</v>
          </cell>
          <cell r="P158"/>
          <cell r="Q158" t="str">
            <v>Property - Private Equity</v>
          </cell>
          <cell r="R158" t="str">
            <v>Industrial</v>
          </cell>
          <cell r="S158" t="str">
            <v>Warehouse</v>
          </cell>
          <cell r="T158" t="str">
            <v>N/A</v>
          </cell>
          <cell r="U158" t="str">
            <v>Sq. Feet</v>
          </cell>
          <cell r="V158" t="str">
            <v>Value-Add</v>
          </cell>
          <cell r="W158" t="str">
            <v>Industrial / Logistics</v>
          </cell>
          <cell r="X158" t="str">
            <v>Common Equity</v>
          </cell>
          <cell r="Y158"/>
          <cell r="Z158"/>
          <cell r="AA158"/>
          <cell r="AB158"/>
          <cell r="AC158"/>
          <cell r="AD158"/>
          <cell r="AE158"/>
          <cell r="AF158"/>
          <cell r="AG158"/>
          <cell r="AH158"/>
          <cell r="AI158"/>
          <cell r="AJ158"/>
          <cell r="AK158"/>
          <cell r="AL158"/>
          <cell r="AM158"/>
          <cell r="AN158"/>
          <cell r="AO158"/>
          <cell r="AP158"/>
          <cell r="AQ158"/>
          <cell r="AR158"/>
          <cell r="AS158">
            <v>44012</v>
          </cell>
          <cell r="AT158">
            <v>916000</v>
          </cell>
          <cell r="AU158">
            <v>1016000</v>
          </cell>
          <cell r="AV158">
            <v>78776</v>
          </cell>
          <cell r="AW158"/>
          <cell r="AX158">
            <v>8.5999999999999993E-2</v>
          </cell>
          <cell r="AY158"/>
          <cell r="AZ158"/>
          <cell r="BA158">
            <v>1</v>
          </cell>
          <cell r="BB158"/>
          <cell r="BC158">
            <v>1</v>
          </cell>
          <cell r="BD158">
            <v>-12723.68</v>
          </cell>
          <cell r="BE158">
            <v>375.28</v>
          </cell>
          <cell r="BF158">
            <v>0</v>
          </cell>
          <cell r="BG158">
            <v>0</v>
          </cell>
          <cell r="BH158"/>
          <cell r="BI158"/>
          <cell r="BJ158">
            <v>1016000</v>
          </cell>
        </row>
        <row r="159">
          <cell r="B159" t="str">
            <v>tntri8</v>
          </cell>
          <cell r="C159" t="str">
            <v>4299 Air Trans Road</v>
          </cell>
          <cell r="D159" t="str">
            <v>Realized</v>
          </cell>
          <cell r="E159" t="str">
            <v>Logistic Fund I</v>
          </cell>
          <cell r="F159" t="str">
            <v>USD</v>
          </cell>
          <cell r="G159" t="str">
            <v>Last Mile</v>
          </cell>
          <cell r="H159" t="str">
            <v>Memphis</v>
          </cell>
          <cell r="I159" t="str">
            <v>Memphis</v>
          </cell>
          <cell r="J159" t="str">
            <v>TN</v>
          </cell>
          <cell r="K159" t="str">
            <v>N/A</v>
          </cell>
          <cell r="L159" t="str">
            <v>United States</v>
          </cell>
          <cell r="M159"/>
          <cell r="N159">
            <v>15000</v>
          </cell>
          <cell r="O159">
            <v>1</v>
          </cell>
          <cell r="P159"/>
          <cell r="Q159" t="str">
            <v>Property - Private Equity</v>
          </cell>
          <cell r="R159" t="str">
            <v>Industrial</v>
          </cell>
          <cell r="S159" t="str">
            <v>Warehouse</v>
          </cell>
          <cell r="T159" t="str">
            <v>N/A</v>
          </cell>
          <cell r="U159" t="str">
            <v>Sq. Feet</v>
          </cell>
          <cell r="V159" t="str">
            <v>Value-Add</v>
          </cell>
          <cell r="W159" t="str">
            <v>Industrial / Logistics</v>
          </cell>
          <cell r="X159" t="str">
            <v>Common Equity</v>
          </cell>
          <cell r="Y159"/>
          <cell r="Z159"/>
          <cell r="AA159"/>
          <cell r="AB159"/>
          <cell r="AC159"/>
          <cell r="AD159"/>
          <cell r="AE159"/>
          <cell r="AF159"/>
          <cell r="AG159"/>
          <cell r="AH159"/>
          <cell r="AI159"/>
          <cell r="AJ159"/>
          <cell r="AK159"/>
          <cell r="AL159"/>
          <cell r="AM159"/>
          <cell r="AN159"/>
          <cell r="AO159"/>
          <cell r="AP159"/>
          <cell r="AQ159"/>
          <cell r="AR159"/>
          <cell r="AS159">
            <v>44012</v>
          </cell>
          <cell r="AT159">
            <v>920000</v>
          </cell>
          <cell r="AU159">
            <v>1020000</v>
          </cell>
          <cell r="AV159">
            <v>79120</v>
          </cell>
          <cell r="AW159"/>
          <cell r="AX159">
            <v>8.5999999999999993E-2</v>
          </cell>
          <cell r="AY159"/>
          <cell r="AZ159"/>
          <cell r="BA159">
            <v>1</v>
          </cell>
          <cell r="BB159"/>
          <cell r="BC159">
            <v>1</v>
          </cell>
          <cell r="BD159">
            <v>-7762.5</v>
          </cell>
          <cell r="BE159">
            <v>-1515.66</v>
          </cell>
          <cell r="BF159">
            <v>0</v>
          </cell>
          <cell r="BG159">
            <v>0</v>
          </cell>
          <cell r="BH159"/>
          <cell r="BI159"/>
          <cell r="BJ159">
            <v>1020000</v>
          </cell>
        </row>
        <row r="160">
          <cell r="B160" t="str">
            <v>gamoo022</v>
          </cell>
          <cell r="C160" t="str">
            <v>3150 Moon Station Road</v>
          </cell>
          <cell r="D160" t="str">
            <v>Realized</v>
          </cell>
          <cell r="E160" t="str">
            <v>Logistic Fund I</v>
          </cell>
          <cell r="F160" t="str">
            <v>USD</v>
          </cell>
          <cell r="G160" t="str">
            <v>Last Mile</v>
          </cell>
          <cell r="H160" t="str">
            <v>Atlanta</v>
          </cell>
          <cell r="I160" t="str">
            <v>Kennesaw</v>
          </cell>
          <cell r="J160" t="str">
            <v>GA</v>
          </cell>
          <cell r="K160">
            <v>30144</v>
          </cell>
          <cell r="L160" t="str">
            <v>United States</v>
          </cell>
          <cell r="M160"/>
          <cell r="N160">
            <v>40000</v>
          </cell>
          <cell r="O160">
            <v>1</v>
          </cell>
          <cell r="P160"/>
          <cell r="Q160" t="str">
            <v>Property - Private Equity</v>
          </cell>
          <cell r="R160" t="str">
            <v>Industrial</v>
          </cell>
          <cell r="S160" t="str">
            <v>Warehouse</v>
          </cell>
          <cell r="T160">
            <v>1985</v>
          </cell>
          <cell r="U160" t="str">
            <v>Sq. Feet</v>
          </cell>
          <cell r="V160" t="str">
            <v>Value-Add</v>
          </cell>
          <cell r="W160" t="str">
            <v>Industrial / Logistics</v>
          </cell>
          <cell r="X160" t="str">
            <v>Common Equity</v>
          </cell>
          <cell r="Y160"/>
          <cell r="Z160"/>
          <cell r="AA160"/>
          <cell r="AB160"/>
          <cell r="AC160"/>
          <cell r="AD160"/>
          <cell r="AE160"/>
          <cell r="AF160"/>
          <cell r="AG160"/>
          <cell r="AH160"/>
          <cell r="AI160"/>
          <cell r="AJ160"/>
          <cell r="AK160"/>
          <cell r="AL160"/>
          <cell r="AM160"/>
          <cell r="AN160"/>
          <cell r="AO160"/>
          <cell r="AP160"/>
          <cell r="AQ160"/>
          <cell r="AR160"/>
          <cell r="AS160">
            <v>44012</v>
          </cell>
          <cell r="AT160">
            <v>2470000</v>
          </cell>
          <cell r="AU160">
            <v>2505569.5</v>
          </cell>
          <cell r="AV160">
            <v>226499</v>
          </cell>
          <cell r="AW160"/>
          <cell r="AX160">
            <v>9.1700000000000004E-2</v>
          </cell>
          <cell r="AY160"/>
          <cell r="AZ160"/>
          <cell r="BA160">
            <v>1</v>
          </cell>
          <cell r="BB160"/>
          <cell r="BC160">
            <v>1</v>
          </cell>
          <cell r="BD160">
            <v>74541.78</v>
          </cell>
          <cell r="BE160">
            <v>214207.4</v>
          </cell>
          <cell r="BF160">
            <v>9606.64</v>
          </cell>
          <cell r="BG160">
            <v>0</v>
          </cell>
          <cell r="BH160"/>
          <cell r="BI160"/>
          <cell r="BJ160">
            <v>2505569.5</v>
          </cell>
        </row>
        <row r="161">
          <cell r="B161" t="str">
            <v>tntri9</v>
          </cell>
          <cell r="C161" t="str">
            <v>4056 Homewood Road</v>
          </cell>
          <cell r="D161" t="str">
            <v>Realized</v>
          </cell>
          <cell r="E161" t="str">
            <v>Logistic Fund I</v>
          </cell>
          <cell r="F161" t="str">
            <v>USD</v>
          </cell>
          <cell r="G161" t="str">
            <v>Last Mile</v>
          </cell>
          <cell r="H161" t="str">
            <v>Memphis</v>
          </cell>
          <cell r="I161" t="str">
            <v>Memphis</v>
          </cell>
          <cell r="J161" t="str">
            <v>TN</v>
          </cell>
          <cell r="K161" t="str">
            <v>N/A</v>
          </cell>
          <cell r="L161" t="str">
            <v>United States</v>
          </cell>
          <cell r="M161"/>
          <cell r="N161">
            <v>42000</v>
          </cell>
          <cell r="O161">
            <v>1</v>
          </cell>
          <cell r="P161"/>
          <cell r="Q161" t="str">
            <v>Property - Private Equity</v>
          </cell>
          <cell r="R161" t="str">
            <v>Industrial</v>
          </cell>
          <cell r="S161" t="str">
            <v>Warehouse</v>
          </cell>
          <cell r="T161">
            <v>1988</v>
          </cell>
          <cell r="U161" t="str">
            <v>Sq. Feet</v>
          </cell>
          <cell r="V161" t="str">
            <v>Value-Add</v>
          </cell>
          <cell r="W161" t="str">
            <v>Industrial / Logistics</v>
          </cell>
          <cell r="X161" t="str">
            <v>Common Equity</v>
          </cell>
          <cell r="Y161"/>
          <cell r="Z161"/>
          <cell r="AA161"/>
          <cell r="AB161"/>
          <cell r="AC161"/>
          <cell r="AD161"/>
          <cell r="AE161"/>
          <cell r="AF161"/>
          <cell r="AG161"/>
          <cell r="AH161"/>
          <cell r="AI161"/>
          <cell r="AJ161"/>
          <cell r="AK161"/>
          <cell r="AL161"/>
          <cell r="AM161"/>
          <cell r="AN161"/>
          <cell r="AO161"/>
          <cell r="AP161"/>
          <cell r="AQ161"/>
          <cell r="AR161"/>
          <cell r="AS161">
            <v>44012</v>
          </cell>
          <cell r="AT161">
            <v>1204783</v>
          </cell>
          <cell r="AU161">
            <v>1234214.9912479299</v>
          </cell>
          <cell r="AV161">
            <v>103972.7729</v>
          </cell>
          <cell r="AW161"/>
          <cell r="AX161">
            <v>8.6300000000000002E-2</v>
          </cell>
          <cell r="AY161"/>
          <cell r="AZ161"/>
          <cell r="BA161">
            <v>0.94</v>
          </cell>
          <cell r="BB161"/>
          <cell r="BC161">
            <v>1</v>
          </cell>
          <cell r="BD161">
            <v>52970.09</v>
          </cell>
          <cell r="BE161">
            <v>129897.31</v>
          </cell>
          <cell r="BF161">
            <v>24704.15</v>
          </cell>
          <cell r="BG161">
            <v>0</v>
          </cell>
          <cell r="BH161"/>
          <cell r="BI161"/>
          <cell r="BJ161">
            <v>1234214.9912479299</v>
          </cell>
        </row>
        <row r="162">
          <cell r="B162" t="str">
            <v>tntri18</v>
          </cell>
          <cell r="C162" t="str">
            <v>3983 Senator Street</v>
          </cell>
          <cell r="D162" t="str">
            <v>Realized</v>
          </cell>
          <cell r="E162" t="str">
            <v>Logistic Fund I</v>
          </cell>
          <cell r="F162" t="str">
            <v>USD</v>
          </cell>
          <cell r="G162" t="str">
            <v>Last Mile</v>
          </cell>
          <cell r="H162" t="str">
            <v>Memphis</v>
          </cell>
          <cell r="I162" t="str">
            <v>Memphis</v>
          </cell>
          <cell r="J162" t="str">
            <v>TN</v>
          </cell>
          <cell r="K162" t="str">
            <v>N/A</v>
          </cell>
          <cell r="L162" t="str">
            <v>United States</v>
          </cell>
          <cell r="M162"/>
          <cell r="N162">
            <v>75000</v>
          </cell>
          <cell r="O162">
            <v>1</v>
          </cell>
          <cell r="P162"/>
          <cell r="Q162" t="str">
            <v>Property - Private Equity</v>
          </cell>
          <cell r="R162" t="str">
            <v>Industrial</v>
          </cell>
          <cell r="S162" t="str">
            <v>Warehouse</v>
          </cell>
          <cell r="T162">
            <v>1969</v>
          </cell>
          <cell r="U162" t="str">
            <v>Sq. Feet</v>
          </cell>
          <cell r="V162" t="str">
            <v>Value-Add</v>
          </cell>
          <cell r="W162" t="str">
            <v>Industrial / Logistics</v>
          </cell>
          <cell r="X162" t="str">
            <v>Common Equity</v>
          </cell>
          <cell r="Y162"/>
          <cell r="Z162"/>
          <cell r="AA162"/>
          <cell r="AB162"/>
          <cell r="AC162"/>
          <cell r="AD162"/>
          <cell r="AE162"/>
          <cell r="AF162"/>
          <cell r="AG162"/>
          <cell r="AH162"/>
          <cell r="AI162"/>
          <cell r="AJ162"/>
          <cell r="AK162"/>
          <cell r="AL162"/>
          <cell r="AM162"/>
          <cell r="AN162"/>
          <cell r="AO162"/>
          <cell r="AP162"/>
          <cell r="AQ162"/>
          <cell r="AR162"/>
          <cell r="AS162">
            <v>44012</v>
          </cell>
          <cell r="AT162">
            <v>1300148</v>
          </cell>
          <cell r="AU162">
            <v>1331909.6903268169</v>
          </cell>
          <cell r="AV162">
            <v>112202.7724</v>
          </cell>
          <cell r="AW162"/>
          <cell r="AX162">
            <v>8.6300000000000002E-2</v>
          </cell>
          <cell r="AY162"/>
          <cell r="AZ162"/>
          <cell r="BA162">
            <v>0.94</v>
          </cell>
          <cell r="BB162"/>
          <cell r="BC162">
            <v>1</v>
          </cell>
          <cell r="BD162">
            <v>78183.820000000007</v>
          </cell>
          <cell r="BE162">
            <v>231244.03</v>
          </cell>
          <cell r="BF162">
            <v>81856.710000000006</v>
          </cell>
          <cell r="BG162">
            <v>0</v>
          </cell>
          <cell r="BH162"/>
          <cell r="BI162"/>
          <cell r="BJ162">
            <v>1331909.6903268169</v>
          </cell>
        </row>
        <row r="163">
          <cell r="B163" t="str">
            <v>tntri4</v>
          </cell>
          <cell r="C163" t="str">
            <v>4280-4290 Concorde Road</v>
          </cell>
          <cell r="D163" t="str">
            <v>Realized</v>
          </cell>
          <cell r="E163" t="str">
            <v>Logistic Fund I</v>
          </cell>
          <cell r="F163" t="str">
            <v>USD</v>
          </cell>
          <cell r="G163" t="str">
            <v>Last Mile</v>
          </cell>
          <cell r="H163" t="str">
            <v>Memphis</v>
          </cell>
          <cell r="I163" t="str">
            <v>Memphis</v>
          </cell>
          <cell r="J163" t="str">
            <v>TN</v>
          </cell>
          <cell r="K163">
            <v>38118</v>
          </cell>
          <cell r="L163" t="str">
            <v>United States</v>
          </cell>
          <cell r="M163"/>
          <cell r="N163">
            <v>80000</v>
          </cell>
          <cell r="O163">
            <v>1</v>
          </cell>
          <cell r="P163"/>
          <cell r="Q163" t="str">
            <v>Property - Private Equity</v>
          </cell>
          <cell r="R163" t="str">
            <v>Industrial</v>
          </cell>
          <cell r="S163" t="str">
            <v>Warehouse</v>
          </cell>
          <cell r="T163">
            <v>1985</v>
          </cell>
          <cell r="U163" t="str">
            <v>Sq. Feet</v>
          </cell>
          <cell r="V163" t="str">
            <v>Value-Add</v>
          </cell>
          <cell r="W163" t="str">
            <v>Industrial / Logistics</v>
          </cell>
          <cell r="X163" t="str">
            <v>Common Equity</v>
          </cell>
          <cell r="Y163"/>
          <cell r="Z163"/>
          <cell r="AA163"/>
          <cell r="AB163"/>
          <cell r="AC163"/>
          <cell r="AD163"/>
          <cell r="AE163"/>
          <cell r="AF163"/>
          <cell r="AG163"/>
          <cell r="AH163"/>
          <cell r="AI163"/>
          <cell r="AJ163"/>
          <cell r="AK163"/>
          <cell r="AL163"/>
          <cell r="AM163"/>
          <cell r="AN163"/>
          <cell r="AO163"/>
          <cell r="AP163"/>
          <cell r="AQ163"/>
          <cell r="AR163"/>
          <cell r="AS163">
            <v>44012</v>
          </cell>
          <cell r="AT163">
            <v>1909708</v>
          </cell>
          <cell r="AU163">
            <v>1956360.8073039721</v>
          </cell>
          <cell r="AV163">
            <v>164807.80040000001</v>
          </cell>
          <cell r="AW163"/>
          <cell r="AX163">
            <v>8.6300000000000002E-2</v>
          </cell>
          <cell r="AY163"/>
          <cell r="AZ163"/>
          <cell r="BA163">
            <v>0.94</v>
          </cell>
          <cell r="BB163"/>
          <cell r="BC163">
            <v>1</v>
          </cell>
          <cell r="BD163">
            <v>66255.7</v>
          </cell>
          <cell r="BE163">
            <v>150189.1</v>
          </cell>
          <cell r="BF163">
            <v>43025.48</v>
          </cell>
          <cell r="BG163">
            <v>0</v>
          </cell>
          <cell r="BH163"/>
          <cell r="BI163"/>
          <cell r="BJ163">
            <v>1956360.8073039721</v>
          </cell>
        </row>
        <row r="164">
          <cell r="B164" t="str">
            <v>tntrid8</v>
          </cell>
          <cell r="C164" t="str">
            <v>4486-4524 Delp Street</v>
          </cell>
          <cell r="D164" t="str">
            <v>Realized</v>
          </cell>
          <cell r="E164" t="str">
            <v>Logistic Fund I</v>
          </cell>
          <cell r="F164" t="str">
            <v>USD</v>
          </cell>
          <cell r="G164" t="str">
            <v>Last Mile</v>
          </cell>
          <cell r="H164" t="str">
            <v>Memphis</v>
          </cell>
          <cell r="I164" t="str">
            <v>Memphis</v>
          </cell>
          <cell r="J164" t="str">
            <v>TN</v>
          </cell>
          <cell r="K164" t="str">
            <v>N/A</v>
          </cell>
          <cell r="L164" t="str">
            <v>United States</v>
          </cell>
          <cell r="M164"/>
          <cell r="N164">
            <v>92920</v>
          </cell>
          <cell r="O164">
            <v>1</v>
          </cell>
          <cell r="P164"/>
          <cell r="Q164" t="str">
            <v>Property - Private Equity</v>
          </cell>
          <cell r="R164" t="str">
            <v>Industrial</v>
          </cell>
          <cell r="S164" t="str">
            <v>Warehouse</v>
          </cell>
          <cell r="T164">
            <v>1974</v>
          </cell>
          <cell r="U164" t="str">
            <v>Sq. Feet</v>
          </cell>
          <cell r="V164" t="str">
            <v>Value-Add</v>
          </cell>
          <cell r="W164" t="str">
            <v>Industrial / Logistics</v>
          </cell>
          <cell r="X164" t="str">
            <v>Common Equity</v>
          </cell>
          <cell r="Y164"/>
          <cell r="Z164"/>
          <cell r="AA164"/>
          <cell r="AB164"/>
          <cell r="AC164"/>
          <cell r="AD164"/>
          <cell r="AE164"/>
          <cell r="AF164"/>
          <cell r="AG164"/>
          <cell r="AH164"/>
          <cell r="AI164"/>
          <cell r="AJ164"/>
          <cell r="AK164"/>
          <cell r="AL164"/>
          <cell r="AM164"/>
          <cell r="AN164"/>
          <cell r="AO164"/>
          <cell r="AP164"/>
          <cell r="AQ164"/>
          <cell r="AR164"/>
          <cell r="AS164">
            <v>44012</v>
          </cell>
          <cell r="AT164">
            <v>2217264</v>
          </cell>
          <cell r="AU164">
            <v>2271430.1814968754</v>
          </cell>
          <cell r="AV164">
            <v>191349.88320000001</v>
          </cell>
          <cell r="AW164"/>
          <cell r="AX164">
            <v>8.6300000000000002E-2</v>
          </cell>
          <cell r="AY164"/>
          <cell r="AZ164"/>
          <cell r="BA164">
            <v>0.94</v>
          </cell>
          <cell r="BB164"/>
          <cell r="BC164">
            <v>1</v>
          </cell>
          <cell r="BD164">
            <v>94658.29</v>
          </cell>
          <cell r="BE164">
            <v>191588.97</v>
          </cell>
          <cell r="BF164">
            <v>167409.60000000001</v>
          </cell>
          <cell r="BG164">
            <v>0</v>
          </cell>
          <cell r="BH164"/>
          <cell r="BI164"/>
          <cell r="BJ164">
            <v>2271430.1814968754</v>
          </cell>
        </row>
        <row r="165">
          <cell r="B165" t="str">
            <v>tntrid2</v>
          </cell>
          <cell r="C165" t="str">
            <v>3901-3921 Delp Street</v>
          </cell>
          <cell r="D165" t="str">
            <v>Realized</v>
          </cell>
          <cell r="E165" t="str">
            <v>Logistic Fund I</v>
          </cell>
          <cell r="F165" t="str">
            <v>USD</v>
          </cell>
          <cell r="G165" t="str">
            <v>Last Mile</v>
          </cell>
          <cell r="H165" t="str">
            <v>Memphis</v>
          </cell>
          <cell r="I165" t="str">
            <v>Memphis</v>
          </cell>
          <cell r="J165" t="str">
            <v>TN</v>
          </cell>
          <cell r="K165" t="str">
            <v>N/A</v>
          </cell>
          <cell r="L165" t="str">
            <v>United States</v>
          </cell>
          <cell r="M165"/>
          <cell r="N165">
            <v>97726</v>
          </cell>
          <cell r="O165">
            <v>1</v>
          </cell>
          <cell r="P165"/>
          <cell r="Q165" t="str">
            <v>Property - Private Equity</v>
          </cell>
          <cell r="R165" t="str">
            <v>Industrial</v>
          </cell>
          <cell r="S165" t="str">
            <v>Warehouse</v>
          </cell>
          <cell r="T165">
            <v>1970</v>
          </cell>
          <cell r="U165" t="str">
            <v>Sq. Feet</v>
          </cell>
          <cell r="V165" t="str">
            <v>Value-Add</v>
          </cell>
          <cell r="W165" t="str">
            <v>Industrial / Logistics</v>
          </cell>
          <cell r="X165" t="str">
            <v>Common Equity</v>
          </cell>
          <cell r="Y165"/>
          <cell r="Z165"/>
          <cell r="AA165"/>
          <cell r="AB165"/>
          <cell r="AC165"/>
          <cell r="AD165"/>
          <cell r="AE165"/>
          <cell r="AF165"/>
          <cell r="AG165"/>
          <cell r="AH165"/>
          <cell r="AI165"/>
          <cell r="AJ165"/>
          <cell r="AK165"/>
          <cell r="AL165"/>
          <cell r="AM165"/>
          <cell r="AN165"/>
          <cell r="AO165"/>
          <cell r="AP165"/>
          <cell r="AQ165"/>
          <cell r="AR165"/>
          <cell r="AS165">
            <v>44012</v>
          </cell>
          <cell r="AT165">
            <v>2388373</v>
          </cell>
          <cell r="AU165">
            <v>2446719.2525888826</v>
          </cell>
          <cell r="AV165">
            <v>206116.58989999999</v>
          </cell>
          <cell r="AW165"/>
          <cell r="AX165">
            <v>8.6300000000000002E-2</v>
          </cell>
          <cell r="AY165"/>
          <cell r="AZ165"/>
          <cell r="BA165">
            <v>0.94</v>
          </cell>
          <cell r="BB165"/>
          <cell r="BC165">
            <v>1</v>
          </cell>
          <cell r="BD165">
            <v>120980.95</v>
          </cell>
          <cell r="BE165">
            <v>185263.32</v>
          </cell>
          <cell r="BF165">
            <v>80022.87</v>
          </cell>
          <cell r="BG165">
            <v>0</v>
          </cell>
          <cell r="BH165"/>
          <cell r="BI165"/>
          <cell r="BJ165">
            <v>2446719.2525888826</v>
          </cell>
        </row>
        <row r="166">
          <cell r="B166" t="str">
            <v>tntri2</v>
          </cell>
          <cell r="C166" t="str">
            <v>4148 Delp Street</v>
          </cell>
          <cell r="D166" t="str">
            <v>Realized</v>
          </cell>
          <cell r="E166" t="str">
            <v>Logistic Fund I</v>
          </cell>
          <cell r="F166" t="str">
            <v>USD</v>
          </cell>
          <cell r="G166" t="str">
            <v>Last Mile</v>
          </cell>
          <cell r="H166" t="str">
            <v>Memphis</v>
          </cell>
          <cell r="I166" t="str">
            <v>Memphis</v>
          </cell>
          <cell r="J166" t="str">
            <v>TN</v>
          </cell>
          <cell r="K166" t="str">
            <v>N/A</v>
          </cell>
          <cell r="L166" t="str">
            <v>United States</v>
          </cell>
          <cell r="M166"/>
          <cell r="N166">
            <v>102400</v>
          </cell>
          <cell r="O166">
            <v>1</v>
          </cell>
          <cell r="P166"/>
          <cell r="Q166" t="str">
            <v>Property - Private Equity</v>
          </cell>
          <cell r="R166" t="str">
            <v>Industrial</v>
          </cell>
          <cell r="S166" t="str">
            <v>Warehouse</v>
          </cell>
          <cell r="T166">
            <v>1969</v>
          </cell>
          <cell r="U166" t="str">
            <v>Sq. Feet</v>
          </cell>
          <cell r="V166" t="str">
            <v>Value-Add</v>
          </cell>
          <cell r="W166" t="str">
            <v>Industrial / Logistics</v>
          </cell>
          <cell r="X166" t="str">
            <v>Common Equity</v>
          </cell>
          <cell r="Y166"/>
          <cell r="Z166"/>
          <cell r="AA166"/>
          <cell r="AB166"/>
          <cell r="AC166"/>
          <cell r="AD166"/>
          <cell r="AE166"/>
          <cell r="AF166"/>
          <cell r="AG166"/>
          <cell r="AH166"/>
          <cell r="AI166"/>
          <cell r="AJ166"/>
          <cell r="AK166"/>
          <cell r="AL166"/>
          <cell r="AM166"/>
          <cell r="AN166"/>
          <cell r="AO166"/>
          <cell r="AP166"/>
          <cell r="AQ166"/>
          <cell r="AR166"/>
          <cell r="AS166">
            <v>44012</v>
          </cell>
          <cell r="AT166">
            <v>2350083</v>
          </cell>
          <cell r="AU166">
            <v>2407493.8551398125</v>
          </cell>
          <cell r="AV166">
            <v>202812.1629</v>
          </cell>
          <cell r="AW166"/>
          <cell r="AX166">
            <v>8.6300000000000002E-2</v>
          </cell>
          <cell r="AY166"/>
          <cell r="AZ166"/>
          <cell r="BA166">
            <v>0.94</v>
          </cell>
          <cell r="BB166"/>
          <cell r="BC166">
            <v>1</v>
          </cell>
          <cell r="BD166">
            <v>85655.49</v>
          </cell>
          <cell r="BE166">
            <v>137504.38</v>
          </cell>
          <cell r="BF166">
            <v>400437.44</v>
          </cell>
          <cell r="BG166">
            <v>0</v>
          </cell>
          <cell r="BH166"/>
          <cell r="BI166"/>
          <cell r="BJ166">
            <v>2407493.8551398125</v>
          </cell>
        </row>
        <row r="167">
          <cell r="B167" t="str">
            <v>tntri11</v>
          </cell>
          <cell r="C167" t="str">
            <v>3970-4000 Senator Street</v>
          </cell>
          <cell r="D167" t="str">
            <v>Realized</v>
          </cell>
          <cell r="E167" t="str">
            <v>Logistic Fund I</v>
          </cell>
          <cell r="F167" t="str">
            <v>USD</v>
          </cell>
          <cell r="G167" t="str">
            <v>Last Mile</v>
          </cell>
          <cell r="H167" t="str">
            <v>Memphis</v>
          </cell>
          <cell r="I167" t="str">
            <v>Memphis</v>
          </cell>
          <cell r="J167" t="str">
            <v>TN</v>
          </cell>
          <cell r="K167" t="str">
            <v>N/A</v>
          </cell>
          <cell r="L167" t="str">
            <v>United States</v>
          </cell>
          <cell r="M167"/>
          <cell r="N167">
            <v>121345</v>
          </cell>
          <cell r="O167">
            <v>1</v>
          </cell>
          <cell r="P167"/>
          <cell r="Q167" t="str">
            <v>Property - Private Equity</v>
          </cell>
          <cell r="R167" t="str">
            <v>Industrial</v>
          </cell>
          <cell r="S167" t="str">
            <v>Warehouse</v>
          </cell>
          <cell r="T167">
            <v>1967</v>
          </cell>
          <cell r="U167" t="str">
            <v>Sq. Feet</v>
          </cell>
          <cell r="V167" t="str">
            <v>Value-Add</v>
          </cell>
          <cell r="W167" t="str">
            <v>Industrial / Logistics</v>
          </cell>
          <cell r="X167" t="str">
            <v>Common Equity</v>
          </cell>
          <cell r="Y167"/>
          <cell r="Z167"/>
          <cell r="AA167"/>
          <cell r="AB167"/>
          <cell r="AC167"/>
          <cell r="AD167"/>
          <cell r="AE167"/>
          <cell r="AF167"/>
          <cell r="AG167"/>
          <cell r="AH167"/>
          <cell r="AI167"/>
          <cell r="AJ167"/>
          <cell r="AK167"/>
          <cell r="AL167"/>
          <cell r="AM167"/>
          <cell r="AN167"/>
          <cell r="AO167"/>
          <cell r="AP167"/>
          <cell r="AQ167"/>
          <cell r="AR167"/>
          <cell r="AS167">
            <v>44012</v>
          </cell>
          <cell r="AT167">
            <v>2472872</v>
          </cell>
          <cell r="AU167">
            <v>2533282.5030210838</v>
          </cell>
          <cell r="AV167">
            <v>213408.8536</v>
          </cell>
          <cell r="AW167"/>
          <cell r="AX167">
            <v>8.6300000000000002E-2</v>
          </cell>
          <cell r="AY167"/>
          <cell r="AZ167"/>
          <cell r="BA167">
            <v>0.94</v>
          </cell>
          <cell r="BB167"/>
          <cell r="BC167">
            <v>1</v>
          </cell>
          <cell r="BD167">
            <v>112229.82</v>
          </cell>
          <cell r="BE167">
            <v>204533.78</v>
          </cell>
          <cell r="BF167">
            <v>104809.42</v>
          </cell>
          <cell r="BG167">
            <v>0</v>
          </cell>
          <cell r="BH167"/>
          <cell r="BI167"/>
          <cell r="BJ167">
            <v>2533282.5030210838</v>
          </cell>
        </row>
        <row r="168">
          <cell r="B168" t="str">
            <v>tntri10</v>
          </cell>
          <cell r="C168" t="str">
            <v>4400 Delp Street</v>
          </cell>
          <cell r="D168" t="str">
            <v>Realized</v>
          </cell>
          <cell r="E168" t="str">
            <v>Logistic Fund I</v>
          </cell>
          <cell r="F168" t="str">
            <v>USD</v>
          </cell>
          <cell r="G168" t="str">
            <v>Last Mile</v>
          </cell>
          <cell r="H168" t="str">
            <v>Memphis</v>
          </cell>
          <cell r="I168" t="str">
            <v>Memphis</v>
          </cell>
          <cell r="J168" t="str">
            <v>TN</v>
          </cell>
          <cell r="K168">
            <v>38118</v>
          </cell>
          <cell r="L168" t="str">
            <v>United States</v>
          </cell>
          <cell r="M168"/>
          <cell r="N168">
            <v>160000</v>
          </cell>
          <cell r="O168">
            <v>1</v>
          </cell>
          <cell r="P168"/>
          <cell r="Q168" t="str">
            <v>Property - Private Equity</v>
          </cell>
          <cell r="R168" t="str">
            <v>Industrial</v>
          </cell>
          <cell r="S168" t="str">
            <v>Warehouse</v>
          </cell>
          <cell r="T168">
            <v>1970</v>
          </cell>
          <cell r="U168" t="str">
            <v>Sq. Feet</v>
          </cell>
          <cell r="V168" t="str">
            <v>Value-Add</v>
          </cell>
          <cell r="W168" t="str">
            <v>Industrial / Logistics</v>
          </cell>
          <cell r="X168" t="str">
            <v>Common Equity</v>
          </cell>
          <cell r="Y168"/>
          <cell r="Z168"/>
          <cell r="AA168"/>
          <cell r="AB168"/>
          <cell r="AC168"/>
          <cell r="AD168"/>
          <cell r="AE168"/>
          <cell r="AF168"/>
          <cell r="AG168"/>
          <cell r="AH168"/>
          <cell r="AI168"/>
          <cell r="AJ168"/>
          <cell r="AK168"/>
          <cell r="AL168"/>
          <cell r="AM168"/>
          <cell r="AN168"/>
          <cell r="AO168"/>
          <cell r="AP168"/>
          <cell r="AQ168"/>
          <cell r="AR168"/>
          <cell r="AS168">
            <v>44012</v>
          </cell>
          <cell r="AT168">
            <v>3072872</v>
          </cell>
          <cell r="AU168">
            <v>3147940.0760020753</v>
          </cell>
          <cell r="AV168">
            <v>265188.85359999997</v>
          </cell>
          <cell r="AW168"/>
          <cell r="AX168">
            <v>8.6299999999999988E-2</v>
          </cell>
          <cell r="AY168"/>
          <cell r="AZ168"/>
          <cell r="BA168">
            <v>0.94</v>
          </cell>
          <cell r="BB168"/>
          <cell r="BC168">
            <v>1</v>
          </cell>
          <cell r="BD168">
            <v>186987.36</v>
          </cell>
          <cell r="BE168">
            <v>272990.27</v>
          </cell>
          <cell r="BF168">
            <v>86481.37</v>
          </cell>
          <cell r="BG168">
            <v>0</v>
          </cell>
          <cell r="BH168"/>
          <cell r="BI168"/>
          <cell r="BJ168">
            <v>3147940.0760020753</v>
          </cell>
        </row>
        <row r="169">
          <cell r="B169" t="str">
            <v>tntri19</v>
          </cell>
          <cell r="C169" t="str">
            <v>3977-4045 Raines Road</v>
          </cell>
          <cell r="D169" t="str">
            <v>Realized</v>
          </cell>
          <cell r="E169" t="str">
            <v>Logistic Fund I</v>
          </cell>
          <cell r="F169" t="str">
            <v>USD</v>
          </cell>
          <cell r="G169" t="str">
            <v>Last Mile</v>
          </cell>
          <cell r="H169" t="str">
            <v>Memphis</v>
          </cell>
          <cell r="I169" t="str">
            <v>Memphis</v>
          </cell>
          <cell r="J169" t="str">
            <v>TN</v>
          </cell>
          <cell r="K169" t="str">
            <v>N/A</v>
          </cell>
          <cell r="L169" t="str">
            <v>United States</v>
          </cell>
          <cell r="M169"/>
          <cell r="N169">
            <v>175275</v>
          </cell>
          <cell r="O169">
            <v>1</v>
          </cell>
          <cell r="P169"/>
          <cell r="Q169" t="str">
            <v>Property - Private Equity</v>
          </cell>
          <cell r="R169" t="str">
            <v>Industrial</v>
          </cell>
          <cell r="S169" t="str">
            <v>Warehouse</v>
          </cell>
          <cell r="T169">
            <v>1975</v>
          </cell>
          <cell r="U169" t="str">
            <v>Sq. Feet</v>
          </cell>
          <cell r="V169" t="str">
            <v>Value-Add</v>
          </cell>
          <cell r="W169" t="str">
            <v>Industrial / Logistics</v>
          </cell>
          <cell r="X169" t="str">
            <v>Common Equity</v>
          </cell>
          <cell r="Y169"/>
          <cell r="Z169"/>
          <cell r="AA169"/>
          <cell r="AB169"/>
          <cell r="AC169"/>
          <cell r="AD169"/>
          <cell r="AE169"/>
          <cell r="AF169"/>
          <cell r="AG169"/>
          <cell r="AH169"/>
          <cell r="AI169"/>
          <cell r="AJ169"/>
          <cell r="AK169"/>
          <cell r="AL169"/>
          <cell r="AM169"/>
          <cell r="AN169"/>
          <cell r="AO169"/>
          <cell r="AP169"/>
          <cell r="AQ169"/>
          <cell r="AR169"/>
          <cell r="AS169">
            <v>44012</v>
          </cell>
          <cell r="AT169">
            <v>4096009</v>
          </cell>
          <cell r="AU169">
            <v>4196071.5847471636</v>
          </cell>
          <cell r="AV169">
            <v>353485.57669999998</v>
          </cell>
          <cell r="AW169"/>
          <cell r="AX169">
            <v>8.6299999999999988E-2</v>
          </cell>
          <cell r="AY169"/>
          <cell r="AZ169"/>
          <cell r="BA169">
            <v>0.94</v>
          </cell>
          <cell r="BB169"/>
          <cell r="BC169">
            <v>1</v>
          </cell>
          <cell r="BD169">
            <v>163598.35</v>
          </cell>
          <cell r="BE169">
            <v>470718.07</v>
          </cell>
          <cell r="BF169">
            <v>136472.06</v>
          </cell>
          <cell r="BG169">
            <v>0</v>
          </cell>
          <cell r="BH169"/>
          <cell r="BI169"/>
          <cell r="BJ169">
            <v>4196071.5847471636</v>
          </cell>
        </row>
        <row r="170">
          <cell r="B170" t="str">
            <v>tntri16</v>
          </cell>
          <cell r="C170" t="str">
            <v>3900-76 New Getwell</v>
          </cell>
          <cell r="D170" t="str">
            <v>Realized</v>
          </cell>
          <cell r="E170" t="str">
            <v>Logistic Fund I</v>
          </cell>
          <cell r="F170" t="str">
            <v>USD</v>
          </cell>
          <cell r="G170" t="str">
            <v>Last Mile</v>
          </cell>
          <cell r="H170" t="str">
            <v>Memphis</v>
          </cell>
          <cell r="I170" t="str">
            <v>Memphis</v>
          </cell>
          <cell r="J170" t="str">
            <v>TN</v>
          </cell>
          <cell r="K170">
            <v>38118</v>
          </cell>
          <cell r="L170" t="str">
            <v>United States</v>
          </cell>
          <cell r="M170"/>
          <cell r="N170">
            <v>251750</v>
          </cell>
          <cell r="O170">
            <v>1</v>
          </cell>
          <cell r="P170"/>
          <cell r="Q170" t="str">
            <v>Property - Private Equity</v>
          </cell>
          <cell r="R170" t="str">
            <v>Industrial</v>
          </cell>
          <cell r="S170" t="str">
            <v>Warehouse</v>
          </cell>
          <cell r="T170">
            <v>1970</v>
          </cell>
          <cell r="U170" t="str">
            <v>Sq. Feet</v>
          </cell>
          <cell r="V170" t="str">
            <v>Value-Add</v>
          </cell>
          <cell r="W170" t="str">
            <v>Industrial / Logistics</v>
          </cell>
          <cell r="X170" t="str">
            <v>Common Equity</v>
          </cell>
          <cell r="Y170"/>
          <cell r="Z170"/>
          <cell r="AA170"/>
          <cell r="AB170"/>
          <cell r="AC170"/>
          <cell r="AD170"/>
          <cell r="AE170"/>
          <cell r="AF170"/>
          <cell r="AG170"/>
          <cell r="AH170"/>
          <cell r="AI170"/>
          <cell r="AJ170"/>
          <cell r="AK170"/>
          <cell r="AL170"/>
          <cell r="AM170"/>
          <cell r="AN170"/>
          <cell r="AO170"/>
          <cell r="AP170"/>
          <cell r="AQ170"/>
          <cell r="AR170"/>
          <cell r="AS170">
            <v>44012</v>
          </cell>
          <cell r="AT170">
            <v>5198417</v>
          </cell>
          <cell r="AU170">
            <v>5325410.627605211</v>
          </cell>
          <cell r="AV170">
            <v>448623.38709999999</v>
          </cell>
          <cell r="AW170"/>
          <cell r="AX170">
            <v>8.6300000000000002E-2</v>
          </cell>
          <cell r="AY170"/>
          <cell r="AZ170"/>
          <cell r="BA170">
            <v>0.94</v>
          </cell>
          <cell r="BB170"/>
          <cell r="BC170">
            <v>1</v>
          </cell>
          <cell r="BD170">
            <v>202939.94</v>
          </cell>
          <cell r="BE170">
            <v>433620.63</v>
          </cell>
          <cell r="BF170">
            <v>81608.600000000006</v>
          </cell>
          <cell r="BG170">
            <v>0</v>
          </cell>
          <cell r="BH170"/>
          <cell r="BI170"/>
          <cell r="BJ170">
            <v>5325410.627605211</v>
          </cell>
        </row>
        <row r="171">
          <cell r="B171" t="str">
            <v>txmai006</v>
          </cell>
          <cell r="C171" t="str">
            <v>11533 S. Main Street</v>
          </cell>
          <cell r="D171" t="str">
            <v>Realized</v>
          </cell>
          <cell r="E171" t="str">
            <v>Logistic Fund I</v>
          </cell>
          <cell r="F171" t="str">
            <v>USD</v>
          </cell>
          <cell r="G171" t="str">
            <v>Last Mile</v>
          </cell>
          <cell r="H171" t="str">
            <v>Houston</v>
          </cell>
          <cell r="I171" t="str">
            <v>Houston</v>
          </cell>
          <cell r="J171" t="str">
            <v>TX</v>
          </cell>
          <cell r="K171">
            <v>77025</v>
          </cell>
          <cell r="L171" t="str">
            <v>United States</v>
          </cell>
          <cell r="M171"/>
          <cell r="N171">
            <v>24315</v>
          </cell>
          <cell r="O171">
            <v>1</v>
          </cell>
          <cell r="P171"/>
          <cell r="Q171" t="str">
            <v>Property - Private Equity</v>
          </cell>
          <cell r="R171" t="str">
            <v>Industrial</v>
          </cell>
          <cell r="S171" t="str">
            <v>Warehouse</v>
          </cell>
          <cell r="T171">
            <v>1964</v>
          </cell>
          <cell r="U171" t="str">
            <v>Sq. Feet</v>
          </cell>
          <cell r="V171" t="str">
            <v>Value-Add</v>
          </cell>
          <cell r="W171" t="str">
            <v>Industrial / Logistics</v>
          </cell>
          <cell r="X171" t="str">
            <v>Common Equity</v>
          </cell>
          <cell r="Y171"/>
          <cell r="Z171"/>
          <cell r="AA171"/>
          <cell r="AB171"/>
          <cell r="AC171"/>
          <cell r="AD171"/>
          <cell r="AE171"/>
          <cell r="AF171"/>
          <cell r="AG171"/>
          <cell r="AH171"/>
          <cell r="AI171"/>
          <cell r="AJ171"/>
          <cell r="AK171"/>
          <cell r="AL171"/>
          <cell r="AM171"/>
          <cell r="AN171"/>
          <cell r="AO171"/>
          <cell r="AP171"/>
          <cell r="AQ171"/>
          <cell r="AR171"/>
          <cell r="AS171">
            <v>44042</v>
          </cell>
          <cell r="AT171">
            <v>1875000</v>
          </cell>
          <cell r="AU171">
            <v>1903118.85</v>
          </cell>
          <cell r="AV171">
            <v>173250</v>
          </cell>
          <cell r="AW171"/>
          <cell r="AX171">
            <v>9.2399999999999996E-2</v>
          </cell>
          <cell r="AY171"/>
          <cell r="AZ171"/>
          <cell r="BA171">
            <v>1</v>
          </cell>
          <cell r="BB171"/>
          <cell r="BC171">
            <v>1</v>
          </cell>
          <cell r="BD171">
            <v>63635.08</v>
          </cell>
          <cell r="BE171">
            <v>162967.79</v>
          </cell>
          <cell r="BF171">
            <v>139849.16</v>
          </cell>
          <cell r="BG171">
            <v>0</v>
          </cell>
          <cell r="BH171"/>
          <cell r="BI171"/>
          <cell r="BJ171">
            <v>1903118.85</v>
          </cell>
        </row>
        <row r="172">
          <cell r="B172" t="str">
            <v>gatid023</v>
          </cell>
          <cell r="C172" t="str">
            <v>165 Tidwell Drive</v>
          </cell>
          <cell r="D172" t="str">
            <v>Realized</v>
          </cell>
          <cell r="E172" t="str">
            <v>Logistic Fund I</v>
          </cell>
          <cell r="F172" t="str">
            <v>USD</v>
          </cell>
          <cell r="G172" t="str">
            <v>Last Mile</v>
          </cell>
          <cell r="H172" t="str">
            <v>Atlanta</v>
          </cell>
          <cell r="I172" t="str">
            <v>Alpharetta</v>
          </cell>
          <cell r="J172" t="str">
            <v>GA</v>
          </cell>
          <cell r="K172">
            <v>30004</v>
          </cell>
          <cell r="L172" t="str">
            <v>United States</v>
          </cell>
          <cell r="M172"/>
          <cell r="N172">
            <v>44221</v>
          </cell>
          <cell r="O172">
            <v>1</v>
          </cell>
          <cell r="P172"/>
          <cell r="Q172" t="str">
            <v>Property - Private Equity</v>
          </cell>
          <cell r="R172" t="str">
            <v>Industrial</v>
          </cell>
          <cell r="S172" t="str">
            <v>Warehouse</v>
          </cell>
          <cell r="T172">
            <v>1999</v>
          </cell>
          <cell r="U172" t="str">
            <v>Sq. Feet</v>
          </cell>
          <cell r="V172" t="str">
            <v>Value-Add</v>
          </cell>
          <cell r="W172" t="str">
            <v>Industrial / Logistics</v>
          </cell>
          <cell r="X172" t="str">
            <v>Common Equity</v>
          </cell>
          <cell r="Y172"/>
          <cell r="Z172"/>
          <cell r="AA172"/>
          <cell r="AB172"/>
          <cell r="AC172"/>
          <cell r="AD172"/>
          <cell r="AE172"/>
          <cell r="AF172"/>
          <cell r="AG172"/>
          <cell r="AH172"/>
          <cell r="AI172"/>
          <cell r="AJ172"/>
          <cell r="AK172"/>
          <cell r="AL172"/>
          <cell r="AM172"/>
          <cell r="AN172"/>
          <cell r="AO172"/>
          <cell r="AP172"/>
          <cell r="AQ172"/>
          <cell r="AR172"/>
          <cell r="AS172">
            <v>44042</v>
          </cell>
          <cell r="AT172">
            <v>2800000</v>
          </cell>
          <cell r="AU172">
            <v>2840047.43</v>
          </cell>
          <cell r="AV172">
            <v>194880</v>
          </cell>
          <cell r="AW172"/>
          <cell r="AX172">
            <v>6.9599999999999995E-2</v>
          </cell>
          <cell r="AY172"/>
          <cell r="AZ172"/>
          <cell r="BA172">
            <v>1</v>
          </cell>
          <cell r="BB172"/>
          <cell r="BC172">
            <v>1</v>
          </cell>
          <cell r="BD172">
            <v>65107.1</v>
          </cell>
          <cell r="BE172">
            <v>230487.8</v>
          </cell>
          <cell r="BF172">
            <v>111652.36</v>
          </cell>
          <cell r="BG172">
            <v>0</v>
          </cell>
          <cell r="BH172"/>
          <cell r="BI172"/>
          <cell r="BJ172">
            <v>2840047.43</v>
          </cell>
        </row>
        <row r="173">
          <cell r="B173" t="str">
            <v>pabor001</v>
          </cell>
          <cell r="C173" t="str">
            <v>165 Boro Line Road</v>
          </cell>
          <cell r="D173" t="str">
            <v>Realized</v>
          </cell>
          <cell r="E173" t="str">
            <v>Logistic Fund I</v>
          </cell>
          <cell r="F173" t="str">
            <v>USD</v>
          </cell>
          <cell r="G173" t="str">
            <v>Last Mile</v>
          </cell>
          <cell r="H173" t="str">
            <v>Philadelphia</v>
          </cell>
          <cell r="I173" t="str">
            <v>King of Prussia</v>
          </cell>
          <cell r="J173" t="str">
            <v>PA</v>
          </cell>
          <cell r="K173">
            <v>19406</v>
          </cell>
          <cell r="L173" t="str">
            <v>United States</v>
          </cell>
          <cell r="M173"/>
          <cell r="N173">
            <v>30000</v>
          </cell>
          <cell r="O173">
            <v>1</v>
          </cell>
          <cell r="P173"/>
          <cell r="Q173" t="str">
            <v>Property - Private Equity</v>
          </cell>
          <cell r="R173" t="str">
            <v>Industrial</v>
          </cell>
          <cell r="S173" t="str">
            <v>Warehouse</v>
          </cell>
          <cell r="T173">
            <v>1985</v>
          </cell>
          <cell r="U173" t="str">
            <v>Sq. Feet</v>
          </cell>
          <cell r="V173" t="str">
            <v>Value-Add</v>
          </cell>
          <cell r="W173" t="str">
            <v>Industrial / Logistics</v>
          </cell>
          <cell r="X173" t="str">
            <v>Common Equity</v>
          </cell>
          <cell r="Y173"/>
          <cell r="Z173"/>
          <cell r="AA173"/>
          <cell r="AB173"/>
          <cell r="AC173"/>
          <cell r="AD173"/>
          <cell r="AE173"/>
          <cell r="AF173"/>
          <cell r="AG173"/>
          <cell r="AH173"/>
          <cell r="AI173"/>
          <cell r="AJ173"/>
          <cell r="AK173"/>
          <cell r="AL173"/>
          <cell r="AM173"/>
          <cell r="AN173"/>
          <cell r="AO173"/>
          <cell r="AP173"/>
          <cell r="AQ173"/>
          <cell r="AR173"/>
          <cell r="AS173">
            <v>44076</v>
          </cell>
          <cell r="AT173">
            <v>4975000</v>
          </cell>
          <cell r="AU173">
            <v>5060194.46</v>
          </cell>
          <cell r="AV173">
            <v>306460</v>
          </cell>
          <cell r="AW173"/>
          <cell r="AX173">
            <v>6.1600000000000002E-2</v>
          </cell>
          <cell r="AY173"/>
          <cell r="AZ173"/>
          <cell r="BA173">
            <v>1</v>
          </cell>
          <cell r="BB173"/>
          <cell r="BC173">
            <v>1</v>
          </cell>
          <cell r="BD173">
            <v>68383.570000000007</v>
          </cell>
          <cell r="BE173">
            <v>265198.28999999998</v>
          </cell>
          <cell r="BF173">
            <v>251285.74</v>
          </cell>
          <cell r="BG173">
            <v>0</v>
          </cell>
          <cell r="BH173"/>
          <cell r="BI173"/>
          <cell r="BJ173">
            <v>5060194.46</v>
          </cell>
        </row>
        <row r="174">
          <cell r="B174" t="str">
            <v>gamac024</v>
          </cell>
          <cell r="C174" t="str">
            <v>5010 MacDougall Drive</v>
          </cell>
          <cell r="D174" t="str">
            <v>Realized</v>
          </cell>
          <cell r="E174" t="str">
            <v>Logistic Fund I</v>
          </cell>
          <cell r="F174" t="str">
            <v>USD</v>
          </cell>
          <cell r="G174" t="str">
            <v>Last Mile</v>
          </cell>
          <cell r="H174" t="str">
            <v>Atlanta</v>
          </cell>
          <cell r="I174" t="str">
            <v>Atlanta</v>
          </cell>
          <cell r="J174" t="str">
            <v>GA</v>
          </cell>
          <cell r="K174">
            <v>30336</v>
          </cell>
          <cell r="L174" t="str">
            <v>United States</v>
          </cell>
          <cell r="M174"/>
          <cell r="N174">
            <v>51232</v>
          </cell>
          <cell r="O174">
            <v>1</v>
          </cell>
          <cell r="P174"/>
          <cell r="Q174" t="str">
            <v>Property - Private Equity</v>
          </cell>
          <cell r="R174" t="str">
            <v>Industrial</v>
          </cell>
          <cell r="S174" t="str">
            <v>Warehouse</v>
          </cell>
          <cell r="T174">
            <v>1965</v>
          </cell>
          <cell r="U174" t="str">
            <v>Sq. Feet</v>
          </cell>
          <cell r="V174" t="str">
            <v>Value-Add</v>
          </cell>
          <cell r="W174" t="str">
            <v>Industrial / Logistics</v>
          </cell>
          <cell r="X174" t="str">
            <v>Common Equity</v>
          </cell>
          <cell r="Y174"/>
          <cell r="Z174"/>
          <cell r="AA174"/>
          <cell r="AB174"/>
          <cell r="AC174"/>
          <cell r="AD174"/>
          <cell r="AE174"/>
          <cell r="AF174"/>
          <cell r="AG174"/>
          <cell r="AH174"/>
          <cell r="AI174"/>
          <cell r="AJ174"/>
          <cell r="AK174"/>
          <cell r="AL174"/>
          <cell r="AM174"/>
          <cell r="AN174"/>
          <cell r="AO174"/>
          <cell r="AP174"/>
          <cell r="AQ174"/>
          <cell r="AR174"/>
          <cell r="AS174">
            <v>44078</v>
          </cell>
          <cell r="AT174">
            <v>2083674</v>
          </cell>
          <cell r="AU174">
            <v>2119435.09</v>
          </cell>
          <cell r="AV174">
            <v>158984</v>
          </cell>
          <cell r="AW174"/>
          <cell r="AX174">
            <v>7.6299843449599128E-2</v>
          </cell>
          <cell r="AY174"/>
          <cell r="AZ174"/>
          <cell r="BA174">
            <v>1</v>
          </cell>
          <cell r="BB174"/>
          <cell r="BC174">
            <v>1</v>
          </cell>
          <cell r="BD174">
            <v>41740.71</v>
          </cell>
          <cell r="BE174">
            <v>152889.25</v>
          </cell>
          <cell r="BF174">
            <v>84249.17</v>
          </cell>
          <cell r="BG174">
            <v>0</v>
          </cell>
          <cell r="BH174"/>
          <cell r="BI174"/>
          <cell r="BJ174">
            <v>2119435.09</v>
          </cell>
        </row>
        <row r="175">
          <cell r="B175" t="str">
            <v>txflo007</v>
          </cell>
          <cell r="C175" t="str">
            <v>3700 Flory Street</v>
          </cell>
          <cell r="D175" t="str">
            <v>Realized</v>
          </cell>
          <cell r="E175" t="str">
            <v>Logistic Fund I</v>
          </cell>
          <cell r="F175" t="str">
            <v>USD</v>
          </cell>
          <cell r="G175" t="str">
            <v>Last Mile</v>
          </cell>
          <cell r="H175" t="str">
            <v>Dallas</v>
          </cell>
          <cell r="I175" t="str">
            <v>North Richland Hills</v>
          </cell>
          <cell r="J175" t="str">
            <v>TX</v>
          </cell>
          <cell r="K175">
            <v>76180</v>
          </cell>
          <cell r="L175" t="str">
            <v>United States</v>
          </cell>
          <cell r="M175"/>
          <cell r="N175">
            <v>80592</v>
          </cell>
          <cell r="O175">
            <v>1</v>
          </cell>
          <cell r="P175"/>
          <cell r="Q175" t="str">
            <v>Property - Private Equity</v>
          </cell>
          <cell r="R175" t="str">
            <v>Industrial</v>
          </cell>
          <cell r="S175" t="str">
            <v>Warehouse</v>
          </cell>
          <cell r="T175">
            <v>1961</v>
          </cell>
          <cell r="U175" t="str">
            <v>Sq. Feet</v>
          </cell>
          <cell r="V175" t="str">
            <v>Value-Add</v>
          </cell>
          <cell r="W175" t="str">
            <v>Industrial / Logistics</v>
          </cell>
          <cell r="X175" t="str">
            <v>Common Equity</v>
          </cell>
          <cell r="Y175"/>
          <cell r="Z175"/>
          <cell r="AA175"/>
          <cell r="AB175"/>
          <cell r="AC175"/>
          <cell r="AD175"/>
          <cell r="AE175"/>
          <cell r="AF175"/>
          <cell r="AG175"/>
          <cell r="AH175"/>
          <cell r="AI175"/>
          <cell r="AJ175"/>
          <cell r="AK175"/>
          <cell r="AL175"/>
          <cell r="AM175"/>
          <cell r="AN175"/>
          <cell r="AO175"/>
          <cell r="AP175"/>
          <cell r="AQ175"/>
          <cell r="AR175"/>
          <cell r="AS175">
            <v>44097</v>
          </cell>
          <cell r="AT175">
            <v>4850000</v>
          </cell>
          <cell r="AU175">
            <v>4968499.82</v>
          </cell>
          <cell r="AV175">
            <v>403035</v>
          </cell>
          <cell r="AW175"/>
          <cell r="AX175">
            <v>8.3099999999999993E-2</v>
          </cell>
          <cell r="AY175"/>
          <cell r="AZ175"/>
          <cell r="BA175">
            <v>1</v>
          </cell>
          <cell r="BB175"/>
          <cell r="BC175">
            <v>1</v>
          </cell>
          <cell r="BD175">
            <v>92169.48</v>
          </cell>
          <cell r="BE175">
            <v>400518.09</v>
          </cell>
          <cell r="BF175">
            <v>188185.4</v>
          </cell>
          <cell r="BG175">
            <v>0</v>
          </cell>
          <cell r="BH175"/>
          <cell r="BI175"/>
          <cell r="BJ175">
            <v>4968499.82</v>
          </cell>
        </row>
        <row r="176">
          <cell r="B176" t="str">
            <v>gamou028</v>
          </cell>
          <cell r="C176" t="str">
            <v>850 Mountain Industrial Drive</v>
          </cell>
          <cell r="D176" t="str">
            <v>Realized</v>
          </cell>
          <cell r="E176" t="str">
            <v>Logistic Fund I</v>
          </cell>
          <cell r="F176" t="str">
            <v>USD</v>
          </cell>
          <cell r="G176" t="str">
            <v>Last Mile</v>
          </cell>
          <cell r="H176" t="str">
            <v>Atlanta</v>
          </cell>
          <cell r="I176" t="str">
            <v>Marietta</v>
          </cell>
          <cell r="J176" t="str">
            <v>GA</v>
          </cell>
          <cell r="K176">
            <v>30060</v>
          </cell>
          <cell r="L176" t="str">
            <v>United States</v>
          </cell>
          <cell r="M176"/>
          <cell r="N176">
            <v>44272</v>
          </cell>
          <cell r="O176">
            <v>1</v>
          </cell>
          <cell r="P176"/>
          <cell r="Q176" t="str">
            <v>Property - Private Equity</v>
          </cell>
          <cell r="R176" t="str">
            <v>Industrial</v>
          </cell>
          <cell r="S176" t="str">
            <v>Warehouse</v>
          </cell>
          <cell r="T176">
            <v>1974</v>
          </cell>
          <cell r="U176" t="str">
            <v>Sq. Feet</v>
          </cell>
          <cell r="V176" t="str">
            <v>Value-Add</v>
          </cell>
          <cell r="W176" t="str">
            <v>Industrial / Logistics</v>
          </cell>
          <cell r="X176" t="str">
            <v>Common Equity</v>
          </cell>
          <cell r="Y176"/>
          <cell r="Z176"/>
          <cell r="AA176"/>
          <cell r="AB176"/>
          <cell r="AC176"/>
          <cell r="AD176"/>
          <cell r="AE176"/>
          <cell r="AF176"/>
          <cell r="AG176"/>
          <cell r="AH176"/>
          <cell r="AI176"/>
          <cell r="AJ176"/>
          <cell r="AK176"/>
          <cell r="AL176"/>
          <cell r="AM176"/>
          <cell r="AN176"/>
          <cell r="AO176"/>
          <cell r="AP176"/>
          <cell r="AQ176"/>
          <cell r="AR176"/>
          <cell r="AS176">
            <v>44117</v>
          </cell>
          <cell r="AT176">
            <v>3840000</v>
          </cell>
          <cell r="AU176">
            <v>4049716.65</v>
          </cell>
          <cell r="AV176">
            <v>334080</v>
          </cell>
          <cell r="AW176"/>
          <cell r="AX176">
            <v>8.6999999999999994E-2</v>
          </cell>
          <cell r="AY176"/>
          <cell r="AZ176"/>
          <cell r="BA176">
            <v>1</v>
          </cell>
          <cell r="BB176"/>
          <cell r="BC176">
            <v>1</v>
          </cell>
          <cell r="BD176">
            <v>74421.070000000007</v>
          </cell>
          <cell r="BE176">
            <v>322720.3</v>
          </cell>
          <cell r="BF176">
            <v>224899.68</v>
          </cell>
          <cell r="BG176">
            <v>0</v>
          </cell>
          <cell r="BH176"/>
          <cell r="BI176"/>
          <cell r="BJ176">
            <v>4049716.65</v>
          </cell>
        </row>
        <row r="177">
          <cell r="B177" t="str">
            <v>gamon027</v>
          </cell>
          <cell r="C177" t="str">
            <v>1800 Montreal Circle</v>
          </cell>
          <cell r="D177" t="str">
            <v>Realized</v>
          </cell>
          <cell r="E177" t="str">
            <v>Logistic Fund I</v>
          </cell>
          <cell r="F177" t="str">
            <v>USD</v>
          </cell>
          <cell r="G177" t="str">
            <v>Last Mile</v>
          </cell>
          <cell r="H177" t="str">
            <v>Atlanta</v>
          </cell>
          <cell r="I177" t="str">
            <v>Tucker</v>
          </cell>
          <cell r="J177" t="str">
            <v>GA</v>
          </cell>
          <cell r="K177">
            <v>30084</v>
          </cell>
          <cell r="L177" t="str">
            <v>United States</v>
          </cell>
          <cell r="M177"/>
          <cell r="N177">
            <v>61391</v>
          </cell>
          <cell r="O177">
            <v>1</v>
          </cell>
          <cell r="P177"/>
          <cell r="Q177" t="str">
            <v>Property - Private Equity</v>
          </cell>
          <cell r="R177" t="str">
            <v>Industrial</v>
          </cell>
          <cell r="S177" t="str">
            <v>Warehouse</v>
          </cell>
          <cell r="T177">
            <v>1972</v>
          </cell>
          <cell r="U177" t="str">
            <v>Sq. Feet</v>
          </cell>
          <cell r="V177" t="str">
            <v>Value-Add</v>
          </cell>
          <cell r="W177" t="str">
            <v>Industrial / Logistics</v>
          </cell>
          <cell r="X177" t="str">
            <v>Common Equity</v>
          </cell>
          <cell r="Y177"/>
          <cell r="Z177"/>
          <cell r="AA177"/>
          <cell r="AB177"/>
          <cell r="AC177"/>
          <cell r="AD177"/>
          <cell r="AE177"/>
          <cell r="AF177"/>
          <cell r="AG177"/>
          <cell r="AH177"/>
          <cell r="AI177"/>
          <cell r="AJ177"/>
          <cell r="AK177"/>
          <cell r="AL177"/>
          <cell r="AM177"/>
          <cell r="AN177"/>
          <cell r="AO177"/>
          <cell r="AP177"/>
          <cell r="AQ177"/>
          <cell r="AR177"/>
          <cell r="AS177">
            <v>44117</v>
          </cell>
          <cell r="AT177">
            <v>2400000</v>
          </cell>
          <cell r="AU177">
            <v>2466797.21</v>
          </cell>
          <cell r="AV177">
            <v>129600</v>
          </cell>
          <cell r="AW177"/>
          <cell r="AX177">
            <v>5.3999999999999999E-2</v>
          </cell>
          <cell r="AY177"/>
          <cell r="AZ177"/>
          <cell r="BA177">
            <v>1</v>
          </cell>
          <cell r="BB177"/>
          <cell r="BC177">
            <v>1</v>
          </cell>
          <cell r="BD177">
            <v>10330.219999999999</v>
          </cell>
          <cell r="BE177">
            <v>87381.73</v>
          </cell>
          <cell r="BF177">
            <v>66267.490000000005</v>
          </cell>
          <cell r="BG177">
            <v>0</v>
          </cell>
          <cell r="BH177"/>
          <cell r="BI177"/>
          <cell r="BJ177">
            <v>2466797.21</v>
          </cell>
        </row>
        <row r="178">
          <cell r="B178" t="str">
            <v>txstr009</v>
          </cell>
          <cell r="C178" t="str">
            <v>626 106th Street</v>
          </cell>
          <cell r="D178" t="str">
            <v>Realized</v>
          </cell>
          <cell r="E178" t="str">
            <v>Logistic Fund I</v>
          </cell>
          <cell r="F178" t="str">
            <v>USD</v>
          </cell>
          <cell r="G178" t="str">
            <v>Last Mile</v>
          </cell>
          <cell r="H178" t="str">
            <v>Dallas</v>
          </cell>
          <cell r="I178" t="str">
            <v>Arlington</v>
          </cell>
          <cell r="J178" t="str">
            <v>TX</v>
          </cell>
          <cell r="K178">
            <v>76011</v>
          </cell>
          <cell r="L178" t="str">
            <v>United States</v>
          </cell>
          <cell r="M178"/>
          <cell r="N178">
            <v>58016</v>
          </cell>
          <cell r="O178">
            <v>1</v>
          </cell>
          <cell r="P178"/>
          <cell r="Q178" t="str">
            <v>Property - Private Equity</v>
          </cell>
          <cell r="R178" t="str">
            <v>Industrial</v>
          </cell>
          <cell r="S178" t="str">
            <v>Warehouse</v>
          </cell>
          <cell r="T178">
            <v>1970</v>
          </cell>
          <cell r="U178" t="str">
            <v>Sq. Feet</v>
          </cell>
          <cell r="V178" t="str">
            <v>Value-Add</v>
          </cell>
          <cell r="W178" t="str">
            <v>Industrial / Logistics</v>
          </cell>
          <cell r="X178" t="str">
            <v>Common Equity</v>
          </cell>
          <cell r="Y178"/>
          <cell r="Z178"/>
          <cell r="AA178"/>
          <cell r="AB178"/>
          <cell r="AC178"/>
          <cell r="AD178"/>
          <cell r="AE178"/>
          <cell r="AF178"/>
          <cell r="AG178"/>
          <cell r="AH178"/>
          <cell r="AI178"/>
          <cell r="AJ178"/>
          <cell r="AK178"/>
          <cell r="AL178"/>
          <cell r="AM178"/>
          <cell r="AN178"/>
          <cell r="AO178"/>
          <cell r="AP178"/>
          <cell r="AQ178"/>
          <cell r="AR178"/>
          <cell r="AS178">
            <v>44119</v>
          </cell>
          <cell r="AT178">
            <v>2741000</v>
          </cell>
          <cell r="AU178">
            <v>2805806.3499999996</v>
          </cell>
          <cell r="AV178">
            <v>235726</v>
          </cell>
          <cell r="AW178"/>
          <cell r="AX178">
            <v>8.5999999999999993E-2</v>
          </cell>
          <cell r="AY178"/>
          <cell r="AZ178"/>
          <cell r="BA178">
            <v>1</v>
          </cell>
          <cell r="BB178"/>
          <cell r="BC178">
            <v>1</v>
          </cell>
          <cell r="BD178">
            <v>43064.72</v>
          </cell>
          <cell r="BE178">
            <v>241969.47</v>
          </cell>
          <cell r="BF178">
            <v>171217.46</v>
          </cell>
          <cell r="BG178">
            <v>0</v>
          </cell>
          <cell r="BH178"/>
          <cell r="BI178"/>
          <cell r="BJ178">
            <v>2805806.3499999996</v>
          </cell>
        </row>
        <row r="179">
          <cell r="B179" t="str">
            <v>txvic008</v>
          </cell>
          <cell r="C179" t="str">
            <v>14000 Vickery Drive</v>
          </cell>
          <cell r="D179" t="str">
            <v>Realized</v>
          </cell>
          <cell r="E179" t="str">
            <v>Logistic Fund I</v>
          </cell>
          <cell r="F179" t="str">
            <v>USD</v>
          </cell>
          <cell r="G179" t="str">
            <v>Last Mile</v>
          </cell>
          <cell r="H179" t="str">
            <v>Houston</v>
          </cell>
          <cell r="I179" t="str">
            <v>Houston</v>
          </cell>
          <cell r="J179" t="str">
            <v>TX</v>
          </cell>
          <cell r="K179">
            <v>77032</v>
          </cell>
          <cell r="L179" t="str">
            <v>United States</v>
          </cell>
          <cell r="M179"/>
          <cell r="N179">
            <v>109946</v>
          </cell>
          <cell r="O179">
            <v>1</v>
          </cell>
          <cell r="P179"/>
          <cell r="Q179" t="str">
            <v>Property - Private Equity</v>
          </cell>
          <cell r="R179" t="str">
            <v>Industrial</v>
          </cell>
          <cell r="S179" t="str">
            <v>Warehouse</v>
          </cell>
          <cell r="T179">
            <v>2012</v>
          </cell>
          <cell r="U179" t="str">
            <v>Sq. Feet</v>
          </cell>
          <cell r="V179" t="str">
            <v>Value-Add</v>
          </cell>
          <cell r="W179" t="str">
            <v>Industrial / Logistics</v>
          </cell>
          <cell r="X179" t="str">
            <v>Common Equity</v>
          </cell>
          <cell r="Y179"/>
          <cell r="Z179"/>
          <cell r="AA179"/>
          <cell r="AB179"/>
          <cell r="AC179"/>
          <cell r="AD179"/>
          <cell r="AE179"/>
          <cell r="AF179"/>
          <cell r="AG179"/>
          <cell r="AH179"/>
          <cell r="AI179"/>
          <cell r="AJ179"/>
          <cell r="AK179"/>
          <cell r="AL179"/>
          <cell r="AM179"/>
          <cell r="AN179"/>
          <cell r="AO179"/>
          <cell r="AP179"/>
          <cell r="AQ179"/>
          <cell r="AR179"/>
          <cell r="AS179">
            <v>44124</v>
          </cell>
          <cell r="AT179">
            <v>7750000</v>
          </cell>
          <cell r="AU179">
            <v>7986823.7800000003</v>
          </cell>
          <cell r="AV179">
            <v>658750</v>
          </cell>
          <cell r="AW179"/>
          <cell r="AX179">
            <v>8.5000000000000006E-2</v>
          </cell>
          <cell r="AY179"/>
          <cell r="AZ179"/>
          <cell r="BA179">
            <v>1</v>
          </cell>
          <cell r="BB179"/>
          <cell r="BC179">
            <v>1</v>
          </cell>
          <cell r="BD179">
            <v>95294.89</v>
          </cell>
          <cell r="BE179">
            <v>713171.52</v>
          </cell>
          <cell r="BF179">
            <v>552355.41</v>
          </cell>
          <cell r="BG179">
            <v>0</v>
          </cell>
          <cell r="BH179"/>
          <cell r="BI179"/>
          <cell r="BJ179">
            <v>7986823.7800000003</v>
          </cell>
        </row>
        <row r="180">
          <cell r="B180" t="str">
            <v>njleo19</v>
          </cell>
          <cell r="C180" t="str">
            <v>858 Lenola</v>
          </cell>
          <cell r="D180" t="str">
            <v>Realized</v>
          </cell>
          <cell r="E180" t="str">
            <v>Logistic Fund I</v>
          </cell>
          <cell r="F180" t="str">
            <v>USD</v>
          </cell>
          <cell r="G180" t="str">
            <v>Last Mile</v>
          </cell>
          <cell r="H180" t="str">
            <v>Philadelphia</v>
          </cell>
          <cell r="I180" t="str">
            <v>Moorestown</v>
          </cell>
          <cell r="J180" t="str">
            <v>NJ</v>
          </cell>
          <cell r="K180" t="str">
            <v>08057</v>
          </cell>
          <cell r="L180" t="str">
            <v>United States</v>
          </cell>
          <cell r="M180"/>
          <cell r="N180">
            <v>61912</v>
          </cell>
          <cell r="O180">
            <v>1</v>
          </cell>
          <cell r="P180"/>
          <cell r="Q180" t="str">
            <v>Property - Private Equity</v>
          </cell>
          <cell r="R180" t="str">
            <v>Industrial</v>
          </cell>
          <cell r="S180" t="str">
            <v>Warehouse</v>
          </cell>
          <cell r="T180">
            <v>1965</v>
          </cell>
          <cell r="U180" t="str">
            <v>Sq. Feet</v>
          </cell>
          <cell r="V180" t="str">
            <v>Value-Add</v>
          </cell>
          <cell r="W180" t="str">
            <v>Industrial / Logistics</v>
          </cell>
          <cell r="X180" t="str">
            <v>Common Equity</v>
          </cell>
          <cell r="Y180"/>
          <cell r="Z180"/>
          <cell r="AA180"/>
          <cell r="AB180"/>
          <cell r="AC180"/>
          <cell r="AD180"/>
          <cell r="AE180"/>
          <cell r="AF180"/>
          <cell r="AG180"/>
          <cell r="AH180"/>
          <cell r="AI180"/>
          <cell r="AJ180"/>
          <cell r="AK180"/>
          <cell r="AL180"/>
          <cell r="AM180"/>
          <cell r="AN180"/>
          <cell r="AO180"/>
          <cell r="AP180"/>
          <cell r="AQ180"/>
          <cell r="AR180"/>
          <cell r="AS180">
            <v>44133</v>
          </cell>
          <cell r="AT180">
            <v>4874132.9800000004</v>
          </cell>
          <cell r="AU180">
            <v>4936808.6399999997</v>
          </cell>
          <cell r="AV180">
            <v>350938</v>
          </cell>
          <cell r="AW180"/>
          <cell r="AX180">
            <v>7.2000087285267286E-2</v>
          </cell>
          <cell r="AY180"/>
          <cell r="AZ180"/>
          <cell r="BA180">
            <v>1</v>
          </cell>
          <cell r="BB180"/>
          <cell r="BC180">
            <v>1</v>
          </cell>
          <cell r="BD180">
            <v>43062.13</v>
          </cell>
          <cell r="BE180">
            <v>291729.78999999998</v>
          </cell>
          <cell r="BF180">
            <v>237481.21</v>
          </cell>
          <cell r="BG180">
            <v>0</v>
          </cell>
          <cell r="BH180"/>
          <cell r="BI180"/>
          <cell r="BJ180">
            <v>4936808.6399999997</v>
          </cell>
        </row>
        <row r="181">
          <cell r="B181" t="str">
            <v>tnnew18</v>
          </cell>
          <cell r="C181" t="str">
            <v>4050 New Getwell Road</v>
          </cell>
          <cell r="D181" t="str">
            <v>Realized</v>
          </cell>
          <cell r="E181" t="str">
            <v>Logistic Fund I</v>
          </cell>
          <cell r="F181" t="str">
            <v>USD</v>
          </cell>
          <cell r="G181" t="str">
            <v>Last Mile</v>
          </cell>
          <cell r="H181" t="str">
            <v>Memphis</v>
          </cell>
          <cell r="I181" t="str">
            <v>Memphis</v>
          </cell>
          <cell r="J181" t="str">
            <v>TN</v>
          </cell>
          <cell r="K181">
            <v>38118</v>
          </cell>
          <cell r="L181" t="str">
            <v>United States</v>
          </cell>
          <cell r="M181"/>
          <cell r="N181">
            <v>112318</v>
          </cell>
          <cell r="O181">
            <v>1</v>
          </cell>
          <cell r="P181"/>
          <cell r="Q181" t="str">
            <v>Property - Private Equity</v>
          </cell>
          <cell r="R181" t="str">
            <v>Industrial</v>
          </cell>
          <cell r="S181" t="str">
            <v>Warehouse</v>
          </cell>
          <cell r="T181">
            <v>1972</v>
          </cell>
          <cell r="U181" t="str">
            <v>Sq. Feet</v>
          </cell>
          <cell r="V181" t="str">
            <v>Value-Add</v>
          </cell>
          <cell r="W181" t="str">
            <v>Industrial / Logistics</v>
          </cell>
          <cell r="X181" t="str">
            <v>Common Equity</v>
          </cell>
          <cell r="Y181"/>
          <cell r="Z181"/>
          <cell r="AA181"/>
          <cell r="AB181"/>
          <cell r="AC181"/>
          <cell r="AD181"/>
          <cell r="AE181"/>
          <cell r="AF181"/>
          <cell r="AG181"/>
          <cell r="AH181"/>
          <cell r="AI181"/>
          <cell r="AJ181"/>
          <cell r="AK181"/>
          <cell r="AL181"/>
          <cell r="AM181"/>
          <cell r="AN181"/>
          <cell r="AO181"/>
          <cell r="AP181"/>
          <cell r="AQ181"/>
          <cell r="AR181"/>
          <cell r="AS181">
            <v>44140</v>
          </cell>
          <cell r="AT181">
            <v>2200000</v>
          </cell>
          <cell r="AU181">
            <v>2270861.6</v>
          </cell>
          <cell r="AV181">
            <v>220000</v>
          </cell>
          <cell r="AW181"/>
          <cell r="AX181">
            <v>0.1</v>
          </cell>
          <cell r="AY181"/>
          <cell r="AZ181"/>
          <cell r="BA181">
            <v>1</v>
          </cell>
          <cell r="BB181"/>
          <cell r="BC181">
            <v>1</v>
          </cell>
          <cell r="BD181">
            <v>28688.83</v>
          </cell>
          <cell r="BE181">
            <v>212598.78</v>
          </cell>
          <cell r="BF181">
            <v>78225.66</v>
          </cell>
          <cell r="BG181">
            <v>0</v>
          </cell>
          <cell r="BH181"/>
          <cell r="BI181"/>
          <cell r="BJ181">
            <v>2270861.6</v>
          </cell>
        </row>
        <row r="182">
          <cell r="B182" t="str">
            <v>gavet029</v>
          </cell>
          <cell r="C182" t="str">
            <v>281 Veterans Memorial</v>
          </cell>
          <cell r="D182" t="str">
            <v>Realized</v>
          </cell>
          <cell r="E182" t="str">
            <v>Logistic Fund I</v>
          </cell>
          <cell r="F182" t="str">
            <v>USD</v>
          </cell>
          <cell r="G182" t="str">
            <v>Last Mile</v>
          </cell>
          <cell r="H182" t="str">
            <v>Atlanta</v>
          </cell>
          <cell r="I182" t="str">
            <v>Mabelton</v>
          </cell>
          <cell r="J182" t="str">
            <v>GA</v>
          </cell>
          <cell r="K182">
            <v>30126</v>
          </cell>
          <cell r="L182" t="str">
            <v>United States</v>
          </cell>
          <cell r="M182"/>
          <cell r="N182">
            <v>165000</v>
          </cell>
          <cell r="O182">
            <v>1</v>
          </cell>
          <cell r="P182"/>
          <cell r="Q182" t="str">
            <v>Property - Private Equity</v>
          </cell>
          <cell r="R182" t="str">
            <v>Industrial</v>
          </cell>
          <cell r="S182" t="str">
            <v>Warehouse</v>
          </cell>
          <cell r="T182">
            <v>1998</v>
          </cell>
          <cell r="U182" t="str">
            <v>Sq. Feet</v>
          </cell>
          <cell r="V182" t="str">
            <v>Value-Add</v>
          </cell>
          <cell r="W182" t="str">
            <v>Industrial / Logistics</v>
          </cell>
          <cell r="X182" t="str">
            <v>Common Equity</v>
          </cell>
          <cell r="Y182"/>
          <cell r="Z182"/>
          <cell r="AA182"/>
          <cell r="AB182"/>
          <cell r="AC182"/>
          <cell r="AD182"/>
          <cell r="AE182"/>
          <cell r="AF182"/>
          <cell r="AG182"/>
          <cell r="AH182"/>
          <cell r="AI182"/>
          <cell r="AJ182"/>
          <cell r="AK182"/>
          <cell r="AL182"/>
          <cell r="AM182"/>
          <cell r="AN182"/>
          <cell r="AO182"/>
          <cell r="AP182"/>
          <cell r="AQ182"/>
          <cell r="AR182"/>
          <cell r="AS182">
            <v>44140</v>
          </cell>
          <cell r="AT182">
            <v>6265000</v>
          </cell>
          <cell r="AU182">
            <v>6533335.3399999999</v>
          </cell>
          <cell r="AV182">
            <v>494935</v>
          </cell>
          <cell r="AW182"/>
          <cell r="AX182">
            <v>7.9000000000000001E-2</v>
          </cell>
          <cell r="AY182"/>
          <cell r="AZ182"/>
          <cell r="BA182">
            <v>1</v>
          </cell>
          <cell r="BB182"/>
          <cell r="BC182">
            <v>1</v>
          </cell>
          <cell r="BD182">
            <v>69272.759999999995</v>
          </cell>
          <cell r="BE182">
            <v>403471.57</v>
          </cell>
          <cell r="BF182">
            <v>187269.15</v>
          </cell>
          <cell r="BG182">
            <v>0</v>
          </cell>
          <cell r="BH182"/>
          <cell r="BI182"/>
          <cell r="BJ182">
            <v>6533335.3399999999</v>
          </cell>
        </row>
        <row r="183">
          <cell r="B183" t="str">
            <v>njrun170</v>
          </cell>
          <cell r="C183" t="str">
            <v>170 Runnemede</v>
          </cell>
          <cell r="D183" t="str">
            <v>Realized</v>
          </cell>
          <cell r="E183" t="str">
            <v>Logistic Fund I</v>
          </cell>
          <cell r="F183" t="str">
            <v>USD</v>
          </cell>
          <cell r="G183" t="str">
            <v>Last Mile</v>
          </cell>
          <cell r="H183" t="str">
            <v>Philadelphia</v>
          </cell>
          <cell r="I183" t="str">
            <v>Runnemede</v>
          </cell>
          <cell r="J183" t="str">
            <v>NJ</v>
          </cell>
          <cell r="K183" t="str">
            <v>08078</v>
          </cell>
          <cell r="L183" t="str">
            <v>United States</v>
          </cell>
          <cell r="M183"/>
          <cell r="N183">
            <v>18626</v>
          </cell>
          <cell r="O183">
            <v>1</v>
          </cell>
          <cell r="P183"/>
          <cell r="Q183" t="str">
            <v>Property - Private Equity</v>
          </cell>
          <cell r="R183" t="str">
            <v>Industrial</v>
          </cell>
          <cell r="S183" t="str">
            <v>Warehouse</v>
          </cell>
          <cell r="T183">
            <v>1992</v>
          </cell>
          <cell r="U183" t="str">
            <v>Sq. Feet</v>
          </cell>
          <cell r="V183" t="str">
            <v>Value-Add</v>
          </cell>
          <cell r="W183" t="str">
            <v>Industrial / Logistics</v>
          </cell>
          <cell r="X183" t="str">
            <v>Common Equity</v>
          </cell>
          <cell r="Y183"/>
          <cell r="Z183"/>
          <cell r="AA183"/>
          <cell r="AB183"/>
          <cell r="AC183"/>
          <cell r="AD183"/>
          <cell r="AE183"/>
          <cell r="AF183"/>
          <cell r="AG183"/>
          <cell r="AH183"/>
          <cell r="AI183"/>
          <cell r="AJ183"/>
          <cell r="AK183"/>
          <cell r="AL183"/>
          <cell r="AM183"/>
          <cell r="AN183"/>
          <cell r="AO183"/>
          <cell r="AP183"/>
          <cell r="AQ183"/>
          <cell r="AR183"/>
          <cell r="AS183">
            <v>44175</v>
          </cell>
          <cell r="AT183">
            <v>1970754</v>
          </cell>
          <cell r="AU183">
            <v>2017128.9037132883</v>
          </cell>
          <cell r="AV183">
            <v>120216</v>
          </cell>
          <cell r="AW183"/>
          <cell r="AX183">
            <v>6.1000003044520017E-2</v>
          </cell>
          <cell r="AY183"/>
          <cell r="AZ183"/>
          <cell r="BA183">
            <v>0.99</v>
          </cell>
          <cell r="BB183"/>
          <cell r="BC183">
            <v>1</v>
          </cell>
          <cell r="BD183">
            <v>8598.06</v>
          </cell>
          <cell r="BE183">
            <v>143701.26</v>
          </cell>
          <cell r="BF183">
            <v>75409.62</v>
          </cell>
          <cell r="BG183">
            <v>0</v>
          </cell>
          <cell r="BH183"/>
          <cell r="BI183"/>
          <cell r="BJ183">
            <v>2017128.9037132883</v>
          </cell>
        </row>
        <row r="184">
          <cell r="B184" t="str">
            <v>njrun150</v>
          </cell>
          <cell r="C184" t="str">
            <v>150 Runnemede</v>
          </cell>
          <cell r="D184" t="str">
            <v>Realized</v>
          </cell>
          <cell r="E184" t="str">
            <v>Logistic Fund I</v>
          </cell>
          <cell r="F184" t="str">
            <v>USD</v>
          </cell>
          <cell r="G184" t="str">
            <v>Last Mile</v>
          </cell>
          <cell r="H184" t="str">
            <v>Philadelphia</v>
          </cell>
          <cell r="I184" t="str">
            <v>Runnemede</v>
          </cell>
          <cell r="J184" t="str">
            <v>NJ</v>
          </cell>
          <cell r="K184" t="str">
            <v>07078</v>
          </cell>
          <cell r="L184" t="str">
            <v>United States</v>
          </cell>
          <cell r="M184"/>
          <cell r="N184">
            <v>23138</v>
          </cell>
          <cell r="O184">
            <v>1</v>
          </cell>
          <cell r="P184"/>
          <cell r="Q184" t="str">
            <v>Property - Private Equity</v>
          </cell>
          <cell r="R184" t="str">
            <v>Industrial</v>
          </cell>
          <cell r="S184" t="str">
            <v>Warehouse</v>
          </cell>
          <cell r="T184">
            <v>1992</v>
          </cell>
          <cell r="U184" t="str">
            <v>Sq. Feet</v>
          </cell>
          <cell r="V184" t="str">
            <v>Value-Add</v>
          </cell>
          <cell r="W184" t="str">
            <v>Industrial / Logistics</v>
          </cell>
          <cell r="X184" t="str">
            <v>Common Equity</v>
          </cell>
          <cell r="Y184"/>
          <cell r="Z184"/>
          <cell r="AA184"/>
          <cell r="AB184"/>
          <cell r="AC184"/>
          <cell r="AD184"/>
          <cell r="AE184"/>
          <cell r="AF184"/>
          <cell r="AG184"/>
          <cell r="AH184"/>
          <cell r="AI184"/>
          <cell r="AJ184"/>
          <cell r="AK184"/>
          <cell r="AL184"/>
          <cell r="AM184"/>
          <cell r="AN184"/>
          <cell r="AO184"/>
          <cell r="AP184"/>
          <cell r="AQ184"/>
          <cell r="AR184"/>
          <cell r="AS184">
            <v>44175</v>
          </cell>
          <cell r="AT184">
            <v>1932159</v>
          </cell>
          <cell r="AU184">
            <v>1977625.7033956361</v>
          </cell>
          <cell r="AV184">
            <v>117862</v>
          </cell>
          <cell r="AW184"/>
          <cell r="AX184">
            <v>6.1000155784280696E-2</v>
          </cell>
          <cell r="AY184"/>
          <cell r="AZ184"/>
          <cell r="BA184">
            <v>0.99</v>
          </cell>
          <cell r="BB184"/>
          <cell r="BC184">
            <v>1</v>
          </cell>
          <cell r="BD184">
            <v>8876.65</v>
          </cell>
          <cell r="BE184">
            <v>133021.79</v>
          </cell>
          <cell r="BF184">
            <v>79309.38</v>
          </cell>
          <cell r="BG184">
            <v>0</v>
          </cell>
          <cell r="BH184"/>
          <cell r="BI184"/>
          <cell r="BJ184">
            <v>1977625.7033956361</v>
          </cell>
        </row>
        <row r="185">
          <cell r="B185" t="str">
            <v>njrun175</v>
          </cell>
          <cell r="C185" t="str">
            <v>175 Runnemede</v>
          </cell>
          <cell r="D185" t="str">
            <v>Realized</v>
          </cell>
          <cell r="E185" t="str">
            <v>Logistic Fund I</v>
          </cell>
          <cell r="F185" t="str">
            <v>USD</v>
          </cell>
          <cell r="G185" t="str">
            <v>Last Mile</v>
          </cell>
          <cell r="H185" t="str">
            <v>Philadelphia</v>
          </cell>
          <cell r="I185" t="str">
            <v>Runnemede</v>
          </cell>
          <cell r="J185" t="str">
            <v>NJ</v>
          </cell>
          <cell r="K185" t="str">
            <v>08078</v>
          </cell>
          <cell r="L185" t="str">
            <v>United States</v>
          </cell>
          <cell r="M185"/>
          <cell r="N185">
            <v>36800</v>
          </cell>
          <cell r="O185">
            <v>1</v>
          </cell>
          <cell r="P185"/>
          <cell r="Q185" t="str">
            <v>Property - Private Equity</v>
          </cell>
          <cell r="R185" t="str">
            <v>Industrial</v>
          </cell>
          <cell r="S185" t="str">
            <v>Warehouse</v>
          </cell>
          <cell r="T185">
            <v>1995</v>
          </cell>
          <cell r="U185" t="str">
            <v>Sq. Feet</v>
          </cell>
          <cell r="V185" t="str">
            <v>Value-Add</v>
          </cell>
          <cell r="W185" t="str">
            <v>Industrial / Logistics</v>
          </cell>
          <cell r="X185" t="str">
            <v>Common Equity</v>
          </cell>
          <cell r="Y185"/>
          <cell r="Z185"/>
          <cell r="AA185"/>
          <cell r="AB185"/>
          <cell r="AC185"/>
          <cell r="AD185"/>
          <cell r="AE185"/>
          <cell r="AF185"/>
          <cell r="AG185"/>
          <cell r="AH185"/>
          <cell r="AI185"/>
          <cell r="AJ185"/>
          <cell r="AK185"/>
          <cell r="AL185"/>
          <cell r="AM185"/>
          <cell r="AN185"/>
          <cell r="AO185"/>
          <cell r="AP185"/>
          <cell r="AQ185"/>
          <cell r="AR185"/>
          <cell r="AS185">
            <v>44175</v>
          </cell>
          <cell r="AT185">
            <v>3307607</v>
          </cell>
          <cell r="AU185">
            <v>3385440.1319618779</v>
          </cell>
          <cell r="AV185">
            <v>201764</v>
          </cell>
          <cell r="AW185"/>
          <cell r="AX185">
            <v>6.0999991836998772E-2</v>
          </cell>
          <cell r="AY185"/>
          <cell r="AZ185"/>
          <cell r="BA185">
            <v>0.99</v>
          </cell>
          <cell r="BB185"/>
          <cell r="BC185">
            <v>1</v>
          </cell>
          <cell r="BD185">
            <v>11214.59</v>
          </cell>
          <cell r="BE185">
            <v>199178.81</v>
          </cell>
          <cell r="BF185">
            <v>135935.67999999999</v>
          </cell>
          <cell r="BG185">
            <v>0</v>
          </cell>
          <cell r="BH185"/>
          <cell r="BI185"/>
          <cell r="BJ185">
            <v>3385440.1319618779</v>
          </cell>
        </row>
        <row r="186">
          <cell r="B186" t="str">
            <v>njrun160</v>
          </cell>
          <cell r="C186" t="str">
            <v>160 Runnemede</v>
          </cell>
          <cell r="D186" t="str">
            <v>Realized</v>
          </cell>
          <cell r="E186" t="str">
            <v>Logistic Fund I</v>
          </cell>
          <cell r="F186" t="str">
            <v>USD</v>
          </cell>
          <cell r="G186" t="str">
            <v>Last Mile</v>
          </cell>
          <cell r="H186" t="str">
            <v>Philadelphia</v>
          </cell>
          <cell r="I186" t="str">
            <v>Runnemede</v>
          </cell>
          <cell r="J186" t="str">
            <v>NJ</v>
          </cell>
          <cell r="K186" t="str">
            <v>08078</v>
          </cell>
          <cell r="L186" t="str">
            <v>United States</v>
          </cell>
          <cell r="M186"/>
          <cell r="N186">
            <v>39881</v>
          </cell>
          <cell r="O186">
            <v>1</v>
          </cell>
          <cell r="P186"/>
          <cell r="Q186" t="str">
            <v>Property - Private Equity</v>
          </cell>
          <cell r="R186" t="str">
            <v>Industrial</v>
          </cell>
          <cell r="S186" t="str">
            <v>Warehouse</v>
          </cell>
          <cell r="T186">
            <v>1998</v>
          </cell>
          <cell r="U186" t="str">
            <v>Sq. Feet</v>
          </cell>
          <cell r="V186" t="str">
            <v>Value-Add</v>
          </cell>
          <cell r="W186" t="str">
            <v>Industrial / Logistics</v>
          </cell>
          <cell r="X186" t="str">
            <v>Common Equity</v>
          </cell>
          <cell r="Y186"/>
          <cell r="Z186"/>
          <cell r="AA186"/>
          <cell r="AB186"/>
          <cell r="AC186"/>
          <cell r="AD186"/>
          <cell r="AE186"/>
          <cell r="AF186"/>
          <cell r="AG186"/>
          <cell r="AH186"/>
          <cell r="AI186"/>
          <cell r="AJ186"/>
          <cell r="AK186"/>
          <cell r="AL186"/>
          <cell r="AM186"/>
          <cell r="AN186"/>
          <cell r="AO186"/>
          <cell r="AP186"/>
          <cell r="AQ186"/>
          <cell r="AR186"/>
          <cell r="AS186">
            <v>44175</v>
          </cell>
          <cell r="AT186">
            <v>4410433</v>
          </cell>
          <cell r="AU186">
            <v>4514217.3412769474</v>
          </cell>
          <cell r="AV186">
            <v>269036</v>
          </cell>
          <cell r="AW186"/>
          <cell r="AX186">
            <v>6.0999906358400635E-2</v>
          </cell>
          <cell r="AY186"/>
          <cell r="AZ186"/>
          <cell r="BA186">
            <v>0.99</v>
          </cell>
          <cell r="BB186"/>
          <cell r="BC186">
            <v>1</v>
          </cell>
          <cell r="BD186">
            <v>18567.419999999998</v>
          </cell>
          <cell r="BE186">
            <v>358781.47</v>
          </cell>
          <cell r="BF186">
            <v>196384.91</v>
          </cell>
          <cell r="BG186">
            <v>0</v>
          </cell>
          <cell r="BH186"/>
          <cell r="BI186"/>
          <cell r="BJ186">
            <v>4514217.3412769474</v>
          </cell>
        </row>
        <row r="187">
          <cell r="B187" t="str">
            <v>njrun190</v>
          </cell>
          <cell r="C187" t="str">
            <v>190 Runnemede</v>
          </cell>
          <cell r="D187" t="str">
            <v>Realized</v>
          </cell>
          <cell r="E187" t="str">
            <v>Logistic Fund I</v>
          </cell>
          <cell r="F187" t="str">
            <v>USD</v>
          </cell>
          <cell r="G187" t="str">
            <v>Last Mile</v>
          </cell>
          <cell r="H187" t="str">
            <v>Philadelphia</v>
          </cell>
          <cell r="I187" t="str">
            <v>Runnemede</v>
          </cell>
          <cell r="J187" t="str">
            <v>NJ</v>
          </cell>
          <cell r="K187" t="str">
            <v>08078</v>
          </cell>
          <cell r="L187" t="str">
            <v>United States</v>
          </cell>
          <cell r="M187"/>
          <cell r="N187">
            <v>57821</v>
          </cell>
          <cell r="O187">
            <v>1</v>
          </cell>
          <cell r="P187"/>
          <cell r="Q187" t="str">
            <v>Property - Private Equity</v>
          </cell>
          <cell r="R187" t="str">
            <v>Industrial</v>
          </cell>
          <cell r="S187" t="str">
            <v>Warehouse</v>
          </cell>
          <cell r="T187">
            <v>1998</v>
          </cell>
          <cell r="U187" t="str">
            <v>Sq. Feet</v>
          </cell>
          <cell r="V187" t="str">
            <v>Value-Add</v>
          </cell>
          <cell r="W187" t="str">
            <v>Industrial / Logistics</v>
          </cell>
          <cell r="X187" t="str">
            <v>Common Equity</v>
          </cell>
          <cell r="Y187"/>
          <cell r="Z187"/>
          <cell r="AA187"/>
          <cell r="AB187"/>
          <cell r="AC187"/>
          <cell r="AD187"/>
          <cell r="AE187"/>
          <cell r="AF187"/>
          <cell r="AG187"/>
          <cell r="AH187"/>
          <cell r="AI187"/>
          <cell r="AJ187"/>
          <cell r="AK187"/>
          <cell r="AL187"/>
          <cell r="AM187"/>
          <cell r="AN187"/>
          <cell r="AO187"/>
          <cell r="AP187"/>
          <cell r="AQ187"/>
          <cell r="AR187"/>
          <cell r="AS187">
            <v>44175</v>
          </cell>
          <cell r="AT187">
            <v>6057996</v>
          </cell>
          <cell r="AU187">
            <v>6200550.0585966008</v>
          </cell>
          <cell r="AV187">
            <v>396537</v>
          </cell>
          <cell r="AW187"/>
          <cell r="AX187">
            <v>6.5456794623172415E-2</v>
          </cell>
          <cell r="AY187"/>
          <cell r="AZ187"/>
          <cell r="BA187">
            <v>0.99</v>
          </cell>
          <cell r="BB187"/>
          <cell r="BC187">
            <v>1</v>
          </cell>
          <cell r="BD187">
            <v>19849.09</v>
          </cell>
          <cell r="BE187">
            <v>322318.02</v>
          </cell>
          <cell r="BF187">
            <v>218803.95</v>
          </cell>
          <cell r="BG187">
            <v>0</v>
          </cell>
          <cell r="BH187"/>
          <cell r="BI187"/>
          <cell r="BJ187">
            <v>6200550.0585966008</v>
          </cell>
        </row>
        <row r="188">
          <cell r="B188" t="str">
            <v>njrun155</v>
          </cell>
          <cell r="C188" t="str">
            <v>155 Runnemede</v>
          </cell>
          <cell r="D188" t="str">
            <v>Realized</v>
          </cell>
          <cell r="E188" t="str">
            <v>Logistic Fund I</v>
          </cell>
          <cell r="F188" t="str">
            <v>USD</v>
          </cell>
          <cell r="G188" t="str">
            <v>Last Mile</v>
          </cell>
          <cell r="H188" t="str">
            <v>Philadelphia</v>
          </cell>
          <cell r="I188" t="str">
            <v>Runnemede</v>
          </cell>
          <cell r="J188" t="str">
            <v>NJ</v>
          </cell>
          <cell r="K188" t="str">
            <v>08078</v>
          </cell>
          <cell r="L188" t="str">
            <v>United States</v>
          </cell>
          <cell r="M188"/>
          <cell r="N188">
            <v>58204</v>
          </cell>
          <cell r="O188">
            <v>1</v>
          </cell>
          <cell r="P188"/>
          <cell r="Q188" t="str">
            <v>Property - Private Equity</v>
          </cell>
          <cell r="R188" t="str">
            <v>Industrial</v>
          </cell>
          <cell r="S188" t="str">
            <v>Warehouse</v>
          </cell>
          <cell r="T188">
            <v>1988</v>
          </cell>
          <cell r="U188" t="str">
            <v>Sq. Feet</v>
          </cell>
          <cell r="V188" t="str">
            <v>Value-Add</v>
          </cell>
          <cell r="W188" t="str">
            <v>Industrial / Logistics</v>
          </cell>
          <cell r="X188" t="str">
            <v>Common Equity</v>
          </cell>
          <cell r="Y188"/>
          <cell r="Z188"/>
          <cell r="AA188"/>
          <cell r="AB188"/>
          <cell r="AC188"/>
          <cell r="AD188"/>
          <cell r="AE188"/>
          <cell r="AF188"/>
          <cell r="AG188"/>
          <cell r="AH188"/>
          <cell r="AI188"/>
          <cell r="AJ188"/>
          <cell r="AK188"/>
          <cell r="AL188"/>
          <cell r="AM188"/>
          <cell r="AN188"/>
          <cell r="AO188"/>
          <cell r="AP188"/>
          <cell r="AQ188"/>
          <cell r="AR188"/>
          <cell r="AS188">
            <v>44175</v>
          </cell>
          <cell r="AT188">
            <v>5073262</v>
          </cell>
          <cell r="AU188">
            <v>5192643.7375290282</v>
          </cell>
          <cell r="AV188">
            <v>309469</v>
          </cell>
          <cell r="AW188"/>
          <cell r="AX188">
            <v>6.100000354801309E-2</v>
          </cell>
          <cell r="AY188"/>
          <cell r="AZ188"/>
          <cell r="BA188">
            <v>0.99</v>
          </cell>
          <cell r="BB188"/>
          <cell r="BC188">
            <v>1</v>
          </cell>
          <cell r="BD188">
            <v>32663.32</v>
          </cell>
          <cell r="BE188">
            <v>299224.27</v>
          </cell>
          <cell r="BF188">
            <v>183722.79</v>
          </cell>
          <cell r="BG188">
            <v>0</v>
          </cell>
          <cell r="BH188"/>
          <cell r="BI188"/>
          <cell r="BJ188">
            <v>5192643.7375290282</v>
          </cell>
        </row>
        <row r="189">
          <cell r="B189" t="str">
            <v>njrun165</v>
          </cell>
          <cell r="C189" t="str">
            <v>165 Runnemede</v>
          </cell>
          <cell r="D189" t="str">
            <v>Realized</v>
          </cell>
          <cell r="E189" t="str">
            <v>Logistic Fund I</v>
          </cell>
          <cell r="F189" t="str">
            <v>USD</v>
          </cell>
          <cell r="G189" t="str">
            <v>Last Mile</v>
          </cell>
          <cell r="H189" t="str">
            <v>Philadelphia</v>
          </cell>
          <cell r="I189" t="str">
            <v>Runnemede</v>
          </cell>
          <cell r="J189" t="str">
            <v>NJ</v>
          </cell>
          <cell r="K189" t="str">
            <v>08058</v>
          </cell>
          <cell r="L189" t="str">
            <v>United States</v>
          </cell>
          <cell r="M189"/>
          <cell r="N189">
            <v>69607</v>
          </cell>
          <cell r="O189">
            <v>1</v>
          </cell>
          <cell r="P189"/>
          <cell r="Q189" t="str">
            <v>Property - Private Equity</v>
          </cell>
          <cell r="R189" t="str">
            <v>Industrial</v>
          </cell>
          <cell r="S189" t="str">
            <v>Warehouse</v>
          </cell>
          <cell r="T189">
            <v>2005</v>
          </cell>
          <cell r="U189" t="str">
            <v>Sq. Feet</v>
          </cell>
          <cell r="V189" t="str">
            <v>Value-Add</v>
          </cell>
          <cell r="W189" t="str">
            <v>Industrial / Logistics</v>
          </cell>
          <cell r="X189" t="str">
            <v>Common Equity</v>
          </cell>
          <cell r="Y189"/>
          <cell r="Z189"/>
          <cell r="AA189"/>
          <cell r="AB189"/>
          <cell r="AC189"/>
          <cell r="AD189"/>
          <cell r="AE189"/>
          <cell r="AF189"/>
          <cell r="AG189"/>
          <cell r="AH189"/>
          <cell r="AI189"/>
          <cell r="AJ189"/>
          <cell r="AK189"/>
          <cell r="AL189"/>
          <cell r="AM189"/>
          <cell r="AN189"/>
          <cell r="AO189"/>
          <cell r="AP189"/>
          <cell r="AQ189"/>
          <cell r="AR189"/>
          <cell r="AS189">
            <v>44175</v>
          </cell>
          <cell r="AT189">
            <v>5835659</v>
          </cell>
          <cell r="AU189">
            <v>5972981.1235266216</v>
          </cell>
          <cell r="AV189">
            <v>355975</v>
          </cell>
          <cell r="AW189"/>
          <cell r="AX189">
            <v>6.0999965899309741E-2</v>
          </cell>
          <cell r="AY189"/>
          <cell r="AZ189"/>
          <cell r="BA189">
            <v>0.99</v>
          </cell>
          <cell r="BB189"/>
          <cell r="BC189">
            <v>1</v>
          </cell>
          <cell r="BD189">
            <v>24277.1</v>
          </cell>
          <cell r="BE189">
            <v>441353.27</v>
          </cell>
          <cell r="BF189">
            <v>259721.01</v>
          </cell>
          <cell r="BG189">
            <v>0</v>
          </cell>
          <cell r="BH189"/>
          <cell r="BI189"/>
          <cell r="BJ189">
            <v>5972981.1235266216</v>
          </cell>
        </row>
        <row r="190">
          <cell r="B190" t="str">
            <v>njhig121</v>
          </cell>
          <cell r="C190" t="str">
            <v>121 High Hill Road</v>
          </cell>
          <cell r="D190" t="str">
            <v>Realized</v>
          </cell>
          <cell r="E190" t="str">
            <v>Logistic Fund I</v>
          </cell>
          <cell r="F190" t="str">
            <v>USD</v>
          </cell>
          <cell r="G190" t="str">
            <v>Last Mile</v>
          </cell>
          <cell r="H190" t="str">
            <v>Philadelphia</v>
          </cell>
          <cell r="I190" t="str">
            <v>Swedesboro</v>
          </cell>
          <cell r="J190" t="str">
            <v>NJ</v>
          </cell>
          <cell r="K190" t="str">
            <v>08085</v>
          </cell>
          <cell r="L190" t="str">
            <v>United States</v>
          </cell>
          <cell r="M190"/>
          <cell r="N190">
            <v>106528</v>
          </cell>
          <cell r="O190">
            <v>1</v>
          </cell>
          <cell r="P190"/>
          <cell r="Q190" t="str">
            <v>Property - Private Equity</v>
          </cell>
          <cell r="R190" t="str">
            <v>Industrial</v>
          </cell>
          <cell r="S190" t="str">
            <v>Warehouse</v>
          </cell>
          <cell r="T190">
            <v>1962</v>
          </cell>
          <cell r="U190" t="str">
            <v>Sq. Feet</v>
          </cell>
          <cell r="V190" t="str">
            <v>Value-Add</v>
          </cell>
          <cell r="W190" t="str">
            <v>Industrial / Logistics</v>
          </cell>
          <cell r="X190" t="str">
            <v>Common Equity</v>
          </cell>
          <cell r="Y190"/>
          <cell r="Z190"/>
          <cell r="AA190"/>
          <cell r="AB190"/>
          <cell r="AC190"/>
          <cell r="AD190"/>
          <cell r="AE190"/>
          <cell r="AF190"/>
          <cell r="AG190"/>
          <cell r="AH190"/>
          <cell r="AI190"/>
          <cell r="AJ190"/>
          <cell r="AK190"/>
          <cell r="AL190"/>
          <cell r="AM190"/>
          <cell r="AN190"/>
          <cell r="AO190"/>
          <cell r="AP190"/>
          <cell r="AQ190"/>
          <cell r="AR190"/>
          <cell r="AS190">
            <v>44180</v>
          </cell>
          <cell r="AT190">
            <v>7200000</v>
          </cell>
          <cell r="AU190">
            <v>7398968.6600000001</v>
          </cell>
          <cell r="AV190">
            <v>486000</v>
          </cell>
          <cell r="AW190"/>
          <cell r="AX190">
            <v>6.7500000000000004E-2</v>
          </cell>
          <cell r="AY190"/>
          <cell r="AZ190"/>
          <cell r="BA190">
            <v>1</v>
          </cell>
          <cell r="BB190"/>
          <cell r="BC190">
            <v>1</v>
          </cell>
          <cell r="BD190">
            <v>23354.93</v>
          </cell>
          <cell r="BE190">
            <v>428852.13</v>
          </cell>
          <cell r="BF190">
            <v>452540.62</v>
          </cell>
          <cell r="BG190">
            <v>0</v>
          </cell>
          <cell r="BH190"/>
          <cell r="BI190"/>
          <cell r="BJ190">
            <v>7398968.6600000001</v>
          </cell>
        </row>
        <row r="191">
          <cell r="B191" t="str">
            <v>gaent031</v>
          </cell>
          <cell r="C191" t="str">
            <v>20 and 30 Enterprise Boulevard</v>
          </cell>
          <cell r="D191" t="str">
            <v>Realized</v>
          </cell>
          <cell r="E191" t="str">
            <v>Logistic Fund I</v>
          </cell>
          <cell r="F191" t="str">
            <v>USD</v>
          </cell>
          <cell r="G191" t="str">
            <v>Last Mile</v>
          </cell>
          <cell r="H191" t="str">
            <v>Atlanta</v>
          </cell>
          <cell r="I191" t="str">
            <v>Atlanta</v>
          </cell>
          <cell r="J191" t="str">
            <v>GA</v>
          </cell>
          <cell r="K191">
            <v>30336</v>
          </cell>
          <cell r="L191" t="str">
            <v>United States</v>
          </cell>
          <cell r="M191"/>
          <cell r="N191">
            <v>50050</v>
          </cell>
          <cell r="O191">
            <v>2</v>
          </cell>
          <cell r="P191"/>
          <cell r="Q191" t="str">
            <v>Property - Private Equity</v>
          </cell>
          <cell r="R191" t="str">
            <v>Industrial</v>
          </cell>
          <cell r="S191" t="str">
            <v>Warehouse</v>
          </cell>
          <cell r="T191">
            <v>1971</v>
          </cell>
          <cell r="U191" t="str">
            <v>Sq. Feet</v>
          </cell>
          <cell r="V191" t="str">
            <v>Value-Add</v>
          </cell>
          <cell r="W191" t="str">
            <v>Industrial / Logistics</v>
          </cell>
          <cell r="X191" t="str">
            <v>Common Equity</v>
          </cell>
          <cell r="Y191"/>
          <cell r="Z191"/>
          <cell r="AA191"/>
          <cell r="AB191"/>
          <cell r="AC191"/>
          <cell r="AD191"/>
          <cell r="AE191"/>
          <cell r="AF191"/>
          <cell r="AG191"/>
          <cell r="AH191"/>
          <cell r="AI191"/>
          <cell r="AJ191"/>
          <cell r="AK191"/>
          <cell r="AL191"/>
          <cell r="AM191"/>
          <cell r="AN191"/>
          <cell r="AO191"/>
          <cell r="AP191"/>
          <cell r="AQ191"/>
          <cell r="AR191"/>
          <cell r="AS191">
            <v>44195</v>
          </cell>
          <cell r="AT191">
            <v>2050000</v>
          </cell>
          <cell r="AU191">
            <v>2112706.37</v>
          </cell>
          <cell r="AV191">
            <v>149650</v>
          </cell>
          <cell r="AW191"/>
          <cell r="AX191">
            <v>7.2999999999999995E-2</v>
          </cell>
          <cell r="AY191"/>
          <cell r="AZ191"/>
          <cell r="BA191">
            <v>1</v>
          </cell>
          <cell r="BB191"/>
          <cell r="BC191">
            <v>1</v>
          </cell>
          <cell r="BD191">
            <v>-70.5</v>
          </cell>
          <cell r="BE191">
            <v>154924.92000000001</v>
          </cell>
          <cell r="BF191">
            <v>49473.1</v>
          </cell>
          <cell r="BG191">
            <v>0</v>
          </cell>
          <cell r="BH191"/>
          <cell r="BI191"/>
          <cell r="BJ191">
            <v>2112706.37</v>
          </cell>
        </row>
        <row r="192">
          <cell r="B192" t="str">
            <v>garon030</v>
          </cell>
          <cell r="C192" t="str">
            <v>2210 Ronald Reagan Boulevard</v>
          </cell>
          <cell r="D192" t="str">
            <v>Realized</v>
          </cell>
          <cell r="E192" t="str">
            <v>Logistic Fund I</v>
          </cell>
          <cell r="F192" t="str">
            <v>USD</v>
          </cell>
          <cell r="G192" t="str">
            <v>Last Mile</v>
          </cell>
          <cell r="H192" t="str">
            <v>Atlanta</v>
          </cell>
          <cell r="I192" t="str">
            <v>Cumming</v>
          </cell>
          <cell r="J192" t="str">
            <v>GA</v>
          </cell>
          <cell r="K192">
            <v>30041</v>
          </cell>
          <cell r="L192" t="str">
            <v>United States</v>
          </cell>
          <cell r="M192"/>
          <cell r="N192">
            <v>79124</v>
          </cell>
          <cell r="O192">
            <v>1</v>
          </cell>
          <cell r="P192"/>
          <cell r="Q192" t="str">
            <v>Property - Private Equity</v>
          </cell>
          <cell r="R192" t="str">
            <v>Industrial</v>
          </cell>
          <cell r="S192" t="str">
            <v>Warehouse</v>
          </cell>
          <cell r="T192">
            <v>1986</v>
          </cell>
          <cell r="U192" t="str">
            <v>Sq. Feet</v>
          </cell>
          <cell r="V192" t="str">
            <v>Value-Add</v>
          </cell>
          <cell r="W192" t="str">
            <v>Industrial / Logistics</v>
          </cell>
          <cell r="X192" t="str">
            <v>Common Equity</v>
          </cell>
          <cell r="Y192"/>
          <cell r="Z192"/>
          <cell r="AA192"/>
          <cell r="AB192"/>
          <cell r="AC192"/>
          <cell r="AD192"/>
          <cell r="AE192"/>
          <cell r="AF192"/>
          <cell r="AG192"/>
          <cell r="AH192"/>
          <cell r="AI192"/>
          <cell r="AJ192"/>
          <cell r="AK192"/>
          <cell r="AL192"/>
          <cell r="AM192"/>
          <cell r="AN192"/>
          <cell r="AO192"/>
          <cell r="AP192"/>
          <cell r="AQ192"/>
          <cell r="AR192"/>
          <cell r="AS192">
            <v>44195</v>
          </cell>
          <cell r="AT192">
            <v>5478900</v>
          </cell>
          <cell r="AU192">
            <v>5601465.1600000001</v>
          </cell>
          <cell r="AV192">
            <v>410917.5</v>
          </cell>
          <cell r="AW192"/>
          <cell r="AX192">
            <v>7.4999999999999997E-2</v>
          </cell>
          <cell r="AY192"/>
          <cell r="AZ192"/>
          <cell r="BA192">
            <v>1</v>
          </cell>
          <cell r="BB192"/>
          <cell r="BC192">
            <v>1</v>
          </cell>
          <cell r="BD192">
            <v>-490.7</v>
          </cell>
          <cell r="BE192">
            <v>410911.77</v>
          </cell>
          <cell r="BF192">
            <v>199491.16</v>
          </cell>
          <cell r="BG192">
            <v>0</v>
          </cell>
          <cell r="BH192"/>
          <cell r="BI192"/>
          <cell r="BJ192">
            <v>5601465.1600000001</v>
          </cell>
        </row>
        <row r="193">
          <cell r="B193" t="str">
            <v>gawhe032</v>
          </cell>
          <cell r="C193" t="str">
            <v>9120 Wheat Street</v>
          </cell>
          <cell r="D193" t="str">
            <v>Realized</v>
          </cell>
          <cell r="E193" t="str">
            <v>Logistic Fund I</v>
          </cell>
          <cell r="F193" t="str">
            <v>USD</v>
          </cell>
          <cell r="G193" t="str">
            <v>Last Mile</v>
          </cell>
          <cell r="H193" t="str">
            <v>Atlanta</v>
          </cell>
          <cell r="I193" t="str">
            <v>Covington</v>
          </cell>
          <cell r="J193" t="str">
            <v>GA</v>
          </cell>
          <cell r="K193">
            <v>30014</v>
          </cell>
          <cell r="L193" t="str">
            <v>United States</v>
          </cell>
          <cell r="M193"/>
          <cell r="N193">
            <v>40000</v>
          </cell>
          <cell r="O193">
            <v>1</v>
          </cell>
          <cell r="P193"/>
          <cell r="Q193" t="str">
            <v>Property - Private Equity</v>
          </cell>
          <cell r="R193" t="str">
            <v>Industrial</v>
          </cell>
          <cell r="S193" t="str">
            <v>Warehouse</v>
          </cell>
          <cell r="T193">
            <v>1997</v>
          </cell>
          <cell r="U193" t="str">
            <v>Sq. Feet</v>
          </cell>
          <cell r="V193" t="str">
            <v>Value-Add</v>
          </cell>
          <cell r="W193" t="str">
            <v>Industrial / Logistics</v>
          </cell>
          <cell r="X193" t="str">
            <v>Common Equity</v>
          </cell>
          <cell r="Y193"/>
          <cell r="Z193"/>
          <cell r="AA193"/>
          <cell r="AB193"/>
          <cell r="AC193"/>
          <cell r="AD193"/>
          <cell r="AE193"/>
          <cell r="AF193"/>
          <cell r="AG193"/>
          <cell r="AH193"/>
          <cell r="AI193"/>
          <cell r="AJ193"/>
          <cell r="AK193"/>
          <cell r="AL193"/>
          <cell r="AM193"/>
          <cell r="AN193"/>
          <cell r="AO193"/>
          <cell r="AP193"/>
          <cell r="AQ193"/>
          <cell r="AR193"/>
          <cell r="AS193">
            <v>44257</v>
          </cell>
          <cell r="AT193">
            <v>2050000</v>
          </cell>
          <cell r="AU193">
            <v>2105058</v>
          </cell>
          <cell r="AV193">
            <v>143500</v>
          </cell>
          <cell r="AW193"/>
          <cell r="AX193">
            <v>7.0000000000000007E-2</v>
          </cell>
          <cell r="AY193"/>
          <cell r="AZ193"/>
          <cell r="BA193">
            <v>1</v>
          </cell>
          <cell r="BB193"/>
          <cell r="BC193">
            <v>1</v>
          </cell>
          <cell r="BD193">
            <v>0</v>
          </cell>
          <cell r="BE193">
            <v>97934.74</v>
          </cell>
          <cell r="BF193">
            <v>79921.87</v>
          </cell>
          <cell r="BG193">
            <v>0</v>
          </cell>
          <cell r="BH193"/>
          <cell r="BI193"/>
          <cell r="BJ193">
            <v>2105058</v>
          </cell>
        </row>
        <row r="194">
          <cell r="B194" t="str">
            <v>njwes103</v>
          </cell>
          <cell r="C194" t="str">
            <v>103 West Park Drive</v>
          </cell>
          <cell r="D194" t="str">
            <v>Realized</v>
          </cell>
          <cell r="E194" t="str">
            <v>Logistic Fund I</v>
          </cell>
          <cell r="F194" t="str">
            <v>USD</v>
          </cell>
          <cell r="G194" t="str">
            <v>Last Mile</v>
          </cell>
          <cell r="H194" t="str">
            <v>Philadelphia</v>
          </cell>
          <cell r="I194" t="str">
            <v>Mount Laurel</v>
          </cell>
          <cell r="J194" t="str">
            <v>NJ</v>
          </cell>
          <cell r="K194" t="str">
            <v>08054</v>
          </cell>
          <cell r="L194" t="str">
            <v>United States</v>
          </cell>
          <cell r="M194"/>
          <cell r="N194">
            <v>61146</v>
          </cell>
          <cell r="O194">
            <v>1</v>
          </cell>
          <cell r="P194"/>
          <cell r="Q194" t="str">
            <v>Property - Private Equity</v>
          </cell>
          <cell r="R194" t="str">
            <v>Industrial</v>
          </cell>
          <cell r="S194" t="str">
            <v>Warehouse</v>
          </cell>
          <cell r="T194">
            <v>1977</v>
          </cell>
          <cell r="U194" t="str">
            <v>Sq. Feet</v>
          </cell>
          <cell r="V194" t="str">
            <v>Value-Add</v>
          </cell>
          <cell r="W194" t="str">
            <v>Industrial / Logistics</v>
          </cell>
          <cell r="X194" t="str">
            <v>Common Equity</v>
          </cell>
          <cell r="Y194"/>
          <cell r="Z194"/>
          <cell r="AA194"/>
          <cell r="AB194"/>
          <cell r="AC194"/>
          <cell r="AD194"/>
          <cell r="AE194"/>
          <cell r="AF194"/>
          <cell r="AG194"/>
          <cell r="AH194"/>
          <cell r="AI194"/>
          <cell r="AJ194"/>
          <cell r="AK194"/>
          <cell r="AL194"/>
          <cell r="AM194"/>
          <cell r="AN194"/>
          <cell r="AO194"/>
          <cell r="AP194"/>
          <cell r="AQ194"/>
          <cell r="AR194"/>
          <cell r="AS194">
            <v>44257</v>
          </cell>
          <cell r="AT194">
            <v>4361500</v>
          </cell>
          <cell r="AU194">
            <v>4458411.66</v>
          </cell>
          <cell r="AV194">
            <v>274338.34999999998</v>
          </cell>
          <cell r="AW194"/>
          <cell r="AX194">
            <v>6.2899999999999998E-2</v>
          </cell>
          <cell r="AY194"/>
          <cell r="AZ194"/>
          <cell r="BA194">
            <v>1</v>
          </cell>
          <cell r="BB194"/>
          <cell r="BC194">
            <v>1</v>
          </cell>
          <cell r="BD194">
            <v>0</v>
          </cell>
          <cell r="BE194">
            <v>199973.02</v>
          </cell>
          <cell r="BF194">
            <v>153788.46</v>
          </cell>
          <cell r="BG194">
            <v>0</v>
          </cell>
          <cell r="BH194"/>
          <cell r="BI194"/>
          <cell r="BJ194">
            <v>4458411.66</v>
          </cell>
        </row>
        <row r="195">
          <cell r="B195" t="str">
            <v>pajam002</v>
          </cell>
          <cell r="C195" t="str">
            <v>70 James Way</v>
          </cell>
          <cell r="D195" t="str">
            <v>Realized</v>
          </cell>
          <cell r="E195" t="str">
            <v>Logistic Fund I</v>
          </cell>
          <cell r="F195" t="str">
            <v>USD</v>
          </cell>
          <cell r="G195" t="str">
            <v>Last Mile</v>
          </cell>
          <cell r="H195" t="str">
            <v>Philadelphia</v>
          </cell>
          <cell r="I195" t="str">
            <v>Southampton</v>
          </cell>
          <cell r="J195" t="str">
            <v>PA</v>
          </cell>
          <cell r="K195">
            <v>18966</v>
          </cell>
          <cell r="L195" t="str">
            <v>United States</v>
          </cell>
          <cell r="M195"/>
          <cell r="N195">
            <v>60324</v>
          </cell>
          <cell r="O195">
            <v>1</v>
          </cell>
          <cell r="P195"/>
          <cell r="Q195" t="str">
            <v>Property - Private Equity</v>
          </cell>
          <cell r="R195" t="str">
            <v>Industrial</v>
          </cell>
          <cell r="S195" t="str">
            <v>Warehouse</v>
          </cell>
          <cell r="T195">
            <v>1989</v>
          </cell>
          <cell r="U195" t="str">
            <v>Sq. Feet</v>
          </cell>
          <cell r="V195" t="str">
            <v>Value-Add</v>
          </cell>
          <cell r="W195" t="str">
            <v>Industrial / Logistics</v>
          </cell>
          <cell r="X195" t="str">
            <v>Common Equity</v>
          </cell>
          <cell r="Y195"/>
          <cell r="Z195"/>
          <cell r="AA195"/>
          <cell r="AB195"/>
          <cell r="AC195"/>
          <cell r="AD195"/>
          <cell r="AE195"/>
          <cell r="AF195"/>
          <cell r="AG195"/>
          <cell r="AH195"/>
          <cell r="AI195"/>
          <cell r="AJ195"/>
          <cell r="AK195"/>
          <cell r="AL195"/>
          <cell r="AM195"/>
          <cell r="AN195"/>
          <cell r="AO195"/>
          <cell r="AP195"/>
          <cell r="AQ195"/>
          <cell r="AR195"/>
          <cell r="AS195">
            <v>44266</v>
          </cell>
          <cell r="AT195">
            <v>4500000</v>
          </cell>
          <cell r="AU195">
            <v>4676556.5199999996</v>
          </cell>
          <cell r="AV195">
            <v>243450</v>
          </cell>
          <cell r="AW195"/>
          <cell r="AX195">
            <v>5.4100000000000002E-2</v>
          </cell>
          <cell r="AY195"/>
          <cell r="AZ195"/>
          <cell r="BA195">
            <v>1</v>
          </cell>
          <cell r="BB195"/>
          <cell r="BC195">
            <v>1</v>
          </cell>
          <cell r="BD195">
            <v>0</v>
          </cell>
          <cell r="BE195">
            <v>186174.89</v>
          </cell>
          <cell r="BF195">
            <v>88649.69</v>
          </cell>
          <cell r="BG195">
            <v>0</v>
          </cell>
          <cell r="BH195"/>
          <cell r="BI195"/>
          <cell r="BJ195">
            <v>4676556.5199999996</v>
          </cell>
        </row>
        <row r="196">
          <cell r="B196" t="str">
            <v>gacom33</v>
          </cell>
          <cell r="C196" t="str">
            <v>1235 Commerce Rd</v>
          </cell>
          <cell r="D196" t="str">
            <v>Realized</v>
          </cell>
          <cell r="E196" t="str">
            <v>Logistic Fund I</v>
          </cell>
          <cell r="F196" t="str">
            <v>USD</v>
          </cell>
          <cell r="G196" t="str">
            <v>Last Mile</v>
          </cell>
          <cell r="H196" t="str">
            <v>Atlanta</v>
          </cell>
          <cell r="I196" t="str">
            <v>Morrow</v>
          </cell>
          <cell r="J196" t="str">
            <v>GA</v>
          </cell>
          <cell r="K196">
            <v>30260</v>
          </cell>
          <cell r="L196" t="str">
            <v>United States</v>
          </cell>
          <cell r="M196"/>
          <cell r="N196">
            <v>160253</v>
          </cell>
          <cell r="O196">
            <v>1</v>
          </cell>
          <cell r="P196"/>
          <cell r="Q196" t="str">
            <v>Property - Private Equity</v>
          </cell>
          <cell r="R196" t="str">
            <v>Industrial</v>
          </cell>
          <cell r="S196" t="str">
            <v>Warehouse</v>
          </cell>
          <cell r="T196">
            <v>1984</v>
          </cell>
          <cell r="U196" t="str">
            <v>Sq. Feet</v>
          </cell>
          <cell r="V196" t="str">
            <v>Value-Add</v>
          </cell>
          <cell r="W196" t="str">
            <v>Industrial / Logistics</v>
          </cell>
          <cell r="X196" t="str">
            <v>Common Equity</v>
          </cell>
          <cell r="Y196"/>
          <cell r="Z196"/>
          <cell r="AA196"/>
          <cell r="AB196"/>
          <cell r="AC196"/>
          <cell r="AD196"/>
          <cell r="AE196"/>
          <cell r="AF196"/>
          <cell r="AG196"/>
          <cell r="AH196"/>
          <cell r="AI196"/>
          <cell r="AJ196"/>
          <cell r="AK196"/>
          <cell r="AL196"/>
          <cell r="AM196"/>
          <cell r="AN196"/>
          <cell r="AO196"/>
          <cell r="AP196"/>
          <cell r="AQ196"/>
          <cell r="AR196"/>
          <cell r="AS196">
            <v>44285</v>
          </cell>
          <cell r="AT196">
            <v>7664000</v>
          </cell>
          <cell r="AU196">
            <v>7886214.75</v>
          </cell>
          <cell r="AV196">
            <v>536480</v>
          </cell>
          <cell r="AW196"/>
          <cell r="AX196">
            <v>7.0000000000000007E-2</v>
          </cell>
          <cell r="AY196"/>
          <cell r="AZ196"/>
          <cell r="BA196">
            <v>1</v>
          </cell>
          <cell r="BB196"/>
          <cell r="BC196">
            <v>1</v>
          </cell>
          <cell r="BD196">
            <v>0</v>
          </cell>
          <cell r="BE196">
            <v>418296.12</v>
          </cell>
          <cell r="BF196">
            <v>323337.58</v>
          </cell>
          <cell r="BG196">
            <v>0</v>
          </cell>
          <cell r="BH196"/>
          <cell r="BI196"/>
          <cell r="BJ196">
            <v>7886214.75</v>
          </cell>
        </row>
        <row r="197">
          <cell r="B197" t="str">
            <v>gaold035</v>
          </cell>
          <cell r="C197" t="str">
            <v>4350 Old McDonough Road</v>
          </cell>
          <cell r="D197" t="str">
            <v>Realized</v>
          </cell>
          <cell r="E197" t="str">
            <v>Logistic Fund I</v>
          </cell>
          <cell r="F197" t="str">
            <v>USD</v>
          </cell>
          <cell r="G197" t="str">
            <v>Last Mile</v>
          </cell>
          <cell r="H197" t="str">
            <v>Atlanta</v>
          </cell>
          <cell r="I197" t="str">
            <v>Conley</v>
          </cell>
          <cell r="J197" t="str">
            <v>GA</v>
          </cell>
          <cell r="K197">
            <v>30288</v>
          </cell>
          <cell r="L197" t="str">
            <v>United States</v>
          </cell>
          <cell r="M197"/>
          <cell r="N197">
            <v>21080</v>
          </cell>
          <cell r="O197">
            <v>1</v>
          </cell>
          <cell r="P197"/>
          <cell r="Q197" t="str">
            <v>Property - Private Equity</v>
          </cell>
          <cell r="R197" t="str">
            <v>Industrial</v>
          </cell>
          <cell r="S197" t="str">
            <v>Warehouse</v>
          </cell>
          <cell r="T197">
            <v>1961</v>
          </cell>
          <cell r="U197" t="str">
            <v>Sq. Feet</v>
          </cell>
          <cell r="V197" t="str">
            <v>Value-Add</v>
          </cell>
          <cell r="W197" t="str">
            <v>Industrial / Logistics</v>
          </cell>
          <cell r="X197" t="str">
            <v>Common Equity</v>
          </cell>
          <cell r="Y197"/>
          <cell r="Z197"/>
          <cell r="AA197"/>
          <cell r="AB197"/>
          <cell r="AC197"/>
          <cell r="AD197"/>
          <cell r="AE197"/>
          <cell r="AF197"/>
          <cell r="AG197"/>
          <cell r="AH197"/>
          <cell r="AI197"/>
          <cell r="AJ197"/>
          <cell r="AK197"/>
          <cell r="AL197"/>
          <cell r="AM197"/>
          <cell r="AN197"/>
          <cell r="AO197"/>
          <cell r="AP197"/>
          <cell r="AQ197"/>
          <cell r="AR197"/>
          <cell r="AS197">
            <v>44286</v>
          </cell>
          <cell r="AT197">
            <v>1330000</v>
          </cell>
          <cell r="AU197">
            <v>1369970</v>
          </cell>
          <cell r="AV197">
            <v>78337</v>
          </cell>
          <cell r="AW197"/>
          <cell r="AX197">
            <v>5.8900000000000001E-2</v>
          </cell>
          <cell r="AY197"/>
          <cell r="AZ197"/>
          <cell r="BA197">
            <v>1</v>
          </cell>
          <cell r="BB197"/>
          <cell r="BC197">
            <v>1</v>
          </cell>
          <cell r="BD197">
            <v>0</v>
          </cell>
          <cell r="BE197">
            <v>35517.21</v>
          </cell>
          <cell r="BF197">
            <v>30515.53</v>
          </cell>
          <cell r="BG197">
            <v>0</v>
          </cell>
          <cell r="BH197"/>
          <cell r="BI197"/>
          <cell r="BJ197">
            <v>1369970</v>
          </cell>
        </row>
        <row r="198">
          <cell r="B198" t="str">
            <v>gaduq036</v>
          </cell>
          <cell r="C198" t="str">
            <v>6105 Duquesne Drive</v>
          </cell>
          <cell r="D198" t="str">
            <v>Realized</v>
          </cell>
          <cell r="E198" t="str">
            <v>Logistic Fund I</v>
          </cell>
          <cell r="F198" t="str">
            <v>USD</v>
          </cell>
          <cell r="G198" t="str">
            <v>Last Mile</v>
          </cell>
          <cell r="H198" t="str">
            <v>Atlanta</v>
          </cell>
          <cell r="I198" t="str">
            <v>Atlanta</v>
          </cell>
          <cell r="J198" t="str">
            <v>GA</v>
          </cell>
          <cell r="K198">
            <v>30336</v>
          </cell>
          <cell r="L198" t="str">
            <v>United States</v>
          </cell>
          <cell r="M198"/>
          <cell r="N198">
            <v>42000</v>
          </cell>
          <cell r="O198">
            <v>1</v>
          </cell>
          <cell r="P198"/>
          <cell r="Q198" t="str">
            <v>Property - Private Equity</v>
          </cell>
          <cell r="R198" t="str">
            <v>Industrial</v>
          </cell>
          <cell r="S198" t="str">
            <v>Warehouse</v>
          </cell>
          <cell r="T198">
            <v>1984</v>
          </cell>
          <cell r="U198" t="str">
            <v>Sq. Feet</v>
          </cell>
          <cell r="V198" t="str">
            <v>Value-Add</v>
          </cell>
          <cell r="W198" t="str">
            <v>Industrial / Logistics</v>
          </cell>
          <cell r="X198" t="str">
            <v>Common Equity</v>
          </cell>
          <cell r="Y198"/>
          <cell r="Z198"/>
          <cell r="AA198"/>
          <cell r="AB198"/>
          <cell r="AC198"/>
          <cell r="AD198"/>
          <cell r="AE198"/>
          <cell r="AF198"/>
          <cell r="AG198"/>
          <cell r="AH198"/>
          <cell r="AI198"/>
          <cell r="AJ198"/>
          <cell r="AK198"/>
          <cell r="AL198"/>
          <cell r="AM198"/>
          <cell r="AN198"/>
          <cell r="AO198"/>
          <cell r="AP198"/>
          <cell r="AQ198"/>
          <cell r="AR198"/>
          <cell r="AS198">
            <v>44286</v>
          </cell>
          <cell r="AT198">
            <v>2000000</v>
          </cell>
          <cell r="AU198">
            <v>2049444.5</v>
          </cell>
          <cell r="AV198">
            <v>117800</v>
          </cell>
          <cell r="AW198"/>
          <cell r="AX198">
            <v>5.8900000000000001E-2</v>
          </cell>
          <cell r="AY198"/>
          <cell r="AZ198"/>
          <cell r="BA198">
            <v>1</v>
          </cell>
          <cell r="BB198"/>
          <cell r="BC198">
            <v>1</v>
          </cell>
          <cell r="BD198">
            <v>0</v>
          </cell>
          <cell r="BE198">
            <v>86355.14</v>
          </cell>
          <cell r="BF198">
            <v>85429.64</v>
          </cell>
          <cell r="BG198">
            <v>0</v>
          </cell>
          <cell r="BH198"/>
          <cell r="BI198"/>
          <cell r="BJ198">
            <v>2049444.5</v>
          </cell>
        </row>
        <row r="199">
          <cell r="B199" t="str">
            <v>gadel034</v>
          </cell>
          <cell r="C199" t="str">
            <v>1935 Delk Industrial Boulevard</v>
          </cell>
          <cell r="D199" t="str">
            <v>Realized</v>
          </cell>
          <cell r="E199" t="str">
            <v>Logistic Fund I</v>
          </cell>
          <cell r="F199" t="str">
            <v>USD</v>
          </cell>
          <cell r="G199" t="str">
            <v>Last Mile</v>
          </cell>
          <cell r="H199" t="str">
            <v>Atlanta</v>
          </cell>
          <cell r="I199" t="str">
            <v>Marrieta</v>
          </cell>
          <cell r="J199" t="str">
            <v>GA</v>
          </cell>
          <cell r="K199">
            <v>30067</v>
          </cell>
          <cell r="L199" t="str">
            <v>United States</v>
          </cell>
          <cell r="M199"/>
          <cell r="N199">
            <v>45110</v>
          </cell>
          <cell r="O199">
            <v>1</v>
          </cell>
          <cell r="P199"/>
          <cell r="Q199" t="str">
            <v>Property - Private Equity</v>
          </cell>
          <cell r="R199" t="str">
            <v>Industrial</v>
          </cell>
          <cell r="S199" t="str">
            <v>Warehouse</v>
          </cell>
          <cell r="T199">
            <v>1975</v>
          </cell>
          <cell r="U199" t="str">
            <v>Sq. Feet</v>
          </cell>
          <cell r="V199" t="str">
            <v>Value-Add</v>
          </cell>
          <cell r="W199" t="str">
            <v>Industrial / Logistics</v>
          </cell>
          <cell r="X199" t="str">
            <v>Common Equity</v>
          </cell>
          <cell r="Y199"/>
          <cell r="Z199"/>
          <cell r="AA199"/>
          <cell r="AB199"/>
          <cell r="AC199"/>
          <cell r="AD199"/>
          <cell r="AE199"/>
          <cell r="AF199"/>
          <cell r="AG199"/>
          <cell r="AH199"/>
          <cell r="AI199"/>
          <cell r="AJ199"/>
          <cell r="AK199"/>
          <cell r="AL199"/>
          <cell r="AM199"/>
          <cell r="AN199"/>
          <cell r="AO199"/>
          <cell r="AP199"/>
          <cell r="AQ199"/>
          <cell r="AR199"/>
          <cell r="AS199">
            <v>44293</v>
          </cell>
          <cell r="AT199">
            <v>4241180</v>
          </cell>
          <cell r="AU199">
            <v>4114393.3480000002</v>
          </cell>
          <cell r="AV199">
            <v>326570.86</v>
          </cell>
          <cell r="AW199"/>
          <cell r="AX199">
            <v>7.6999999999999999E-2</v>
          </cell>
          <cell r="AY199"/>
          <cell r="AZ199"/>
          <cell r="BA199">
            <v>1</v>
          </cell>
          <cell r="BB199"/>
          <cell r="BC199">
            <v>1</v>
          </cell>
          <cell r="BD199">
            <v>0</v>
          </cell>
          <cell r="BE199">
            <v>187170.85</v>
          </cell>
          <cell r="BF199">
            <v>189009.02</v>
          </cell>
          <cell r="BG199">
            <v>0</v>
          </cell>
          <cell r="BH199"/>
          <cell r="BI199"/>
          <cell r="BJ199">
            <v>4114393.3480000002</v>
          </cell>
        </row>
        <row r="200">
          <cell r="B200" t="str">
            <v>gaeas037</v>
          </cell>
          <cell r="C200" t="str">
            <v>5682 East Ponce Avenue</v>
          </cell>
          <cell r="D200" t="str">
            <v>Realized</v>
          </cell>
          <cell r="E200" t="str">
            <v>Logistic Fund I</v>
          </cell>
          <cell r="F200" t="str">
            <v>USD</v>
          </cell>
          <cell r="G200" t="str">
            <v>Last Mile</v>
          </cell>
          <cell r="H200" t="str">
            <v>Atlanta</v>
          </cell>
          <cell r="I200" t="str">
            <v>Stone Mountain</v>
          </cell>
          <cell r="J200" t="str">
            <v>GA</v>
          </cell>
          <cell r="K200">
            <v>30083</v>
          </cell>
          <cell r="L200" t="str">
            <v>United States</v>
          </cell>
          <cell r="M200"/>
          <cell r="N200">
            <v>106170</v>
          </cell>
          <cell r="O200">
            <v>1</v>
          </cell>
          <cell r="P200"/>
          <cell r="Q200" t="str">
            <v>Property - Private Equity</v>
          </cell>
          <cell r="R200" t="str">
            <v>Industrial</v>
          </cell>
          <cell r="S200" t="str">
            <v>Warehouse</v>
          </cell>
          <cell r="T200">
            <v>1968</v>
          </cell>
          <cell r="U200" t="str">
            <v>Sq. Feet</v>
          </cell>
          <cell r="V200" t="str">
            <v>Value-Add</v>
          </cell>
          <cell r="W200" t="str">
            <v>Industrial / Logistics</v>
          </cell>
          <cell r="X200" t="str">
            <v>Common Equity</v>
          </cell>
          <cell r="Y200"/>
          <cell r="Z200"/>
          <cell r="AA200"/>
          <cell r="AB200"/>
          <cell r="AC200"/>
          <cell r="AD200"/>
          <cell r="AE200"/>
          <cell r="AF200"/>
          <cell r="AG200"/>
          <cell r="AH200"/>
          <cell r="AI200"/>
          <cell r="AJ200"/>
          <cell r="AK200"/>
          <cell r="AL200"/>
          <cell r="AM200"/>
          <cell r="AN200"/>
          <cell r="AO200"/>
          <cell r="AP200"/>
          <cell r="AQ200"/>
          <cell r="AR200"/>
          <cell r="AS200">
            <v>44301</v>
          </cell>
          <cell r="AT200">
            <v>5520840</v>
          </cell>
          <cell r="AU200">
            <v>5624536.0419999994</v>
          </cell>
          <cell r="AV200">
            <v>397500.48</v>
          </cell>
          <cell r="AW200"/>
          <cell r="AX200">
            <v>7.1999999999999995E-2</v>
          </cell>
          <cell r="AY200"/>
          <cell r="AZ200"/>
          <cell r="BA200">
            <v>1</v>
          </cell>
          <cell r="BB200"/>
          <cell r="BC200">
            <v>1</v>
          </cell>
          <cell r="BD200">
            <v>0</v>
          </cell>
          <cell r="BE200">
            <v>262920.19</v>
          </cell>
          <cell r="BF200">
            <v>211189.63</v>
          </cell>
          <cell r="BG200">
            <v>0</v>
          </cell>
          <cell r="BH200"/>
          <cell r="BI200"/>
          <cell r="BJ200">
            <v>5624536.0419999994</v>
          </cell>
        </row>
        <row r="201">
          <cell r="B201" t="str">
            <v>padun003</v>
          </cell>
          <cell r="C201" t="str">
            <v>7746 Dungan Road</v>
          </cell>
          <cell r="D201" t="str">
            <v>Realized</v>
          </cell>
          <cell r="E201" t="str">
            <v>Logistic Fund I</v>
          </cell>
          <cell r="F201" t="str">
            <v>USD</v>
          </cell>
          <cell r="G201" t="str">
            <v>Last Mile</v>
          </cell>
          <cell r="H201" t="str">
            <v>Philadelphia</v>
          </cell>
          <cell r="I201" t="str">
            <v>Philadelphia</v>
          </cell>
          <cell r="J201" t="str">
            <v>PA</v>
          </cell>
          <cell r="K201">
            <v>19111</v>
          </cell>
          <cell r="L201" t="str">
            <v>United States</v>
          </cell>
          <cell r="M201"/>
          <cell r="N201">
            <v>73667</v>
          </cell>
          <cell r="O201">
            <v>1</v>
          </cell>
          <cell r="P201"/>
          <cell r="Q201" t="str">
            <v>Property - Private Equity</v>
          </cell>
          <cell r="R201" t="str">
            <v>Industrial</v>
          </cell>
          <cell r="S201" t="str">
            <v>Warehouse</v>
          </cell>
          <cell r="T201">
            <v>1985</v>
          </cell>
          <cell r="U201" t="str">
            <v>Sq. Feet</v>
          </cell>
          <cell r="V201" t="str">
            <v>Value-Add</v>
          </cell>
          <cell r="W201" t="str">
            <v>Industrial / Logistics</v>
          </cell>
          <cell r="X201" t="str">
            <v>Common Equity</v>
          </cell>
          <cell r="Y201"/>
          <cell r="Z201"/>
          <cell r="AA201"/>
          <cell r="AB201"/>
          <cell r="AC201"/>
          <cell r="AD201"/>
          <cell r="AE201"/>
          <cell r="AF201"/>
          <cell r="AG201"/>
          <cell r="AH201"/>
          <cell r="AI201"/>
          <cell r="AJ201"/>
          <cell r="AK201"/>
          <cell r="AL201"/>
          <cell r="AM201"/>
          <cell r="AN201"/>
          <cell r="AO201"/>
          <cell r="AP201"/>
          <cell r="AQ201"/>
          <cell r="AR201"/>
          <cell r="AS201">
            <v>44350</v>
          </cell>
          <cell r="AT201">
            <v>3575000</v>
          </cell>
          <cell r="AU201">
            <v>3835846.75</v>
          </cell>
          <cell r="AV201">
            <v>125840</v>
          </cell>
          <cell r="AW201"/>
          <cell r="AX201">
            <v>3.5200000000000002E-2</v>
          </cell>
          <cell r="AY201"/>
          <cell r="AZ201"/>
          <cell r="BA201">
            <v>0.52</v>
          </cell>
          <cell r="BB201"/>
          <cell r="BC201">
            <v>1</v>
          </cell>
          <cell r="BD201">
            <v>0</v>
          </cell>
          <cell r="BE201">
            <v>61087.95</v>
          </cell>
          <cell r="BF201">
            <v>-43885.62</v>
          </cell>
          <cell r="BG201">
            <v>0</v>
          </cell>
          <cell r="BH201"/>
          <cell r="BI201"/>
          <cell r="BJ201">
            <v>3835846.75</v>
          </cell>
        </row>
        <row r="202">
          <cell r="B202" t="str">
            <v>gasto038</v>
          </cell>
          <cell r="C202" t="str">
            <v>4732 Stone Drive</v>
          </cell>
          <cell r="D202" t="str">
            <v>Realized</v>
          </cell>
          <cell r="E202" t="str">
            <v>Logistic Fund I</v>
          </cell>
          <cell r="F202" t="str">
            <v>USD</v>
          </cell>
          <cell r="G202" t="str">
            <v>Last Mile</v>
          </cell>
          <cell r="H202" t="str">
            <v>Atlanta</v>
          </cell>
          <cell r="I202" t="str">
            <v>Tucker</v>
          </cell>
          <cell r="J202" t="str">
            <v>GA</v>
          </cell>
          <cell r="K202">
            <v>30084</v>
          </cell>
          <cell r="L202" t="str">
            <v>United States</v>
          </cell>
          <cell r="M202"/>
          <cell r="N202">
            <v>48660</v>
          </cell>
          <cell r="O202">
            <v>1</v>
          </cell>
          <cell r="P202"/>
          <cell r="Q202" t="str">
            <v>Property - Private Equity</v>
          </cell>
          <cell r="R202" t="str">
            <v>Industrial</v>
          </cell>
          <cell r="S202" t="str">
            <v>Warehouse</v>
          </cell>
          <cell r="T202">
            <v>1973</v>
          </cell>
          <cell r="U202" t="str">
            <v>Sq. Feet</v>
          </cell>
          <cell r="V202" t="str">
            <v>Value-Add</v>
          </cell>
          <cell r="W202" t="str">
            <v>Industrial / Logistics</v>
          </cell>
          <cell r="X202" t="str">
            <v>Common Equity</v>
          </cell>
          <cell r="Y202"/>
          <cell r="Z202"/>
          <cell r="AA202"/>
          <cell r="AB202"/>
          <cell r="AC202"/>
          <cell r="AD202"/>
          <cell r="AE202"/>
          <cell r="AF202"/>
          <cell r="AG202"/>
          <cell r="AH202"/>
          <cell r="AI202"/>
          <cell r="AJ202"/>
          <cell r="AK202"/>
          <cell r="AL202"/>
          <cell r="AM202"/>
          <cell r="AN202"/>
          <cell r="AO202"/>
          <cell r="AP202"/>
          <cell r="AQ202"/>
          <cell r="AR202"/>
          <cell r="AS202">
            <v>44371</v>
          </cell>
          <cell r="AT202">
            <v>2650000</v>
          </cell>
          <cell r="AU202">
            <v>2728772.94</v>
          </cell>
          <cell r="AV202">
            <v>169865</v>
          </cell>
          <cell r="AW202"/>
          <cell r="AX202">
            <v>6.4100000000000004E-2</v>
          </cell>
          <cell r="AY202"/>
          <cell r="AZ202"/>
          <cell r="BA202">
            <v>1</v>
          </cell>
          <cell r="BB202"/>
          <cell r="BC202">
            <v>1</v>
          </cell>
          <cell r="BD202">
            <v>0</v>
          </cell>
          <cell r="BE202">
            <v>62678.21</v>
          </cell>
          <cell r="BF202">
            <v>127067.34</v>
          </cell>
          <cell r="BG202">
            <v>0</v>
          </cell>
          <cell r="BH202"/>
          <cell r="BI202"/>
          <cell r="BJ202">
            <v>2728772.94</v>
          </cell>
        </row>
        <row r="203">
          <cell r="B203" t="str">
            <v>xfl11660</v>
          </cell>
          <cell r="C203" t="str">
            <v>11660 Central Parkway</v>
          </cell>
          <cell r="D203" t="str">
            <v>Unrealized</v>
          </cell>
          <cell r="E203" t="str">
            <v>Logistic Fund II</v>
          </cell>
          <cell r="F203" t="str">
            <v>USD</v>
          </cell>
          <cell r="G203" t="str">
            <v>Last Mile</v>
          </cell>
          <cell r="H203" t="str">
            <v>Jacksonville</v>
          </cell>
          <cell r="I203" t="str">
            <v>Jacksonville</v>
          </cell>
          <cell r="J203" t="str">
            <v>FL</v>
          </cell>
          <cell r="K203">
            <v>32224</v>
          </cell>
          <cell r="L203" t="str">
            <v>United States</v>
          </cell>
          <cell r="M203" t="str">
            <v>Jacksonville, FL</v>
          </cell>
          <cell r="N203">
            <v>65806</v>
          </cell>
          <cell r="O203">
            <v>1</v>
          </cell>
          <cell r="P203" t="str">
            <v>Single Asset</v>
          </cell>
          <cell r="Q203" t="str">
            <v>Property - Private Equity</v>
          </cell>
          <cell r="R203" t="str">
            <v>Industrial</v>
          </cell>
          <cell r="S203" t="str">
            <v>Warehouse</v>
          </cell>
          <cell r="T203">
            <v>1984</v>
          </cell>
          <cell r="U203" t="str">
            <v>Sq. Feet</v>
          </cell>
          <cell r="V203" t="str">
            <v>Value-Add</v>
          </cell>
          <cell r="W203" t="str">
            <v>Industrial / Logistics</v>
          </cell>
          <cell r="X203" t="str">
            <v>Common Equity</v>
          </cell>
          <cell r="Y203">
            <v>606300</v>
          </cell>
          <cell r="Z203">
            <v>100745</v>
          </cell>
          <cell r="AA203">
            <v>8487815</v>
          </cell>
          <cell r="AB203">
            <v>7.1431811367236447E-2</v>
          </cell>
          <cell r="AC203">
            <v>477093.5</v>
          </cell>
          <cell r="AD203">
            <v>5.7308528528528531E-2</v>
          </cell>
          <cell r="AE203">
            <v>5.5E-2</v>
          </cell>
          <cell r="AF203">
            <v>0.1711</v>
          </cell>
          <cell r="AG203">
            <v>2.12</v>
          </cell>
          <cell r="AH203">
            <v>0.1308</v>
          </cell>
          <cell r="AI203">
            <v>2.02</v>
          </cell>
          <cell r="AJ203">
            <v>9.8227089601727657E-2</v>
          </cell>
          <cell r="AK203">
            <v>0.14615029144481118</v>
          </cell>
          <cell r="AL203">
            <v>2.0505134570475825</v>
          </cell>
          <cell r="AM203">
            <v>7.0212111878142691E-2</v>
          </cell>
          <cell r="AN203">
            <v>0.11270880390284921</v>
          </cell>
          <cell r="AO203">
            <v>1.7689212978833277</v>
          </cell>
          <cell r="AP203" t="str">
            <v>Soft marketed</v>
          </cell>
          <cell r="AQ203" t="str">
            <v>Renewal / Re-tenant</v>
          </cell>
          <cell r="AR203" t="str">
            <v>Leasing Strategy</v>
          </cell>
          <cell r="AS203">
            <v>44560</v>
          </cell>
          <cell r="AT203">
            <v>8325000</v>
          </cell>
          <cell r="AU203">
            <v>8387070</v>
          </cell>
          <cell r="AV203">
            <v>449280</v>
          </cell>
          <cell r="AW203">
            <v>460518</v>
          </cell>
          <cell r="AX203">
            <v>5.396756756756757E-2</v>
          </cell>
          <cell r="AY203">
            <v>5.5317477477477478E-2</v>
          </cell>
          <cell r="AZ203">
            <v>7.5</v>
          </cell>
          <cell r="BA203">
            <v>1</v>
          </cell>
          <cell r="BB203">
            <v>1.1643835616509099</v>
          </cell>
          <cell r="BC203">
            <v>1</v>
          </cell>
          <cell r="BD203">
            <v>0</v>
          </cell>
          <cell r="BE203">
            <v>0</v>
          </cell>
          <cell r="BF203">
            <v>445536.49</v>
          </cell>
          <cell r="BG203">
            <v>452634.90999999992</v>
          </cell>
          <cell r="BH203">
            <v>452634.90999999992</v>
          </cell>
          <cell r="BI203">
            <v>454298.34000000008</v>
          </cell>
          <cell r="BJ203">
            <v>8388342.6699999999</v>
          </cell>
        </row>
        <row r="204">
          <cell r="B204" t="str">
            <v>xfl3333c</v>
          </cell>
          <cell r="C204" t="str">
            <v>3333 N Canal Street</v>
          </cell>
          <cell r="D204" t="str">
            <v>Unrealized</v>
          </cell>
          <cell r="E204" t="str">
            <v>Logistic Fund II</v>
          </cell>
          <cell r="F204" t="str">
            <v>USD</v>
          </cell>
          <cell r="G204" t="str">
            <v>Last Mile</v>
          </cell>
          <cell r="H204" t="str">
            <v>Jacksonville</v>
          </cell>
          <cell r="I204" t="str">
            <v>Jacksonville</v>
          </cell>
          <cell r="J204" t="str">
            <v>FL</v>
          </cell>
          <cell r="K204">
            <v>32209</v>
          </cell>
          <cell r="L204" t="str">
            <v>United States</v>
          </cell>
          <cell r="M204" t="str">
            <v>Jacksonville, FL</v>
          </cell>
          <cell r="N204">
            <v>123400</v>
          </cell>
          <cell r="O204">
            <v>1</v>
          </cell>
          <cell r="P204" t="str">
            <v>Single Asset</v>
          </cell>
          <cell r="Q204" t="str">
            <v>Property - Private Equity</v>
          </cell>
          <cell r="R204" t="str">
            <v>Industrial</v>
          </cell>
          <cell r="S204" t="str">
            <v>Warehouse</v>
          </cell>
          <cell r="T204">
            <v>1969</v>
          </cell>
          <cell r="U204" t="str">
            <v>Sq. Feet</v>
          </cell>
          <cell r="V204" t="str">
            <v>Value-Add</v>
          </cell>
          <cell r="W204" t="str">
            <v>Industrial / Logistics</v>
          </cell>
          <cell r="X204" t="str">
            <v>Common Equity</v>
          </cell>
          <cell r="Y204">
            <v>488676</v>
          </cell>
          <cell r="Z204">
            <v>230987.5</v>
          </cell>
          <cell r="AA204">
            <v>5979614.5</v>
          </cell>
          <cell r="AB204">
            <v>8.1723662955195522E-2</v>
          </cell>
          <cell r="AC204">
            <v>489898</v>
          </cell>
          <cell r="AD204">
            <v>8.6086719676668283E-2</v>
          </cell>
          <cell r="AE204">
            <v>5.5E-2</v>
          </cell>
          <cell r="AF204">
            <v>0.2311</v>
          </cell>
          <cell r="AG204">
            <v>2.5299999999999998</v>
          </cell>
          <cell r="AH204">
            <v>0.1835</v>
          </cell>
          <cell r="AI204">
            <v>2.44</v>
          </cell>
          <cell r="AJ204">
            <v>0.15407532094161813</v>
          </cell>
          <cell r="AK204">
            <v>0.24487808293805013</v>
          </cell>
          <cell r="AL204">
            <v>2.5300487724379743</v>
          </cell>
          <cell r="AM204">
            <v>0.11602593122693317</v>
          </cell>
          <cell r="AN204">
            <v>0.19698066032516337</v>
          </cell>
          <cell r="AO204">
            <v>2.1589926245933477</v>
          </cell>
          <cell r="AP204" t="str">
            <v>Unsolicited \ Off-market</v>
          </cell>
          <cell r="AQ204" t="str">
            <v>Rent Optimization</v>
          </cell>
          <cell r="AR204" t="str">
            <v>Leasing Strategy</v>
          </cell>
          <cell r="AS204">
            <v>44727</v>
          </cell>
          <cell r="AT204">
            <v>5690750</v>
          </cell>
          <cell r="AU204">
            <v>5748627</v>
          </cell>
          <cell r="AV204">
            <v>259320</v>
          </cell>
          <cell r="AW204">
            <v>287367</v>
          </cell>
          <cell r="AX204">
            <v>4.5568686025567809E-2</v>
          </cell>
          <cell r="AY204">
            <v>5.0497210385274348E-2</v>
          </cell>
          <cell r="AZ204">
            <v>3.0248946515397002</v>
          </cell>
          <cell r="BA204">
            <v>1</v>
          </cell>
          <cell r="BB204">
            <v>3.3254590262236601</v>
          </cell>
          <cell r="BC204">
            <v>1</v>
          </cell>
          <cell r="BD204">
            <v>0</v>
          </cell>
          <cell r="BE204">
            <v>0</v>
          </cell>
          <cell r="BF204">
            <v>148239.38</v>
          </cell>
          <cell r="BG204">
            <v>295975.51999999996</v>
          </cell>
          <cell r="BH204">
            <v>295975.51999999996</v>
          </cell>
          <cell r="BI204">
            <v>394728.52999999991</v>
          </cell>
          <cell r="BJ204">
            <v>5793314.25</v>
          </cell>
        </row>
        <row r="205">
          <cell r="B205" t="str">
            <v>xfl3900w</v>
          </cell>
          <cell r="C205" t="str">
            <v>3900 West Coachman Avenue</v>
          </cell>
          <cell r="D205" t="str">
            <v>Unrealized</v>
          </cell>
          <cell r="E205" t="str">
            <v>Logistic Fund II</v>
          </cell>
          <cell r="F205" t="str">
            <v>USD</v>
          </cell>
          <cell r="G205" t="str">
            <v>Last Mile</v>
          </cell>
          <cell r="H205" t="str">
            <v>Tampa</v>
          </cell>
          <cell r="I205" t="str">
            <v>Tampa</v>
          </cell>
          <cell r="J205" t="str">
            <v>FL</v>
          </cell>
          <cell r="K205">
            <v>33611</v>
          </cell>
          <cell r="L205" t="str">
            <v>United States</v>
          </cell>
          <cell r="M205" t="str">
            <v>Tampa-St. Petersburg-Clearwater, FL</v>
          </cell>
          <cell r="N205">
            <v>81956</v>
          </cell>
          <cell r="O205">
            <v>1</v>
          </cell>
          <cell r="P205" t="str">
            <v>Single Asset</v>
          </cell>
          <cell r="Q205" t="str">
            <v>Property - Private Equity</v>
          </cell>
          <cell r="R205" t="str">
            <v>Industrial</v>
          </cell>
          <cell r="S205" t="str">
            <v>Warehouse</v>
          </cell>
          <cell r="T205">
            <v>1963</v>
          </cell>
          <cell r="U205" t="str">
            <v>Sq. Feet</v>
          </cell>
          <cell r="V205" t="str">
            <v>Value-Add</v>
          </cell>
          <cell r="W205" t="str">
            <v>Industrial / Logistics</v>
          </cell>
          <cell r="X205" t="str">
            <v>Common Equity</v>
          </cell>
          <cell r="Y205">
            <v>413544</v>
          </cell>
          <cell r="Z205">
            <v>1082417</v>
          </cell>
          <cell r="AA205">
            <v>8358431</v>
          </cell>
          <cell r="AB205">
            <v>4.9476271324127699E-2</v>
          </cell>
          <cell r="AC205">
            <v>532714</v>
          </cell>
          <cell r="AD205">
            <v>7.4505454545454541E-2</v>
          </cell>
          <cell r="AE205">
            <v>3.7499999999999999E-2</v>
          </cell>
          <cell r="AF205">
            <v>0.17130000000000001</v>
          </cell>
          <cell r="AG205">
            <v>2.29</v>
          </cell>
          <cell r="AH205">
            <v>0.1318</v>
          </cell>
          <cell r="AI205">
            <v>2.19</v>
          </cell>
          <cell r="AJ205">
            <v>9.4765593598868714E-2</v>
          </cell>
          <cell r="AK205">
            <v>0.13775733196731776</v>
          </cell>
          <cell r="AL205">
            <v>1.945599880261669</v>
          </cell>
          <cell r="AM205">
            <v>6.7086153930231873E-2</v>
          </cell>
          <cell r="AN205">
            <v>0.10512907239679481</v>
          </cell>
          <cell r="AO205">
            <v>1.6883333401072631</v>
          </cell>
          <cell r="AP205" t="str">
            <v>Unsolicited \ Off-market</v>
          </cell>
          <cell r="AQ205" t="str">
            <v>Rent Optimization</v>
          </cell>
          <cell r="AR205" t="str">
            <v>Leasing Strategy</v>
          </cell>
          <cell r="AS205">
            <v>44558</v>
          </cell>
          <cell r="AT205">
            <v>7150000</v>
          </cell>
          <cell r="AU205">
            <v>7276014</v>
          </cell>
          <cell r="AV205">
            <v>372912</v>
          </cell>
          <cell r="AW205">
            <v>372910</v>
          </cell>
          <cell r="AX205">
            <v>5.2155524475524476E-2</v>
          </cell>
          <cell r="AY205">
            <v>5.2155244755244752E-2</v>
          </cell>
          <cell r="AZ205">
            <v>4.5499819415295999</v>
          </cell>
          <cell r="BA205">
            <v>1</v>
          </cell>
          <cell r="BB205">
            <v>2.5068493150714999</v>
          </cell>
          <cell r="BC205">
            <v>1</v>
          </cell>
          <cell r="BD205">
            <v>0</v>
          </cell>
          <cell r="BE205">
            <v>4583.88</v>
          </cell>
          <cell r="BF205">
            <v>369923.99000000005</v>
          </cell>
          <cell r="BG205">
            <v>379455.63</v>
          </cell>
          <cell r="BH205">
            <v>379455.63</v>
          </cell>
          <cell r="BI205">
            <v>383187.33999999997</v>
          </cell>
          <cell r="BJ205">
            <v>7297049.5</v>
          </cell>
        </row>
        <row r="206">
          <cell r="B206" t="str">
            <v>xfl420sw</v>
          </cell>
          <cell r="C206" t="str">
            <v>420 S. Ware Boulevard</v>
          </cell>
          <cell r="D206" t="str">
            <v>Unrealized</v>
          </cell>
          <cell r="E206" t="str">
            <v>Logistic Fund II</v>
          </cell>
          <cell r="F206" t="str">
            <v>USD</v>
          </cell>
          <cell r="G206" t="str">
            <v>Last Mile</v>
          </cell>
          <cell r="H206" t="str">
            <v>Tampa</v>
          </cell>
          <cell r="I206" t="str">
            <v>Tampa</v>
          </cell>
          <cell r="J206" t="str">
            <v>FL</v>
          </cell>
          <cell r="K206">
            <v>33619</v>
          </cell>
          <cell r="L206" t="str">
            <v>United States</v>
          </cell>
          <cell r="M206" t="str">
            <v>Tampa-St. Petersburg-Clearwater, FL</v>
          </cell>
          <cell r="N206">
            <v>24858</v>
          </cell>
          <cell r="O206">
            <v>1</v>
          </cell>
          <cell r="P206" t="str">
            <v>Single Asset</v>
          </cell>
          <cell r="Q206" t="str">
            <v>Property - Private Equity</v>
          </cell>
          <cell r="R206" t="str">
            <v>Industrial</v>
          </cell>
          <cell r="S206" t="str">
            <v>Warehouse</v>
          </cell>
          <cell r="T206">
            <v>1997</v>
          </cell>
          <cell r="U206" t="str">
            <v>Sq. Feet</v>
          </cell>
          <cell r="V206" t="str">
            <v>Value-Add</v>
          </cell>
          <cell r="W206" t="str">
            <v>Industrial / Logistics</v>
          </cell>
          <cell r="X206" t="str">
            <v>Common Equity</v>
          </cell>
          <cell r="Y206">
            <v>311316</v>
          </cell>
          <cell r="Z206">
            <v>465118</v>
          </cell>
          <cell r="AA206">
            <v>3755096</v>
          </cell>
          <cell r="AB206">
            <v>8.2904937716638941E-2</v>
          </cell>
          <cell r="AC206">
            <v>232313.82</v>
          </cell>
          <cell r="AD206">
            <v>7.2598068750000008E-2</v>
          </cell>
          <cell r="AE206">
            <v>5.5E-2</v>
          </cell>
          <cell r="AF206">
            <v>0.23469999999999999</v>
          </cell>
          <cell r="AG206">
            <v>2.8</v>
          </cell>
          <cell r="AH206">
            <v>0.18820000000000001</v>
          </cell>
          <cell r="AI206">
            <v>2.7</v>
          </cell>
          <cell r="AJ206">
            <v>0.15452502565132309</v>
          </cell>
          <cell r="AK206">
            <v>0.23900708717236308</v>
          </cell>
          <cell r="AL206">
            <v>2.4804981919029503</v>
          </cell>
          <cell r="AM206">
            <v>0.11568202098194824</v>
          </cell>
          <cell r="AN206">
            <v>0.19108217339270706</v>
          </cell>
          <cell r="AO206">
            <v>2.1195514003948381</v>
          </cell>
          <cell r="AP206" t="str">
            <v>Unsolicited \ Off-market</v>
          </cell>
          <cell r="AQ206" t="str">
            <v>Lease-up</v>
          </cell>
          <cell r="AR206" t="str">
            <v>Leasing Strategy</v>
          </cell>
          <cell r="AS206">
            <v>44630</v>
          </cell>
          <cell r="AT206">
            <v>3200000</v>
          </cell>
          <cell r="AU206">
            <v>3289978</v>
          </cell>
          <cell r="AV206">
            <v>89868</v>
          </cell>
          <cell r="AW206">
            <v>171397</v>
          </cell>
          <cell r="AX206">
            <v>2.8083750000000001E-2</v>
          </cell>
          <cell r="AY206">
            <v>5.35615625E-2</v>
          </cell>
          <cell r="AZ206">
            <v>4.6084959594741202</v>
          </cell>
          <cell r="BA206">
            <v>0.63932778514855404</v>
          </cell>
          <cell r="BB206">
            <v>0.22788687078358</v>
          </cell>
          <cell r="BC206">
            <v>1</v>
          </cell>
          <cell r="BD206">
            <v>0</v>
          </cell>
          <cell r="BE206">
            <v>0</v>
          </cell>
          <cell r="BF206">
            <v>177560.09</v>
          </cell>
          <cell r="BG206">
            <v>227473.18000000002</v>
          </cell>
          <cell r="BH206">
            <v>227473.18000000002</v>
          </cell>
          <cell r="BI206">
            <v>217367.59999999998</v>
          </cell>
          <cell r="BJ206">
            <v>3337421.67</v>
          </cell>
        </row>
        <row r="207">
          <cell r="B207" t="str">
            <v>xtndelp1</v>
          </cell>
          <cell r="C207" t="str">
            <v>4290-4319 Delp Street</v>
          </cell>
          <cell r="D207" t="str">
            <v>Unrealized</v>
          </cell>
          <cell r="E207" t="str">
            <v>Logistic Fund II</v>
          </cell>
          <cell r="F207" t="str">
            <v>USD</v>
          </cell>
          <cell r="G207" t="str">
            <v>Last Mile</v>
          </cell>
          <cell r="H207" t="str">
            <v>Memphis</v>
          </cell>
          <cell r="I207" t="str">
            <v>Memphis</v>
          </cell>
          <cell r="J207" t="str">
            <v>TN</v>
          </cell>
          <cell r="K207">
            <v>38118</v>
          </cell>
          <cell r="L207" t="str">
            <v>United States</v>
          </cell>
          <cell r="M207" t="str">
            <v>Memphis, TN-MS-AR</v>
          </cell>
          <cell r="N207">
            <v>297216</v>
          </cell>
          <cell r="O207">
            <v>2</v>
          </cell>
          <cell r="P207" t="str">
            <v>Portfolio</v>
          </cell>
          <cell r="Q207" t="str">
            <v>Property - Private Equity</v>
          </cell>
          <cell r="R207" t="str">
            <v>Industrial</v>
          </cell>
          <cell r="S207" t="str">
            <v>Warehouse</v>
          </cell>
          <cell r="T207">
            <v>1973</v>
          </cell>
          <cell r="U207" t="str">
            <v>Sq. Feet</v>
          </cell>
          <cell r="V207" t="str">
            <v>Value-Add</v>
          </cell>
          <cell r="W207" t="str">
            <v>Industrial / Logistics</v>
          </cell>
          <cell r="X207" t="str">
            <v>Common Equity</v>
          </cell>
          <cell r="Y207">
            <v>699924</v>
          </cell>
          <cell r="Z207">
            <v>1372921</v>
          </cell>
          <cell r="AA207">
            <v>9146486</v>
          </cell>
          <cell r="AB207">
            <v>7.6523814719663921E-2</v>
          </cell>
          <cell r="AC207">
            <v>729711.36</v>
          </cell>
          <cell r="AD207">
            <v>9.5617826072086881E-2</v>
          </cell>
          <cell r="AE207">
            <v>7.2499999999999995E-2</v>
          </cell>
          <cell r="AF207">
            <v>0.16320000000000001</v>
          </cell>
          <cell r="AG207">
            <v>2.1800000000000002</v>
          </cell>
          <cell r="AH207">
            <v>0.12509999999999999</v>
          </cell>
          <cell r="AI207">
            <v>2.0699999999999998</v>
          </cell>
          <cell r="AJ207">
            <v>0.10148189687519227</v>
          </cell>
          <cell r="AK207">
            <v>0.16005978115933073</v>
          </cell>
          <cell r="AL207">
            <v>1.8523228734103461</v>
          </cell>
          <cell r="AM207">
            <v>6.9546738801326002E-2</v>
          </cell>
          <cell r="AN207">
            <v>0.12000283279657031</v>
          </cell>
          <cell r="AO207">
            <v>1.606808814946439</v>
          </cell>
          <cell r="AP207" t="str">
            <v>Soft marketed</v>
          </cell>
          <cell r="AQ207" t="str">
            <v>Renewal / Re-tenant</v>
          </cell>
          <cell r="AR207" t="str">
            <v>Leasing Strategy</v>
          </cell>
          <cell r="AS207">
            <v>44298</v>
          </cell>
          <cell r="AT207">
            <v>7631541</v>
          </cell>
          <cell r="AU207">
            <v>7773565</v>
          </cell>
          <cell r="AV207">
            <v>741420</v>
          </cell>
          <cell r="AW207">
            <v>609778</v>
          </cell>
          <cell r="AX207">
            <v>9.7152069287185908E-2</v>
          </cell>
          <cell r="AY207">
            <v>7.990234213509434E-2</v>
          </cell>
          <cell r="AZ207">
            <v>2.5001908712855299</v>
          </cell>
          <cell r="BA207">
            <v>1</v>
          </cell>
          <cell r="BB207">
            <v>2.1368556911965624</v>
          </cell>
          <cell r="BC207">
            <v>1</v>
          </cell>
          <cell r="BD207">
            <v>0</v>
          </cell>
          <cell r="BE207">
            <v>596574.39</v>
          </cell>
          <cell r="BF207">
            <v>854170.01</v>
          </cell>
          <cell r="BG207">
            <v>1052079.8499999999</v>
          </cell>
          <cell r="BH207">
            <v>1052079.8499999999</v>
          </cell>
          <cell r="BI207">
            <v>1079198.23</v>
          </cell>
          <cell r="BJ207">
            <v>9182565.620000001</v>
          </cell>
        </row>
        <row r="208">
          <cell r="B208" t="str">
            <v>xtxwebbl</v>
          </cell>
          <cell r="C208" t="str">
            <v>7903 Webbles Dr</v>
          </cell>
          <cell r="D208" t="str">
            <v>Unrealized</v>
          </cell>
          <cell r="E208" t="str">
            <v>Logistic Fund II</v>
          </cell>
          <cell r="F208" t="str">
            <v>USD</v>
          </cell>
          <cell r="G208" t="str">
            <v>Last Mile</v>
          </cell>
          <cell r="H208" t="str">
            <v>San Antonio</v>
          </cell>
          <cell r="I208" t="str">
            <v>San Antonio</v>
          </cell>
          <cell r="J208" t="str">
            <v>TX</v>
          </cell>
          <cell r="K208">
            <v>78218</v>
          </cell>
          <cell r="L208" t="str">
            <v>United States</v>
          </cell>
          <cell r="M208" t="str">
            <v>San Antonio-New Braunfels, TX</v>
          </cell>
          <cell r="N208">
            <v>25355</v>
          </cell>
          <cell r="O208">
            <v>1</v>
          </cell>
          <cell r="P208" t="str">
            <v>Single Asset</v>
          </cell>
          <cell r="Q208" t="str">
            <v>Property - Private Equity</v>
          </cell>
          <cell r="R208" t="str">
            <v>Industrial</v>
          </cell>
          <cell r="S208" t="str">
            <v>Warehouse</v>
          </cell>
          <cell r="T208">
            <v>1978</v>
          </cell>
          <cell r="U208" t="str">
            <v>Sq. Feet</v>
          </cell>
          <cell r="V208" t="str">
            <v>Value-Add</v>
          </cell>
          <cell r="W208" t="str">
            <v>Industrial / Logistics</v>
          </cell>
          <cell r="X208" t="str">
            <v>Common Equity</v>
          </cell>
          <cell r="Y208">
            <v>183012</v>
          </cell>
          <cell r="Z208">
            <v>253353</v>
          </cell>
          <cell r="AA208">
            <v>2279801</v>
          </cell>
          <cell r="AB208">
            <v>8.0275427548281625E-2</v>
          </cell>
          <cell r="AC208">
            <v>152130</v>
          </cell>
          <cell r="AD208">
            <v>7.5949367088607597E-2</v>
          </cell>
          <cell r="AE208">
            <v>6.25E-2</v>
          </cell>
          <cell r="AF208">
            <v>0.17660000000000001</v>
          </cell>
          <cell r="AG208">
            <v>2.42</v>
          </cell>
          <cell r="AH208">
            <v>0.1376</v>
          </cell>
          <cell r="AI208">
            <v>2.31</v>
          </cell>
          <cell r="AJ208">
            <v>0.11464284761679733</v>
          </cell>
          <cell r="AK208">
            <v>0.17739178411676737</v>
          </cell>
          <cell r="AL208">
            <v>2.1758417997907671</v>
          </cell>
          <cell r="AM208">
            <v>8.2030070069759375E-2</v>
          </cell>
          <cell r="AN208">
            <v>0.13753144481614865</v>
          </cell>
          <cell r="AO208">
            <v>1.8639837108991111</v>
          </cell>
          <cell r="AP208" t="str">
            <v>Soft marketed</v>
          </cell>
          <cell r="AQ208" t="str">
            <v>Rent Optimization</v>
          </cell>
          <cell r="AR208" t="str">
            <v>Leasing Strategy</v>
          </cell>
          <cell r="AS208">
            <v>44301</v>
          </cell>
          <cell r="AT208">
            <v>2003045</v>
          </cell>
          <cell r="AU208">
            <v>2026448</v>
          </cell>
          <cell r="AV208">
            <v>123588</v>
          </cell>
          <cell r="AW208">
            <v>123589</v>
          </cell>
          <cell r="AX208">
            <v>6.1700061656128541E-2</v>
          </cell>
          <cell r="AY208">
            <v>6.1700560896035789E-2</v>
          </cell>
          <cell r="AZ208">
            <v>4.7499980280023602</v>
          </cell>
          <cell r="BA208">
            <v>1</v>
          </cell>
          <cell r="BB208">
            <v>2.6273972602642401</v>
          </cell>
          <cell r="BC208">
            <v>1</v>
          </cell>
          <cell r="BD208">
            <v>0</v>
          </cell>
          <cell r="BE208">
            <v>92252.78</v>
          </cell>
          <cell r="BF208">
            <v>140755.16</v>
          </cell>
          <cell r="BG208">
            <v>186041.76</v>
          </cell>
          <cell r="BH208">
            <v>186041.76</v>
          </cell>
          <cell r="BI208">
            <v>154207.16999999998</v>
          </cell>
          <cell r="BJ208">
            <v>2026448</v>
          </cell>
        </row>
        <row r="209">
          <cell r="B209" t="str">
            <v>xohmost</v>
          </cell>
          <cell r="C209" t="str">
            <v>12080 Mosteller Road</v>
          </cell>
          <cell r="D209" t="str">
            <v>Unrealized</v>
          </cell>
          <cell r="E209" t="str">
            <v>Logistic Fund II</v>
          </cell>
          <cell r="F209" t="str">
            <v>USD</v>
          </cell>
          <cell r="G209" t="str">
            <v>Last Mile</v>
          </cell>
          <cell r="H209" t="str">
            <v>Cincinnati</v>
          </cell>
          <cell r="I209" t="str">
            <v>Cincinnati</v>
          </cell>
          <cell r="J209" t="str">
            <v>OH</v>
          </cell>
          <cell r="K209">
            <v>45241</v>
          </cell>
          <cell r="L209" t="str">
            <v>United States</v>
          </cell>
          <cell r="M209" t="str">
            <v>Cincinnati, OH-KY-IN</v>
          </cell>
          <cell r="N209">
            <v>272221</v>
          </cell>
          <cell r="O209">
            <v>1</v>
          </cell>
          <cell r="P209" t="str">
            <v>Single Asset</v>
          </cell>
          <cell r="Q209" t="str">
            <v>Property - Private Equity</v>
          </cell>
          <cell r="R209" t="str">
            <v>Industrial</v>
          </cell>
          <cell r="S209" t="str">
            <v>Warehouse</v>
          </cell>
          <cell r="T209">
            <v>1970</v>
          </cell>
          <cell r="U209" t="str">
            <v>Sq. Feet</v>
          </cell>
          <cell r="V209" t="str">
            <v>Value-Add</v>
          </cell>
          <cell r="W209" t="str">
            <v>Industrial / Logistics</v>
          </cell>
          <cell r="X209" t="str">
            <v>Common Equity</v>
          </cell>
          <cell r="Y209">
            <v>1124124</v>
          </cell>
          <cell r="Z209">
            <v>1623193</v>
          </cell>
          <cell r="AA209">
            <v>10158107</v>
          </cell>
          <cell r="AB209">
            <v>0.11066274454482514</v>
          </cell>
          <cell r="AC209">
            <v>899658</v>
          </cell>
          <cell r="AD209">
            <v>0.10615433628318584</v>
          </cell>
          <cell r="AE209">
            <v>6.7500000000000004E-2</v>
          </cell>
          <cell r="AF209">
            <v>0.22839999999999999</v>
          </cell>
          <cell r="AG209">
            <v>3.22</v>
          </cell>
          <cell r="AH209">
            <v>0.1867</v>
          </cell>
          <cell r="AI209">
            <v>3.11</v>
          </cell>
          <cell r="AJ209">
            <v>0.17069003816031425</v>
          </cell>
          <cell r="AK209">
            <v>0.27343855774938763</v>
          </cell>
          <cell r="AL209">
            <v>3.1447454944243569</v>
          </cell>
          <cell r="AM209">
            <v>0.13245142744956184</v>
          </cell>
          <cell r="AN209">
            <v>0.22695199480266659</v>
          </cell>
          <cell r="AO209">
            <v>2.6415250251193494</v>
          </cell>
          <cell r="AP209" t="str">
            <v>Unsolicited \ Off-market</v>
          </cell>
          <cell r="AQ209" t="str">
            <v>Lease-up</v>
          </cell>
          <cell r="AR209" t="str">
            <v>Leasing Strategy</v>
          </cell>
          <cell r="AS209">
            <v>44310</v>
          </cell>
          <cell r="AT209">
            <v>8475000</v>
          </cell>
          <cell r="AU209">
            <v>8534914</v>
          </cell>
          <cell r="AV209">
            <v>150348</v>
          </cell>
          <cell r="AW209">
            <v>249268</v>
          </cell>
          <cell r="AX209">
            <v>1.7740176991150443E-2</v>
          </cell>
          <cell r="AY209">
            <v>2.9412153392330383E-2</v>
          </cell>
          <cell r="AZ209">
            <v>1.2431627244040599</v>
          </cell>
          <cell r="BA209">
            <v>0.331510059841085</v>
          </cell>
          <cell r="BB209">
            <v>1.2769949154436999</v>
          </cell>
          <cell r="BC209">
            <v>1</v>
          </cell>
          <cell r="BD209">
            <v>0</v>
          </cell>
          <cell r="BE209">
            <v>422478.26000000007</v>
          </cell>
          <cell r="BF209">
            <v>791751.21</v>
          </cell>
          <cell r="BG209">
            <v>1229981.8899999999</v>
          </cell>
          <cell r="BH209">
            <v>1229981.8899999999</v>
          </cell>
          <cell r="BI209">
            <v>1047888.1199999999</v>
          </cell>
          <cell r="BJ209">
            <v>9864876.4600000009</v>
          </cell>
        </row>
        <row r="210">
          <cell r="B210" t="str">
            <v>xnj2036b</v>
          </cell>
          <cell r="C210" t="str">
            <v>2036 Briggs Road</v>
          </cell>
          <cell r="D210" t="str">
            <v>Unrealized</v>
          </cell>
          <cell r="E210" t="str">
            <v>Logistic Fund II</v>
          </cell>
          <cell r="F210" t="str">
            <v>USD</v>
          </cell>
          <cell r="G210" t="str">
            <v>Last Mile</v>
          </cell>
          <cell r="H210" t="str">
            <v>Philadelphia</v>
          </cell>
          <cell r="I210" t="str">
            <v>Mount Laurel</v>
          </cell>
          <cell r="J210" t="str">
            <v>NJ</v>
          </cell>
          <cell r="K210" t="str">
            <v>08054</v>
          </cell>
          <cell r="L210" t="str">
            <v>United States</v>
          </cell>
          <cell r="M210" t="str">
            <v>Philadelphia-Camden-Wilmington, PA-NJ-DE-MD</v>
          </cell>
          <cell r="N210">
            <v>39949</v>
          </cell>
          <cell r="O210">
            <v>1</v>
          </cell>
          <cell r="P210" t="str">
            <v>Portfolio</v>
          </cell>
          <cell r="Q210" t="str">
            <v>Property - Private Equity</v>
          </cell>
          <cell r="R210" t="str">
            <v>Industrial</v>
          </cell>
          <cell r="S210" t="str">
            <v>Warehouse</v>
          </cell>
          <cell r="T210">
            <v>2016</v>
          </cell>
          <cell r="U210" t="str">
            <v>Sq. Feet</v>
          </cell>
          <cell r="V210" t="str">
            <v>Value-Add</v>
          </cell>
          <cell r="W210" t="str">
            <v>Industrial / Logistics</v>
          </cell>
          <cell r="X210" t="str">
            <v>Common Equity</v>
          </cell>
          <cell r="Y210">
            <v>303144</v>
          </cell>
          <cell r="Z210">
            <v>157247</v>
          </cell>
          <cell r="AA210">
            <v>3609917</v>
          </cell>
          <cell r="AB210">
            <v>8.3975337937132633E-2</v>
          </cell>
          <cell r="AC210">
            <v>280841.46999999997</v>
          </cell>
          <cell r="AD210">
            <v>8.2153781572831236E-2</v>
          </cell>
          <cell r="AE210">
            <v>7.4499999999999997E-2</v>
          </cell>
          <cell r="AF210">
            <v>0.2036</v>
          </cell>
          <cell r="AG210">
            <v>2.54</v>
          </cell>
          <cell r="AH210">
            <v>0.1613</v>
          </cell>
          <cell r="AI210">
            <v>2.4300000000000002</v>
          </cell>
          <cell r="AJ210">
            <v>0.10620904263185427</v>
          </cell>
          <cell r="AK210">
            <v>0.1679639835800999</v>
          </cell>
          <cell r="AL210">
            <v>1.9883798364371061</v>
          </cell>
          <cell r="AM210">
            <v>7.4214816280192109E-2</v>
          </cell>
          <cell r="AN210">
            <v>0.12814234033270155</v>
          </cell>
          <cell r="AO210">
            <v>1.7134568161132397</v>
          </cell>
          <cell r="AP210" t="str">
            <v>Unsolicited \ Off-market</v>
          </cell>
          <cell r="AQ210" t="str">
            <v>Renewal / Re-tenant</v>
          </cell>
          <cell r="AR210" t="str">
            <v>Stabilised</v>
          </cell>
          <cell r="AS210">
            <v>44324</v>
          </cell>
          <cell r="AT210">
            <v>3418485</v>
          </cell>
          <cell r="AU210">
            <v>3452670</v>
          </cell>
          <cell r="AV210">
            <v>208668</v>
          </cell>
          <cell r="AW210">
            <v>261847</v>
          </cell>
          <cell r="AX210">
            <v>6.1041075213142663E-2</v>
          </cell>
          <cell r="AY210">
            <v>7.6597381588627708E-2</v>
          </cell>
          <cell r="AZ210">
            <v>5.2228971939222504</v>
          </cell>
          <cell r="BA210">
            <v>1</v>
          </cell>
          <cell r="BB210">
            <v>7.2647259502365502</v>
          </cell>
          <cell r="BC210">
            <v>1</v>
          </cell>
          <cell r="BD210">
            <v>0</v>
          </cell>
          <cell r="BE210">
            <v>231269.26999999996</v>
          </cell>
          <cell r="BF210">
            <v>334813.51</v>
          </cell>
          <cell r="BG210">
            <v>330347.74999999994</v>
          </cell>
          <cell r="BH210">
            <v>330347.74999999994</v>
          </cell>
          <cell r="BI210">
            <v>285836.05999999994</v>
          </cell>
          <cell r="BJ210">
            <v>3454588.51</v>
          </cell>
        </row>
        <row r="211">
          <cell r="B211" t="str">
            <v>xnj6000i</v>
          </cell>
          <cell r="C211" t="str">
            <v>6000 Irwin Road</v>
          </cell>
          <cell r="D211" t="str">
            <v>Unrealized</v>
          </cell>
          <cell r="E211" t="str">
            <v>Logistic Fund II</v>
          </cell>
          <cell r="F211" t="str">
            <v>USD</v>
          </cell>
          <cell r="G211" t="str">
            <v>Last Mile</v>
          </cell>
          <cell r="H211" t="str">
            <v>Philadelphia</v>
          </cell>
          <cell r="I211" t="str">
            <v>Mount Laurel</v>
          </cell>
          <cell r="J211" t="str">
            <v>NJ</v>
          </cell>
          <cell r="K211" t="str">
            <v>08054</v>
          </cell>
          <cell r="L211" t="str">
            <v>United States</v>
          </cell>
          <cell r="M211" t="str">
            <v>Philadelphia-Camden-Wilmington, PA-NJ-DE-MD</v>
          </cell>
          <cell r="N211">
            <v>46188</v>
          </cell>
          <cell r="O211">
            <v>1</v>
          </cell>
          <cell r="P211" t="str">
            <v>Portfolio</v>
          </cell>
          <cell r="Q211" t="str">
            <v>Property - Private Equity</v>
          </cell>
          <cell r="R211" t="str">
            <v>Industrial</v>
          </cell>
          <cell r="S211" t="str">
            <v>Warehouse</v>
          </cell>
          <cell r="T211">
            <v>2001</v>
          </cell>
          <cell r="U211" t="str">
            <v>Sq. Feet</v>
          </cell>
          <cell r="V211" t="str">
            <v>Value-Add</v>
          </cell>
          <cell r="W211" t="str">
            <v>Industrial / Logistics</v>
          </cell>
          <cell r="X211" t="str">
            <v>Common Equity</v>
          </cell>
          <cell r="Y211">
            <v>458472</v>
          </cell>
          <cell r="Z211">
            <v>455853</v>
          </cell>
          <cell r="AA211">
            <v>4923862</v>
          </cell>
          <cell r="AB211">
            <v>9.3112276501656627E-2</v>
          </cell>
          <cell r="AC211">
            <v>370000</v>
          </cell>
          <cell r="AD211">
            <v>8.3639049127995094E-2</v>
          </cell>
          <cell r="AE211">
            <v>7.2000000000000008E-2</v>
          </cell>
          <cell r="AF211">
            <v>0.2036</v>
          </cell>
          <cell r="AG211">
            <v>2.54</v>
          </cell>
          <cell r="AH211">
            <v>0.1613</v>
          </cell>
          <cell r="AI211">
            <v>2.4300000000000002</v>
          </cell>
          <cell r="AJ211">
            <v>0.13039535541448988</v>
          </cell>
          <cell r="AK211">
            <v>0.21250494730137071</v>
          </cell>
          <cell r="AL211">
            <v>2.3858194129707986</v>
          </cell>
          <cell r="AM211">
            <v>9.5757120984407251E-2</v>
          </cell>
          <cell r="AN211">
            <v>0.16915424292338144</v>
          </cell>
          <cell r="AO211">
            <v>2.0319577234469035</v>
          </cell>
          <cell r="AP211" t="str">
            <v>Unsolicited \ Off-market</v>
          </cell>
          <cell r="AQ211" t="str">
            <v>Lease-up</v>
          </cell>
          <cell r="AR211" t="str">
            <v>Leasing Strategy</v>
          </cell>
          <cell r="AS211">
            <v>44324</v>
          </cell>
          <cell r="AT211">
            <v>4423771</v>
          </cell>
          <cell r="AU211">
            <v>4468009</v>
          </cell>
          <cell r="AV211">
            <v>298668</v>
          </cell>
          <cell r="AW211">
            <v>300909</v>
          </cell>
          <cell r="AX211">
            <v>6.7514344662054165E-2</v>
          </cell>
          <cell r="AY211">
            <v>6.8020926037988858E-2</v>
          </cell>
          <cell r="AZ211">
            <v>7.1577625945945904</v>
          </cell>
          <cell r="BA211">
            <v>0.75344864864864802</v>
          </cell>
          <cell r="BB211">
            <v>1.74428522769729</v>
          </cell>
          <cell r="BC211">
            <v>1</v>
          </cell>
          <cell r="BD211">
            <v>0</v>
          </cell>
          <cell r="BE211">
            <v>213430.98</v>
          </cell>
          <cell r="BF211">
            <v>331353.51</v>
          </cell>
          <cell r="BG211">
            <v>115984.97999999998</v>
          </cell>
          <cell r="BH211">
            <v>115984.97999999998</v>
          </cell>
          <cell r="BI211">
            <v>440220.41000000003</v>
          </cell>
          <cell r="BJ211">
            <v>5383285.4900000002</v>
          </cell>
        </row>
        <row r="212">
          <cell r="B212" t="str">
            <v>xnj3001i</v>
          </cell>
          <cell r="C212" t="str">
            <v>3001 Irwin Road</v>
          </cell>
          <cell r="D212" t="str">
            <v>Unrealized</v>
          </cell>
          <cell r="E212" t="str">
            <v>Logistic Fund II</v>
          </cell>
          <cell r="F212" t="str">
            <v>USD</v>
          </cell>
          <cell r="G212" t="str">
            <v>Last Mile</v>
          </cell>
          <cell r="H212" t="str">
            <v>Philadelphia</v>
          </cell>
          <cell r="I212" t="str">
            <v>Mount Laurel</v>
          </cell>
          <cell r="J212" t="str">
            <v>NJ</v>
          </cell>
          <cell r="K212" t="str">
            <v>08056</v>
          </cell>
          <cell r="L212" t="str">
            <v>United States</v>
          </cell>
          <cell r="M212" t="str">
            <v>Philadelphia-Camden-Wilmington, PA-NJ-DE-MD</v>
          </cell>
          <cell r="N212">
            <v>90798</v>
          </cell>
          <cell r="O212">
            <v>1</v>
          </cell>
          <cell r="P212" t="str">
            <v>Portfolio</v>
          </cell>
          <cell r="Q212" t="str">
            <v>Property - Private Equity</v>
          </cell>
          <cell r="R212" t="str">
            <v>Industrial</v>
          </cell>
          <cell r="S212" t="str">
            <v>Warehouse</v>
          </cell>
          <cell r="T212">
            <v>2000</v>
          </cell>
          <cell r="U212" t="str">
            <v>Sq. Feet</v>
          </cell>
          <cell r="V212" t="str">
            <v>Value-Add</v>
          </cell>
          <cell r="W212" t="str">
            <v>Industrial / Logistics</v>
          </cell>
          <cell r="X212" t="str">
            <v>Common Equity</v>
          </cell>
          <cell r="Y212">
            <v>626820</v>
          </cell>
          <cell r="Z212">
            <v>691129</v>
          </cell>
          <cell r="AA212">
            <v>6910450</v>
          </cell>
          <cell r="AB212">
            <v>9.0706104522860306E-2</v>
          </cell>
          <cell r="AC212">
            <v>550376.18999999994</v>
          </cell>
          <cell r="AD212">
            <v>8.9379517888369495E-2</v>
          </cell>
          <cell r="AE212">
            <v>6.7000000000000004E-2</v>
          </cell>
          <cell r="AF212">
            <v>0.2036</v>
          </cell>
          <cell r="AG212">
            <v>2.54</v>
          </cell>
          <cell r="AH212">
            <v>0.1613</v>
          </cell>
          <cell r="AI212">
            <v>2.4300000000000002</v>
          </cell>
          <cell r="AJ212">
            <v>0.13421400047532761</v>
          </cell>
          <cell r="AK212">
            <v>0.21627921748478474</v>
          </cell>
          <cell r="AL212">
            <v>2.4699536417038539</v>
          </cell>
          <cell r="AM212">
            <v>9.9378283843376103E-2</v>
          </cell>
          <cell r="AN212">
            <v>0.17299104654302577</v>
          </cell>
          <cell r="AO212">
            <v>2.1001549451109116</v>
          </cell>
          <cell r="AP212" t="str">
            <v>Unsolicited \ Off-market</v>
          </cell>
          <cell r="AQ212" t="str">
            <v>Rent Optimization</v>
          </cell>
          <cell r="AR212" t="str">
            <v>Leasing Strategy</v>
          </cell>
          <cell r="AS212">
            <v>44324</v>
          </cell>
          <cell r="AT212">
            <v>6157744</v>
          </cell>
          <cell r="AU212">
            <v>6219321</v>
          </cell>
          <cell r="AV212">
            <v>463260</v>
          </cell>
          <cell r="AW212">
            <v>464563</v>
          </cell>
          <cell r="AX212">
            <v>7.5232097989133689E-2</v>
          </cell>
          <cell r="AY212">
            <v>7.5443701459495555E-2</v>
          </cell>
          <cell r="AZ212">
            <v>5.16742957939368</v>
          </cell>
          <cell r="BA212">
            <v>0.95245034128383999</v>
          </cell>
          <cell r="BB212">
            <v>2.3664581147327199</v>
          </cell>
          <cell r="BC212">
            <v>1</v>
          </cell>
          <cell r="BD212">
            <v>0</v>
          </cell>
          <cell r="BE212">
            <v>303326.12</v>
          </cell>
          <cell r="BF212">
            <v>625881.92999999993</v>
          </cell>
          <cell r="BG212">
            <v>320762.83000000007</v>
          </cell>
          <cell r="BH212">
            <v>320762.83000000007</v>
          </cell>
          <cell r="BI212">
            <v>474786.85000000015</v>
          </cell>
          <cell r="BJ212">
            <v>6346434.0499999998</v>
          </cell>
        </row>
        <row r="213">
          <cell r="B213" t="str">
            <v>xpa327c</v>
          </cell>
          <cell r="C213" t="str">
            <v>327 East Chew Avenue</v>
          </cell>
          <cell r="D213" t="str">
            <v>Realized</v>
          </cell>
          <cell r="E213" t="str">
            <v>Logistic Fund II</v>
          </cell>
          <cell r="F213" t="str">
            <v>USD</v>
          </cell>
          <cell r="G213" t="str">
            <v>Last Mile</v>
          </cell>
          <cell r="H213" t="str">
            <v>Philadelphia</v>
          </cell>
          <cell r="I213" t="str">
            <v>Philadelphia</v>
          </cell>
          <cell r="J213" t="str">
            <v>PA</v>
          </cell>
          <cell r="K213">
            <v>19120</v>
          </cell>
          <cell r="L213" t="str">
            <v>United States</v>
          </cell>
          <cell r="M213" t="str">
            <v>Philadelphia-Camden-Wilmington, PA-NJ-DE-MD</v>
          </cell>
          <cell r="N213">
            <v>170390</v>
          </cell>
          <cell r="O213">
            <v>1</v>
          </cell>
          <cell r="P213" t="str">
            <v>Portfolio</v>
          </cell>
          <cell r="Q213" t="str">
            <v>Property - Private Equity</v>
          </cell>
          <cell r="R213" t="str">
            <v>Industrial</v>
          </cell>
          <cell r="S213" t="str">
            <v>Warehouse</v>
          </cell>
          <cell r="T213">
            <v>1927</v>
          </cell>
          <cell r="U213" t="str">
            <v>Sq. Feet</v>
          </cell>
          <cell r="V213" t="str">
            <v>Value-Add</v>
          </cell>
          <cell r="W213" t="str">
            <v>Industrial / Logistics</v>
          </cell>
          <cell r="X213" t="str">
            <v>Common Equity</v>
          </cell>
          <cell r="Y213">
            <v>730536</v>
          </cell>
          <cell r="Z213">
            <v>170775</v>
          </cell>
          <cell r="AA213">
            <v>8287405</v>
          </cell>
          <cell r="AB213">
            <v>8.8150150740792799E-2</v>
          </cell>
          <cell r="AC213">
            <v>809352.5</v>
          </cell>
          <cell r="AD213">
            <v>0.10277492063492064</v>
          </cell>
          <cell r="AE213">
            <v>0.05</v>
          </cell>
          <cell r="AF213">
            <v>0.17050000000000001</v>
          </cell>
          <cell r="AG213">
            <v>2.15</v>
          </cell>
          <cell r="AH213">
            <v>0.1308</v>
          </cell>
          <cell r="AI213">
            <v>2.0499999999999998</v>
          </cell>
          <cell r="AJ213">
            <v>0.16518298043911273</v>
          </cell>
          <cell r="AK213">
            <v>0.26310055841585811</v>
          </cell>
          <cell r="AL213">
            <v>3.3038471651097967</v>
          </cell>
          <cell r="AM213">
            <v>0.12938151723157731</v>
          </cell>
          <cell r="AN213">
            <v>0.21933292972384955</v>
          </cell>
          <cell r="AO213">
            <v>2.7697282769085625</v>
          </cell>
          <cell r="AP213" t="str">
            <v>Soft marketed</v>
          </cell>
          <cell r="AQ213" t="str">
            <v>Rent Optimization</v>
          </cell>
          <cell r="AR213" t="str">
            <v>Leasing Strategy</v>
          </cell>
          <cell r="AS213">
            <v>44497</v>
          </cell>
          <cell r="AT213">
            <v>7875000</v>
          </cell>
          <cell r="AU213">
            <v>8116630</v>
          </cell>
          <cell r="AV213">
            <v>594000</v>
          </cell>
          <cell r="AW213">
            <v>593949</v>
          </cell>
          <cell r="AX213">
            <v>7.5428571428571428E-2</v>
          </cell>
          <cell r="AY213">
            <v>7.5422095238095233E-2</v>
          </cell>
          <cell r="AZ213">
            <v>3.4999997652444299</v>
          </cell>
          <cell r="BA213">
            <v>1</v>
          </cell>
          <cell r="BB213">
            <v>7.0273972602734904</v>
          </cell>
          <cell r="BC213">
            <v>1</v>
          </cell>
          <cell r="BD213">
            <v>0</v>
          </cell>
          <cell r="BE213">
            <v>105623.79000000001</v>
          </cell>
          <cell r="BF213">
            <v>571141.88</v>
          </cell>
          <cell r="BG213">
            <v>149136.35999999999</v>
          </cell>
          <cell r="BH213">
            <v>149136.35999999999</v>
          </cell>
          <cell r="BI213"/>
          <cell r="BJ213">
            <v>8116630</v>
          </cell>
        </row>
        <row r="214">
          <cell r="B214" t="str">
            <v>xtxball</v>
          </cell>
          <cell r="C214" t="str">
            <v>9615 Ball Street</v>
          </cell>
          <cell r="D214" t="str">
            <v>Unrealized</v>
          </cell>
          <cell r="E214" t="str">
            <v>Logistic Fund II</v>
          </cell>
          <cell r="F214" t="str">
            <v>USD</v>
          </cell>
          <cell r="G214" t="str">
            <v>Last Mile</v>
          </cell>
          <cell r="H214" t="str">
            <v>San Antonio</v>
          </cell>
          <cell r="I214" t="str">
            <v>San Antonio</v>
          </cell>
          <cell r="J214" t="str">
            <v>TX</v>
          </cell>
          <cell r="K214">
            <v>78217</v>
          </cell>
          <cell r="L214" t="str">
            <v>United States</v>
          </cell>
          <cell r="M214" t="str">
            <v>San Antonio-New Braunfels, TX</v>
          </cell>
          <cell r="N214">
            <v>29772</v>
          </cell>
          <cell r="O214">
            <v>1</v>
          </cell>
          <cell r="P214" t="str">
            <v>Single Asset</v>
          </cell>
          <cell r="Q214" t="str">
            <v>Property - Private Equity</v>
          </cell>
          <cell r="R214" t="str">
            <v>Industrial</v>
          </cell>
          <cell r="S214" t="str">
            <v>Warehouse</v>
          </cell>
          <cell r="T214">
            <v>1987</v>
          </cell>
          <cell r="U214" t="str">
            <v>Sq. Feet</v>
          </cell>
          <cell r="V214" t="str">
            <v>Value-Add</v>
          </cell>
          <cell r="W214" t="str">
            <v>Industrial / Logistics</v>
          </cell>
          <cell r="X214" t="str">
            <v>Common Equity</v>
          </cell>
          <cell r="Y214">
            <v>303000</v>
          </cell>
          <cell r="Z214">
            <v>156636</v>
          </cell>
          <cell r="AA214">
            <v>3882149</v>
          </cell>
          <cell r="AB214">
            <v>7.8049554512204453E-2</v>
          </cell>
          <cell r="AC214">
            <v>251871.12</v>
          </cell>
          <cell r="AD214">
            <v>6.8073275675675671E-2</v>
          </cell>
          <cell r="AE214">
            <v>6.5000000000000002E-2</v>
          </cell>
          <cell r="AF214">
            <v>0.1694</v>
          </cell>
          <cell r="AG214">
            <v>2.12</v>
          </cell>
          <cell r="AH214">
            <v>0.12920000000000001</v>
          </cell>
          <cell r="AI214">
            <v>2.0099999999999998</v>
          </cell>
          <cell r="AJ214">
            <v>0.105019241253824</v>
          </cell>
          <cell r="AK214">
            <v>0.16224611771104325</v>
          </cell>
          <cell r="AL214">
            <v>2.0116854980558143</v>
          </cell>
          <cell r="AM214">
            <v>7.3598442240362383E-2</v>
          </cell>
          <cell r="AN214">
            <v>0.12376673102506053</v>
          </cell>
          <cell r="AO214">
            <v>1.7323947402404365</v>
          </cell>
          <cell r="AP214" t="str">
            <v>Soft marketed</v>
          </cell>
          <cell r="AQ214" t="str">
            <v>Renewal / Re-tenant</v>
          </cell>
          <cell r="AR214" t="str">
            <v>Stabilised</v>
          </cell>
          <cell r="AS214">
            <v>44328</v>
          </cell>
          <cell r="AT214">
            <v>3700000</v>
          </cell>
          <cell r="AU214">
            <v>3725513</v>
          </cell>
          <cell r="AV214">
            <v>251880</v>
          </cell>
          <cell r="AW214">
            <v>251879</v>
          </cell>
          <cell r="AX214">
            <v>6.807567567567567E-2</v>
          </cell>
          <cell r="AY214">
            <v>6.8075405405405409E-2</v>
          </cell>
          <cell r="AZ214">
            <v>8.4643288996372394</v>
          </cell>
          <cell r="BA214">
            <v>1</v>
          </cell>
          <cell r="BB214">
            <v>1.84109589040037</v>
          </cell>
          <cell r="BC214">
            <v>1</v>
          </cell>
          <cell r="BD214">
            <v>0</v>
          </cell>
          <cell r="BE214">
            <v>129378.61000000002</v>
          </cell>
          <cell r="BF214">
            <v>277396.76</v>
          </cell>
          <cell r="BG214">
            <v>167506.25</v>
          </cell>
          <cell r="BH214">
            <v>167506.25</v>
          </cell>
          <cell r="BI214">
            <v>297233.45999999996</v>
          </cell>
          <cell r="BJ214">
            <v>3868213.78</v>
          </cell>
        </row>
        <row r="215">
          <cell r="B215" t="str">
            <v>xgahire6</v>
          </cell>
          <cell r="C215" t="str">
            <v>252 Rio Circle</v>
          </cell>
          <cell r="D215" t="str">
            <v>Unrealized</v>
          </cell>
          <cell r="E215" t="str">
            <v>Logistic Fund II</v>
          </cell>
          <cell r="F215" t="str">
            <v>USD</v>
          </cell>
          <cell r="G215" t="str">
            <v>Last Mile</v>
          </cell>
          <cell r="H215" t="str">
            <v>Atlanta</v>
          </cell>
          <cell r="I215" t="str">
            <v>Decatur</v>
          </cell>
          <cell r="J215" t="str">
            <v>GA</v>
          </cell>
          <cell r="K215">
            <v>30030</v>
          </cell>
          <cell r="L215" t="str">
            <v>United States</v>
          </cell>
          <cell r="M215" t="str">
            <v>Atlanta-Sandy Springs-Roswell, GA</v>
          </cell>
          <cell r="N215">
            <v>16600</v>
          </cell>
          <cell r="O215">
            <v>1</v>
          </cell>
          <cell r="P215" t="str">
            <v>Portfolio</v>
          </cell>
          <cell r="Q215" t="str">
            <v>Property - Private Equity</v>
          </cell>
          <cell r="R215" t="str">
            <v>Industrial</v>
          </cell>
          <cell r="S215" t="str">
            <v>Warehouse</v>
          </cell>
          <cell r="T215">
            <v>1964</v>
          </cell>
          <cell r="U215" t="str">
            <v>Sq. Feet</v>
          </cell>
          <cell r="V215" t="str">
            <v>Value-Add</v>
          </cell>
          <cell r="W215" t="str">
            <v>Industrial / Logistics</v>
          </cell>
          <cell r="X215" t="str">
            <v>Common Equity</v>
          </cell>
          <cell r="Y215">
            <v>123096</v>
          </cell>
          <cell r="Z215">
            <v>79993</v>
          </cell>
          <cell r="AA215">
            <v>1637503</v>
          </cell>
          <cell r="AB215">
            <v>7.517299204948022E-2</v>
          </cell>
          <cell r="AC215">
            <v>102090</v>
          </cell>
          <cell r="AD215">
            <v>6.5904398920120691E-2</v>
          </cell>
          <cell r="AE215">
            <v>5.2499999999999998E-2</v>
          </cell>
          <cell r="AF215">
            <v>0.15629999999999999</v>
          </cell>
          <cell r="AG215">
            <v>2.27</v>
          </cell>
          <cell r="AH215">
            <v>0.1197</v>
          </cell>
          <cell r="AI215">
            <v>2.16</v>
          </cell>
          <cell r="AJ215">
            <v>0.11717060363301623</v>
          </cell>
          <cell r="AK215">
            <v>0.17795225330240094</v>
          </cell>
          <cell r="AL215">
            <v>2.3219742859234525</v>
          </cell>
          <cell r="AM215">
            <v>8.504729185601545E-2</v>
          </cell>
          <cell r="AN215">
            <v>0.13926586620751924</v>
          </cell>
          <cell r="AO215">
            <v>1.9803037802482635</v>
          </cell>
          <cell r="AP215" t="str">
            <v>Unsolicited \ Off-market</v>
          </cell>
          <cell r="AQ215" t="str">
            <v>Rent Optimization</v>
          </cell>
          <cell r="AR215" t="str">
            <v>Leasing Strategy</v>
          </cell>
          <cell r="AS215">
            <v>44330</v>
          </cell>
          <cell r="AT215">
            <v>1549062</v>
          </cell>
          <cell r="AU215">
            <v>1557510</v>
          </cell>
          <cell r="AV215">
            <v>80076</v>
          </cell>
          <cell r="AW215">
            <v>81275</v>
          </cell>
          <cell r="AX215">
            <v>5.1693218218509009E-2</v>
          </cell>
          <cell r="AY215">
            <v>5.2467235010606419E-2</v>
          </cell>
          <cell r="AZ215">
            <v>4.7707807228915602</v>
          </cell>
          <cell r="BA215">
            <v>1</v>
          </cell>
          <cell r="BB215">
            <v>4.46849315066265</v>
          </cell>
          <cell r="BC215">
            <v>1</v>
          </cell>
          <cell r="BD215">
            <v>0</v>
          </cell>
          <cell r="BE215">
            <v>45053.939999999995</v>
          </cell>
          <cell r="BF215">
            <v>71927.319999999992</v>
          </cell>
          <cell r="BG215">
            <v>74089.200000000012</v>
          </cell>
          <cell r="BH215">
            <v>74089.200000000012</v>
          </cell>
          <cell r="BI215">
            <v>73275.38</v>
          </cell>
          <cell r="BJ215">
            <v>1655360.9</v>
          </cell>
        </row>
        <row r="216">
          <cell r="B216" t="str">
            <v>xgahire8</v>
          </cell>
          <cell r="C216" t="str">
            <v>3000 Pine Street</v>
          </cell>
          <cell r="D216" t="str">
            <v>Unrealized</v>
          </cell>
          <cell r="E216" t="str">
            <v>Logistic Fund II</v>
          </cell>
          <cell r="F216" t="str">
            <v>USD</v>
          </cell>
          <cell r="G216" t="str">
            <v>Last Mile</v>
          </cell>
          <cell r="H216" t="str">
            <v>Atlanta</v>
          </cell>
          <cell r="I216" t="str">
            <v>Decatur</v>
          </cell>
          <cell r="J216" t="str">
            <v>GA</v>
          </cell>
          <cell r="K216">
            <v>30030</v>
          </cell>
          <cell r="L216" t="str">
            <v>United States</v>
          </cell>
          <cell r="M216" t="str">
            <v>Atlanta-Sandy Springs-Roswell, GA</v>
          </cell>
          <cell r="N216">
            <v>20000</v>
          </cell>
          <cell r="O216">
            <v>1</v>
          </cell>
          <cell r="P216" t="str">
            <v>Portfolio</v>
          </cell>
          <cell r="Q216" t="str">
            <v>Property - Private Equity</v>
          </cell>
          <cell r="R216" t="str">
            <v>Industrial</v>
          </cell>
          <cell r="S216" t="str">
            <v>Warehouse</v>
          </cell>
          <cell r="T216">
            <v>1960</v>
          </cell>
          <cell r="U216" t="str">
            <v>Sq. Feet</v>
          </cell>
          <cell r="V216" t="str">
            <v>Value-Add</v>
          </cell>
          <cell r="W216" t="str">
            <v>Industrial / Logistics</v>
          </cell>
          <cell r="X216" t="str">
            <v>Common Equity</v>
          </cell>
          <cell r="Y216">
            <v>141132</v>
          </cell>
          <cell r="Z216">
            <v>87335</v>
          </cell>
          <cell r="AA216">
            <v>1963853</v>
          </cell>
          <cell r="AB216">
            <v>7.1864849354814242E-2</v>
          </cell>
          <cell r="AC216">
            <v>123000</v>
          </cell>
          <cell r="AD216">
            <v>6.5887021435244303E-2</v>
          </cell>
          <cell r="AE216">
            <v>5.2499999999999998E-2</v>
          </cell>
          <cell r="AF216">
            <v>0.15629999999999999</v>
          </cell>
          <cell r="AG216">
            <v>2.27</v>
          </cell>
          <cell r="AH216">
            <v>0.1197</v>
          </cell>
          <cell r="AI216">
            <v>2.16</v>
          </cell>
          <cell r="AJ216">
            <v>0.10724534990226164</v>
          </cell>
          <cell r="AK216">
            <v>0.15982651728639907</v>
          </cell>
          <cell r="AL216">
            <v>2.1549389225630939</v>
          </cell>
          <cell r="AM216">
            <v>7.6335983573537325E-2</v>
          </cell>
          <cell r="AN216">
            <v>0.12297532403171285</v>
          </cell>
          <cell r="AO216">
            <v>1.8464625464197746</v>
          </cell>
          <cell r="AP216" t="str">
            <v>Unsolicited \ Off-market</v>
          </cell>
          <cell r="AQ216" t="str">
            <v>Rent Optimization</v>
          </cell>
          <cell r="AR216" t="str">
            <v>Leasing Strategy</v>
          </cell>
          <cell r="AS216">
            <v>44330</v>
          </cell>
          <cell r="AT216">
            <v>1866832</v>
          </cell>
          <cell r="AU216">
            <v>1876518</v>
          </cell>
          <cell r="AV216">
            <v>91812</v>
          </cell>
          <cell r="AW216">
            <v>93191</v>
          </cell>
          <cell r="AX216">
            <v>4.9180644000102851E-2</v>
          </cell>
          <cell r="AY216">
            <v>4.9919328573754897E-2</v>
          </cell>
          <cell r="AZ216">
            <v>4.7707800000000002</v>
          </cell>
          <cell r="BA216">
            <v>1</v>
          </cell>
          <cell r="BB216">
            <v>4.4684931506999996</v>
          </cell>
          <cell r="BC216">
            <v>1</v>
          </cell>
          <cell r="BD216">
            <v>0</v>
          </cell>
          <cell r="BE216">
            <v>55832.579999999994</v>
          </cell>
          <cell r="BF216">
            <v>89863.12</v>
          </cell>
          <cell r="BG216">
            <v>87338.00999999998</v>
          </cell>
          <cell r="BH216">
            <v>87338.00999999998</v>
          </cell>
          <cell r="BI216">
            <v>85785.439999999988</v>
          </cell>
          <cell r="BJ216">
            <v>1876518</v>
          </cell>
        </row>
        <row r="217">
          <cell r="B217" t="str">
            <v>xgahire2</v>
          </cell>
          <cell r="C217" t="str">
            <v>201 Laredo Drive</v>
          </cell>
          <cell r="D217" t="str">
            <v>Unrealized</v>
          </cell>
          <cell r="E217" t="str">
            <v>Logistic Fund II</v>
          </cell>
          <cell r="F217" t="str">
            <v>USD</v>
          </cell>
          <cell r="G217" t="str">
            <v>Last Mile</v>
          </cell>
          <cell r="H217" t="str">
            <v>Atlanta</v>
          </cell>
          <cell r="I217" t="str">
            <v>Decatur</v>
          </cell>
          <cell r="J217" t="str">
            <v>GA</v>
          </cell>
          <cell r="K217">
            <v>30030</v>
          </cell>
          <cell r="L217" t="str">
            <v>United States</v>
          </cell>
          <cell r="M217" t="str">
            <v>Atlanta-Sandy Springs-Roswell, GA</v>
          </cell>
          <cell r="N217">
            <v>30000</v>
          </cell>
          <cell r="O217">
            <v>1</v>
          </cell>
          <cell r="P217" t="str">
            <v>Portfolio</v>
          </cell>
          <cell r="Q217" t="str">
            <v>Property - Private Equity</v>
          </cell>
          <cell r="R217" t="str">
            <v>Industrial</v>
          </cell>
          <cell r="S217" t="str">
            <v>Warehouse</v>
          </cell>
          <cell r="T217">
            <v>1960</v>
          </cell>
          <cell r="U217" t="str">
            <v>Sq. Feet</v>
          </cell>
          <cell r="V217" t="str">
            <v>Value-Add</v>
          </cell>
          <cell r="W217" t="str">
            <v>Industrial / Logistics</v>
          </cell>
          <cell r="X217" t="str">
            <v>Common Equity</v>
          </cell>
          <cell r="Y217">
            <v>193332</v>
          </cell>
          <cell r="Z217">
            <v>120603</v>
          </cell>
          <cell r="AA217">
            <v>2588319</v>
          </cell>
          <cell r="AB217">
            <v>7.4694038872333737E-2</v>
          </cell>
          <cell r="AC217">
            <v>184500</v>
          </cell>
          <cell r="AD217">
            <v>7.5169681806125779E-2</v>
          </cell>
          <cell r="AE217">
            <v>5.2499999999999998E-2</v>
          </cell>
          <cell r="AF217">
            <v>0.15629999999999999</v>
          </cell>
          <cell r="AG217">
            <v>2.27</v>
          </cell>
          <cell r="AH217">
            <v>0.1197</v>
          </cell>
          <cell r="AI217">
            <v>2.16</v>
          </cell>
          <cell r="AJ217">
            <v>0.11578537552314128</v>
          </cell>
          <cell r="AK217">
            <v>0.1754348205376528</v>
          </cell>
          <cell r="AL217">
            <v>2.3001081323411472</v>
          </cell>
          <cell r="AM217">
            <v>8.3832934853315111E-2</v>
          </cell>
          <cell r="AN217">
            <v>0.13700509848120146</v>
          </cell>
          <cell r="AO217">
            <v>1.9626995151171309</v>
          </cell>
          <cell r="AP217" t="str">
            <v>Unsolicited \ Off-market</v>
          </cell>
          <cell r="AQ217" t="str">
            <v>Rent Optimization</v>
          </cell>
          <cell r="AR217" t="str">
            <v>Leasing Strategy</v>
          </cell>
          <cell r="AS217">
            <v>44330</v>
          </cell>
          <cell r="AT217">
            <v>2454447</v>
          </cell>
          <cell r="AU217">
            <v>2467716</v>
          </cell>
          <cell r="AV217">
            <v>125760</v>
          </cell>
          <cell r="AW217">
            <v>127642</v>
          </cell>
          <cell r="AX217">
            <v>5.1237610753053539E-2</v>
          </cell>
          <cell r="AY217">
            <v>5.2004382249850982E-2</v>
          </cell>
          <cell r="AZ217">
            <v>4.7707800000000002</v>
          </cell>
          <cell r="BA217">
            <v>1</v>
          </cell>
          <cell r="BB217">
            <v>4.4684931506999996</v>
          </cell>
          <cell r="BC217">
            <v>1</v>
          </cell>
          <cell r="BD217">
            <v>0</v>
          </cell>
          <cell r="BE217">
            <v>84347.760000000009</v>
          </cell>
          <cell r="BF217">
            <v>130488.69</v>
          </cell>
          <cell r="BG217">
            <v>142617.51</v>
          </cell>
          <cell r="BH217">
            <v>142617.51</v>
          </cell>
          <cell r="BI217">
            <v>140164.32999999999</v>
          </cell>
          <cell r="BJ217">
            <v>2633879.7000000002</v>
          </cell>
        </row>
        <row r="218">
          <cell r="B218" t="str">
            <v>xgahire7</v>
          </cell>
          <cell r="C218" t="str">
            <v>2980 Pine Street</v>
          </cell>
          <cell r="D218" t="str">
            <v>Unrealized</v>
          </cell>
          <cell r="E218" t="str">
            <v>Logistic Fund II</v>
          </cell>
          <cell r="F218" t="str">
            <v>USD</v>
          </cell>
          <cell r="G218" t="str">
            <v>Last Mile</v>
          </cell>
          <cell r="H218" t="str">
            <v>Atlanta</v>
          </cell>
          <cell r="I218" t="str">
            <v>Decatur</v>
          </cell>
          <cell r="J218" t="str">
            <v>GA</v>
          </cell>
          <cell r="K218">
            <v>30030</v>
          </cell>
          <cell r="L218" t="str">
            <v>United States</v>
          </cell>
          <cell r="M218" t="str">
            <v>Atlanta-Sandy Springs-Roswell, GA</v>
          </cell>
          <cell r="N218">
            <v>27322</v>
          </cell>
          <cell r="O218">
            <v>1</v>
          </cell>
          <cell r="P218" t="str">
            <v>Portfolio</v>
          </cell>
          <cell r="Q218" t="str">
            <v>Property - Private Equity</v>
          </cell>
          <cell r="R218" t="str">
            <v>Industrial</v>
          </cell>
          <cell r="S218" t="str">
            <v>Warehouse</v>
          </cell>
          <cell r="T218">
            <v>1960</v>
          </cell>
          <cell r="U218" t="str">
            <v>Sq. Feet</v>
          </cell>
          <cell r="V218" t="str">
            <v>Value-Add</v>
          </cell>
          <cell r="W218" t="str">
            <v>Industrial / Logistics</v>
          </cell>
          <cell r="X218" t="str">
            <v>Common Equity</v>
          </cell>
          <cell r="Y218">
            <v>200844</v>
          </cell>
          <cell r="Z218">
            <v>123753</v>
          </cell>
          <cell r="AA218">
            <v>2687265</v>
          </cell>
          <cell r="AB218">
            <v>7.4739186496307577E-2</v>
          </cell>
          <cell r="AC218">
            <v>168030.3</v>
          </cell>
          <cell r="AD218">
            <v>6.5901264762358955E-2</v>
          </cell>
          <cell r="AE218">
            <v>5.2499999999999998E-2</v>
          </cell>
          <cell r="AF218">
            <v>0.15629999999999999</v>
          </cell>
          <cell r="AG218">
            <v>2.27</v>
          </cell>
          <cell r="AH218">
            <v>0.1197</v>
          </cell>
          <cell r="AI218">
            <v>2.16</v>
          </cell>
          <cell r="AJ218">
            <v>0.11593138039257811</v>
          </cell>
          <cell r="AK218">
            <v>0.17569736772303712</v>
          </cell>
          <cell r="AL218">
            <v>2.3032200594904313</v>
          </cell>
          <cell r="AM218">
            <v>8.3962770602394876E-2</v>
          </cell>
          <cell r="AN218">
            <v>0.13724463674959786</v>
          </cell>
          <cell r="AO218">
            <v>1.9651620470633662</v>
          </cell>
          <cell r="AP218" t="str">
            <v>Unsolicited \ Off-market</v>
          </cell>
          <cell r="AQ218" t="str">
            <v>Rent Optimization</v>
          </cell>
          <cell r="AR218" t="str">
            <v>Leasing Strategy</v>
          </cell>
          <cell r="AS218">
            <v>44330</v>
          </cell>
          <cell r="AT218">
            <v>2549728</v>
          </cell>
          <cell r="AU218">
            <v>2563512</v>
          </cell>
          <cell r="AV218">
            <v>130656</v>
          </cell>
          <cell r="AW218">
            <v>132606</v>
          </cell>
          <cell r="AX218">
            <v>5.1243112990875889E-2</v>
          </cell>
          <cell r="AY218">
            <v>5.2007900450557865E-2</v>
          </cell>
          <cell r="AZ218">
            <v>4.7707795915379503</v>
          </cell>
          <cell r="BA218">
            <v>1</v>
          </cell>
          <cell r="BB218">
            <v>4.4684931506844299</v>
          </cell>
          <cell r="BC218">
            <v>1</v>
          </cell>
          <cell r="BD218">
            <v>0</v>
          </cell>
          <cell r="BE218">
            <v>76717.509999999995</v>
          </cell>
          <cell r="BF218">
            <v>119672.58999999998</v>
          </cell>
          <cell r="BG218">
            <v>119490.29000000002</v>
          </cell>
          <cell r="BH218">
            <v>119490.29000000002</v>
          </cell>
          <cell r="BI218">
            <v>120263.03999999998</v>
          </cell>
          <cell r="BJ218">
            <v>2563512</v>
          </cell>
        </row>
        <row r="219">
          <cell r="B219" t="str">
            <v>xgahire4</v>
          </cell>
          <cell r="C219" t="str">
            <v>224 Rio Circle</v>
          </cell>
          <cell r="D219" t="str">
            <v>Unrealized</v>
          </cell>
          <cell r="E219" t="str">
            <v>Logistic Fund II</v>
          </cell>
          <cell r="F219" t="str">
            <v>USD</v>
          </cell>
          <cell r="G219" t="str">
            <v>Last Mile</v>
          </cell>
          <cell r="H219" t="str">
            <v>Atlanta</v>
          </cell>
          <cell r="I219" t="str">
            <v>Decatur</v>
          </cell>
          <cell r="J219" t="str">
            <v>GA</v>
          </cell>
          <cell r="K219">
            <v>30030</v>
          </cell>
          <cell r="L219" t="str">
            <v>United States</v>
          </cell>
          <cell r="M219" t="str">
            <v>Atlanta-Sandy Springs-Roswell, GA</v>
          </cell>
          <cell r="N219">
            <v>33000</v>
          </cell>
          <cell r="O219">
            <v>1</v>
          </cell>
          <cell r="P219" t="str">
            <v>Portfolio</v>
          </cell>
          <cell r="Q219" t="str">
            <v>Property - Private Equity</v>
          </cell>
          <cell r="R219" t="str">
            <v>Industrial</v>
          </cell>
          <cell r="S219" t="str">
            <v>Warehouse</v>
          </cell>
          <cell r="T219">
            <v>1961</v>
          </cell>
          <cell r="U219" t="str">
            <v>Sq. Feet</v>
          </cell>
          <cell r="V219" t="str">
            <v>Value-Add</v>
          </cell>
          <cell r="W219" t="str">
            <v>Industrial / Logistics</v>
          </cell>
          <cell r="X219" t="str">
            <v>Common Equity</v>
          </cell>
          <cell r="Y219">
            <v>257004</v>
          </cell>
          <cell r="Z219">
            <v>160692</v>
          </cell>
          <cell r="AA219">
            <v>3256947</v>
          </cell>
          <cell r="AB219">
            <v>7.8909481793839442E-2</v>
          </cell>
          <cell r="AC219">
            <v>202950</v>
          </cell>
          <cell r="AD219">
            <v>6.5922458038788198E-2</v>
          </cell>
          <cell r="AE219">
            <v>5.2499999999999998E-2</v>
          </cell>
          <cell r="AF219">
            <v>0.15629999999999999</v>
          </cell>
          <cell r="AG219">
            <v>2.27</v>
          </cell>
          <cell r="AH219">
            <v>0.1197</v>
          </cell>
          <cell r="AI219">
            <v>2.16</v>
          </cell>
          <cell r="AJ219">
            <v>0.12815536335842159</v>
          </cell>
          <cell r="AK219">
            <v>0.19763651691244433</v>
          </cell>
          <cell r="AL219">
            <v>2.5171143059566456</v>
          </cell>
          <cell r="AM219">
            <v>9.4749115697462027E-2</v>
          </cell>
          <cell r="AN219">
            <v>0.15710091957752703</v>
          </cell>
          <cell r="AO219">
            <v>2.1364347468621103</v>
          </cell>
          <cell r="AP219" t="str">
            <v>Unsolicited \ Off-market</v>
          </cell>
          <cell r="AQ219" t="str">
            <v>Rent Optimization</v>
          </cell>
          <cell r="AR219" t="str">
            <v>Leasing Strategy</v>
          </cell>
          <cell r="AS219">
            <v>44330</v>
          </cell>
          <cell r="AT219">
            <v>3078617</v>
          </cell>
          <cell r="AU219">
            <v>3096255</v>
          </cell>
          <cell r="AV219">
            <v>167184</v>
          </cell>
          <cell r="AW219">
            <v>169686</v>
          </cell>
          <cell r="AX219">
            <v>5.4304903792839448E-2</v>
          </cell>
          <cell r="AY219">
            <v>5.5117606379747788E-2</v>
          </cell>
          <cell r="AZ219">
            <v>5.1782472727272699</v>
          </cell>
          <cell r="BA219">
            <v>1</v>
          </cell>
          <cell r="BB219">
            <v>4.4684931506969701</v>
          </cell>
          <cell r="BC219">
            <v>1</v>
          </cell>
          <cell r="BD219">
            <v>0</v>
          </cell>
          <cell r="BE219">
            <v>97509.869999999981</v>
          </cell>
          <cell r="BF219">
            <v>161320.64000000001</v>
          </cell>
          <cell r="BG219">
            <v>168242.66999999998</v>
          </cell>
          <cell r="BH219">
            <v>168242.66999999998</v>
          </cell>
          <cell r="BI219">
            <v>166968.83000000002</v>
          </cell>
          <cell r="BJ219">
            <v>3261097.93</v>
          </cell>
        </row>
        <row r="220">
          <cell r="B220" t="str">
            <v>xgahire5</v>
          </cell>
          <cell r="C220" t="str">
            <v>246 Rio Circle</v>
          </cell>
          <cell r="D220" t="str">
            <v>Unrealized</v>
          </cell>
          <cell r="E220" t="str">
            <v>Logistic Fund II</v>
          </cell>
          <cell r="F220" t="str">
            <v>USD</v>
          </cell>
          <cell r="G220" t="str">
            <v>Last Mile</v>
          </cell>
          <cell r="H220" t="str">
            <v>Atlanta</v>
          </cell>
          <cell r="I220" t="str">
            <v>Decatur</v>
          </cell>
          <cell r="J220" t="str">
            <v>GA</v>
          </cell>
          <cell r="K220">
            <v>30030</v>
          </cell>
          <cell r="L220" t="str">
            <v>United States</v>
          </cell>
          <cell r="M220" t="str">
            <v>Atlanta-Sandy Springs-Roswell, GA</v>
          </cell>
          <cell r="N220">
            <v>37500</v>
          </cell>
          <cell r="O220">
            <v>1</v>
          </cell>
          <cell r="P220" t="str">
            <v>Portfolio</v>
          </cell>
          <cell r="Q220" t="str">
            <v>Property - Private Equity</v>
          </cell>
          <cell r="R220" t="str">
            <v>Industrial</v>
          </cell>
          <cell r="S220" t="str">
            <v>Warehouse</v>
          </cell>
          <cell r="T220">
            <v>1964</v>
          </cell>
          <cell r="U220" t="str">
            <v>Sq. Feet</v>
          </cell>
          <cell r="V220" t="str">
            <v>Value-Add</v>
          </cell>
          <cell r="W220" t="str">
            <v>Industrial / Logistics</v>
          </cell>
          <cell r="X220" t="str">
            <v>Common Equity</v>
          </cell>
          <cell r="Y220">
            <v>287328</v>
          </cell>
          <cell r="Z220">
            <v>181011</v>
          </cell>
          <cell r="AA220">
            <v>3699483</v>
          </cell>
          <cell r="AB220">
            <v>7.7667068614722654E-2</v>
          </cell>
          <cell r="AC220">
            <v>230625</v>
          </cell>
          <cell r="AD220">
            <v>6.59163421939188E-2</v>
          </cell>
          <cell r="AE220">
            <v>5.2499999999999998E-2</v>
          </cell>
          <cell r="AF220">
            <v>0.15629999999999999</v>
          </cell>
          <cell r="AG220">
            <v>2.27</v>
          </cell>
          <cell r="AH220">
            <v>0.1197</v>
          </cell>
          <cell r="AI220">
            <v>2.16</v>
          </cell>
          <cell r="AJ220">
            <v>0.12454970217740735</v>
          </cell>
          <cell r="AK220">
            <v>0.19121366946185936</v>
          </cell>
          <cell r="AL220">
            <v>2.4526076262295069</v>
          </cell>
          <cell r="AM220">
            <v>9.1559408177147583E-2</v>
          </cell>
          <cell r="AN220">
            <v>0.1512691315549537</v>
          </cell>
          <cell r="AO220">
            <v>2.084810704884664</v>
          </cell>
          <cell r="AP220" t="str">
            <v>Unsolicited \ Off-market</v>
          </cell>
          <cell r="AQ220" t="str">
            <v>Rent Optimization</v>
          </cell>
          <cell r="AR220" t="str">
            <v>Leasing Strategy</v>
          </cell>
          <cell r="AS220">
            <v>44330</v>
          </cell>
          <cell r="AT220">
            <v>3498753</v>
          </cell>
          <cell r="AU220">
            <v>3518472</v>
          </cell>
          <cell r="AV220">
            <v>186936</v>
          </cell>
          <cell r="AW220">
            <v>189727</v>
          </cell>
          <cell r="AX220">
            <v>5.3429321818373572E-2</v>
          </cell>
          <cell r="AY220">
            <v>5.4227034603471579E-2</v>
          </cell>
          <cell r="AZ220">
            <v>5.1782496</v>
          </cell>
          <cell r="BA220">
            <v>1</v>
          </cell>
          <cell r="BB220">
            <v>4.4684931506933303</v>
          </cell>
          <cell r="BC220">
            <v>1</v>
          </cell>
          <cell r="BD220">
            <v>0</v>
          </cell>
          <cell r="BE220">
            <v>103091.72000000003</v>
          </cell>
          <cell r="BF220">
            <v>170404.06000000003</v>
          </cell>
          <cell r="BG220">
            <v>191951.94</v>
          </cell>
          <cell r="BH220">
            <v>191951.94</v>
          </cell>
          <cell r="BI220">
            <v>190552.2</v>
          </cell>
          <cell r="BJ220">
            <v>3685089.16</v>
          </cell>
        </row>
        <row r="221">
          <cell r="B221" t="str">
            <v>xgahire3</v>
          </cell>
          <cell r="C221" t="str">
            <v>210 Rio Circle</v>
          </cell>
          <cell r="D221" t="str">
            <v>Unrealized</v>
          </cell>
          <cell r="E221" t="str">
            <v>Logistic Fund II</v>
          </cell>
          <cell r="F221" t="str">
            <v>USD</v>
          </cell>
          <cell r="G221" t="str">
            <v>Last Mile</v>
          </cell>
          <cell r="H221" t="str">
            <v>Atlanta</v>
          </cell>
          <cell r="I221" t="str">
            <v>Decatur</v>
          </cell>
          <cell r="J221" t="str">
            <v>GA</v>
          </cell>
          <cell r="K221">
            <v>30030</v>
          </cell>
          <cell r="L221" t="str">
            <v>United States</v>
          </cell>
          <cell r="M221" t="str">
            <v>Atlanta-Sandy Springs-Roswell, GA</v>
          </cell>
          <cell r="N221">
            <v>40841</v>
          </cell>
          <cell r="O221">
            <v>1</v>
          </cell>
          <cell r="P221" t="str">
            <v>Portfolio</v>
          </cell>
          <cell r="Q221" t="str">
            <v>Property - Private Equity</v>
          </cell>
          <cell r="R221" t="str">
            <v>Industrial</v>
          </cell>
          <cell r="S221" t="str">
            <v>Warehouse</v>
          </cell>
          <cell r="T221">
            <v>1961</v>
          </cell>
          <cell r="U221" t="str">
            <v>Sq. Feet</v>
          </cell>
          <cell r="V221" t="str">
            <v>Value-Add</v>
          </cell>
          <cell r="W221" t="str">
            <v>Industrial / Logistics</v>
          </cell>
          <cell r="X221" t="str">
            <v>Common Equity</v>
          </cell>
          <cell r="Y221">
            <v>300216</v>
          </cell>
          <cell r="Z221">
            <v>189504</v>
          </cell>
          <cell r="AA221">
            <v>3942541</v>
          </cell>
          <cell r="AB221">
            <v>7.6147844752914431E-2</v>
          </cell>
          <cell r="AC221">
            <v>246000</v>
          </cell>
          <cell r="AD221">
            <v>6.5908751744505528E-2</v>
          </cell>
          <cell r="AE221">
            <v>5.2499999999999998E-2</v>
          </cell>
          <cell r="AF221">
            <v>0.15629999999999999</v>
          </cell>
          <cell r="AG221">
            <v>2.27</v>
          </cell>
          <cell r="AH221">
            <v>0.1197</v>
          </cell>
          <cell r="AI221">
            <v>2.16</v>
          </cell>
          <cell r="AJ221">
            <v>0.12009005366255132</v>
          </cell>
          <cell r="AK221">
            <v>0.18321507260657466</v>
          </cell>
          <cell r="AL221">
            <v>2.374184635713656</v>
          </cell>
          <cell r="AM221">
            <v>8.7622913906394428E-2</v>
          </cell>
          <cell r="AN221">
            <v>0.14402674145556515</v>
          </cell>
          <cell r="AO221">
            <v>2.0220317194115376</v>
          </cell>
          <cell r="AP221" t="str">
            <v>Unsolicited \ Off-market</v>
          </cell>
          <cell r="AQ221" t="str">
            <v>Rent Optimization</v>
          </cell>
          <cell r="AR221" t="str">
            <v>Leasing Strategy</v>
          </cell>
          <cell r="AS221">
            <v>44330</v>
          </cell>
          <cell r="AT221">
            <v>3732433</v>
          </cell>
          <cell r="AU221">
            <v>3753037</v>
          </cell>
          <cell r="AV221">
            <v>195312</v>
          </cell>
          <cell r="AW221">
            <v>198230</v>
          </cell>
          <cell r="AX221">
            <v>5.232833382407668E-2</v>
          </cell>
          <cell r="AY221">
            <v>5.3110129505338742E-2</v>
          </cell>
          <cell r="AZ221">
            <v>4.9299987757400601</v>
          </cell>
          <cell r="BA221">
            <v>1</v>
          </cell>
          <cell r="BB221">
            <v>4.4684931506819101</v>
          </cell>
          <cell r="BC221">
            <v>1</v>
          </cell>
          <cell r="BD221">
            <v>0</v>
          </cell>
          <cell r="BE221">
            <v>112151.99999999997</v>
          </cell>
          <cell r="BF221">
            <v>192216.95000000004</v>
          </cell>
          <cell r="BG221">
            <v>201940.94999999998</v>
          </cell>
          <cell r="BH221">
            <v>201940.94999999998</v>
          </cell>
          <cell r="BI221">
            <v>200023.59000000003</v>
          </cell>
          <cell r="BJ221">
            <v>4039743.61</v>
          </cell>
        </row>
        <row r="222">
          <cell r="B222" t="str">
            <v>xgahire1</v>
          </cell>
          <cell r="C222" t="str">
            <v>196 Rio Circle</v>
          </cell>
          <cell r="D222" t="str">
            <v>Unrealized</v>
          </cell>
          <cell r="E222" t="str">
            <v>Logistic Fund II</v>
          </cell>
          <cell r="F222" t="str">
            <v>USD</v>
          </cell>
          <cell r="G222" t="str">
            <v>Last Mile</v>
          </cell>
          <cell r="H222" t="str">
            <v>Atlanta</v>
          </cell>
          <cell r="I222" t="str">
            <v>Decatur</v>
          </cell>
          <cell r="J222" t="str">
            <v>GA</v>
          </cell>
          <cell r="K222">
            <v>30030</v>
          </cell>
          <cell r="L222" t="str">
            <v>United States</v>
          </cell>
          <cell r="M222" t="str">
            <v>Atlanta-Sandy Springs-Roswell, GA</v>
          </cell>
          <cell r="N222">
            <v>42000</v>
          </cell>
          <cell r="O222">
            <v>1</v>
          </cell>
          <cell r="P222" t="str">
            <v>Portfolio</v>
          </cell>
          <cell r="Q222" t="str">
            <v>Property - Private Equity</v>
          </cell>
          <cell r="R222" t="str">
            <v>Industrial</v>
          </cell>
          <cell r="S222" t="str">
            <v>Warehouse</v>
          </cell>
          <cell r="T222">
            <v>1958</v>
          </cell>
          <cell r="U222" t="str">
            <v>Sq. Feet</v>
          </cell>
          <cell r="V222" t="str">
            <v>Value-Add</v>
          </cell>
          <cell r="W222" t="str">
            <v>Industrial / Logistics</v>
          </cell>
          <cell r="X222" t="str">
            <v>Common Equity</v>
          </cell>
          <cell r="Y222">
            <v>308736</v>
          </cell>
          <cell r="Z222">
            <v>1444502</v>
          </cell>
          <cell r="AA222">
            <v>5388756</v>
          </cell>
          <cell r="AB222">
            <v>5.7292629319271461E-2</v>
          </cell>
          <cell r="AC222">
            <v>258533.7</v>
          </cell>
          <cell r="AD222">
            <v>6.5900947346016453E-2</v>
          </cell>
          <cell r="AE222">
            <v>5.2499999999999998E-2</v>
          </cell>
          <cell r="AF222">
            <v>0.15629999999999999</v>
          </cell>
          <cell r="AG222">
            <v>2.27</v>
          </cell>
          <cell r="AH222">
            <v>0.1197</v>
          </cell>
          <cell r="AI222">
            <v>2.16</v>
          </cell>
          <cell r="AJ222">
            <v>6.2913830240300728E-2</v>
          </cell>
          <cell r="AK222">
            <v>7.3248027183197228E-2</v>
          </cell>
          <cell r="AL222">
            <v>1.4196783432941695</v>
          </cell>
          <cell r="AM222">
            <v>3.7856366867208946E-2</v>
          </cell>
          <cell r="AN222">
            <v>4.6636352937666548E-2</v>
          </cell>
          <cell r="AO222">
            <v>1.2623656459248083</v>
          </cell>
          <cell r="AP222" t="str">
            <v>Unsolicited \ Off-market</v>
          </cell>
          <cell r="AQ222" t="str">
            <v>Rent Optimization</v>
          </cell>
          <cell r="AR222" t="str">
            <v>Leasing Strategy</v>
          </cell>
          <cell r="AS222">
            <v>44330</v>
          </cell>
          <cell r="AT222">
            <v>3923065</v>
          </cell>
          <cell r="AU222">
            <v>3944254</v>
          </cell>
          <cell r="AV222">
            <v>200856</v>
          </cell>
          <cell r="AW222">
            <v>203857</v>
          </cell>
          <cell r="AX222">
            <v>5.1198743839319515E-2</v>
          </cell>
          <cell r="AY222">
            <v>5.1963706948521121E-2</v>
          </cell>
          <cell r="AZ222">
            <v>4.77509714285714</v>
          </cell>
          <cell r="BA222">
            <v>1</v>
          </cell>
          <cell r="BB222">
            <v>4.4684931506904704</v>
          </cell>
          <cell r="BC222">
            <v>1</v>
          </cell>
          <cell r="BD222">
            <v>0</v>
          </cell>
          <cell r="BE222">
            <v>81426.060000000027</v>
          </cell>
          <cell r="BF222">
            <v>221371.86</v>
          </cell>
          <cell r="BG222">
            <v>198136.25000000003</v>
          </cell>
          <cell r="BH222">
            <v>198136.25000000003</v>
          </cell>
          <cell r="BI222">
            <v>196264.18999999994</v>
          </cell>
          <cell r="BJ222">
            <v>4076337</v>
          </cell>
        </row>
        <row r="223">
          <cell r="B223" t="str">
            <v>xnjmway7</v>
          </cell>
          <cell r="C223" t="str">
            <v>7 Mary Way</v>
          </cell>
          <cell r="D223" t="str">
            <v>Unrealized</v>
          </cell>
          <cell r="E223" t="str">
            <v>Logistic Fund II</v>
          </cell>
          <cell r="F223" t="str">
            <v>USD</v>
          </cell>
          <cell r="G223" t="str">
            <v>Last Mile</v>
          </cell>
          <cell r="H223" t="str">
            <v>Philadelphia</v>
          </cell>
          <cell r="I223" t="str">
            <v>Hainesport</v>
          </cell>
          <cell r="J223" t="str">
            <v>NJ</v>
          </cell>
          <cell r="K223" t="str">
            <v>08036</v>
          </cell>
          <cell r="L223" t="str">
            <v>United States</v>
          </cell>
          <cell r="M223" t="str">
            <v>Philadelphia-Camden-Wilmington, PA-NJ-DE-MD</v>
          </cell>
          <cell r="N223">
            <v>40000</v>
          </cell>
          <cell r="O223">
            <v>1</v>
          </cell>
          <cell r="P223" t="str">
            <v>Portfolio</v>
          </cell>
          <cell r="Q223" t="str">
            <v>Property - Private Equity</v>
          </cell>
          <cell r="R223" t="str">
            <v>Industrial</v>
          </cell>
          <cell r="S223" t="str">
            <v>Warehouse</v>
          </cell>
          <cell r="T223">
            <v>1980</v>
          </cell>
          <cell r="U223" t="str">
            <v>Sq. Feet</v>
          </cell>
          <cell r="V223" t="str">
            <v>Value-Add</v>
          </cell>
          <cell r="W223" t="str">
            <v>Industrial / Logistics</v>
          </cell>
          <cell r="X223" t="str">
            <v>Common Equity</v>
          </cell>
          <cell r="Y223">
            <v>244812</v>
          </cell>
          <cell r="Z223">
            <v>295379</v>
          </cell>
          <cell r="AA223">
            <v>3260444</v>
          </cell>
          <cell r="AB223">
            <v>7.5085479155599669E-2</v>
          </cell>
          <cell r="AC223">
            <v>220000</v>
          </cell>
          <cell r="AD223">
            <v>7.4739532728441388E-2</v>
          </cell>
          <cell r="AE223">
            <v>0.06</v>
          </cell>
          <cell r="AF223">
            <v>0.18160000000000001</v>
          </cell>
          <cell r="AG223">
            <v>2.48</v>
          </cell>
          <cell r="AH223">
            <v>0.14249999999999999</v>
          </cell>
          <cell r="AI223">
            <v>2.37</v>
          </cell>
          <cell r="AJ223">
            <v>0.10299931547145813</v>
          </cell>
          <cell r="AK223">
            <v>0.15465438822199551</v>
          </cell>
          <cell r="AL223">
            <v>2.0323175771654967</v>
          </cell>
          <cell r="AM223">
            <v>7.2380768490815983E-2</v>
          </cell>
          <cell r="AN223">
            <v>0.11792315735489933</v>
          </cell>
          <cell r="AO223">
            <v>1.7493248337020544</v>
          </cell>
          <cell r="AP223" t="str">
            <v>Unsolicited \ Off-market</v>
          </cell>
          <cell r="AQ223" t="str">
            <v>Rent Optimization</v>
          </cell>
          <cell r="AR223" t="str">
            <v>Leasing Strategy</v>
          </cell>
          <cell r="AS223">
            <v>44341</v>
          </cell>
          <cell r="AT223">
            <v>2943556</v>
          </cell>
          <cell r="AU223">
            <v>2965065</v>
          </cell>
          <cell r="AV223">
            <v>51744</v>
          </cell>
          <cell r="AW223">
            <v>152492</v>
          </cell>
          <cell r="AX223">
            <v>1.7578738097729411E-2</v>
          </cell>
          <cell r="AY223">
            <v>5.1805367385570379E-2</v>
          </cell>
          <cell r="AZ223">
            <v>3.9819</v>
          </cell>
          <cell r="BA223">
            <v>1</v>
          </cell>
          <cell r="BB223">
            <v>0.55753424657499995</v>
          </cell>
          <cell r="BC223">
            <v>1</v>
          </cell>
          <cell r="BD223">
            <v>0</v>
          </cell>
          <cell r="BE223">
            <v>94746.690000000017</v>
          </cell>
          <cell r="BF223">
            <v>164709.51</v>
          </cell>
          <cell r="BG223">
            <v>203900.06999999998</v>
          </cell>
          <cell r="BH223">
            <v>203900.06999999998</v>
          </cell>
          <cell r="BI223">
            <v>261190.94</v>
          </cell>
          <cell r="BJ223">
            <v>3311726.39</v>
          </cell>
        </row>
        <row r="224">
          <cell r="B224" t="str">
            <v>xnjmway5</v>
          </cell>
          <cell r="C224" t="str">
            <v>5 Mary Way</v>
          </cell>
          <cell r="D224" t="str">
            <v>Unrealized</v>
          </cell>
          <cell r="E224" t="str">
            <v>Logistic Fund II</v>
          </cell>
          <cell r="F224" t="str">
            <v>USD</v>
          </cell>
          <cell r="G224" t="str">
            <v>Last Mile</v>
          </cell>
          <cell r="H224" t="str">
            <v>Philadelphia</v>
          </cell>
          <cell r="I224" t="str">
            <v>Hainesport</v>
          </cell>
          <cell r="J224" t="str">
            <v>NJ</v>
          </cell>
          <cell r="K224" t="str">
            <v>08036</v>
          </cell>
          <cell r="L224" t="str">
            <v>United States</v>
          </cell>
          <cell r="M224" t="str">
            <v>Philadelphia-Camden-Wilmington, PA-NJ-DE-MD</v>
          </cell>
          <cell r="N224">
            <v>40000</v>
          </cell>
          <cell r="O224">
            <v>1</v>
          </cell>
          <cell r="P224" t="str">
            <v>Portfolio</v>
          </cell>
          <cell r="Q224" t="str">
            <v>Property - Private Equity</v>
          </cell>
          <cell r="R224" t="str">
            <v>Industrial</v>
          </cell>
          <cell r="S224" t="str">
            <v>Warehouse</v>
          </cell>
          <cell r="T224">
            <v>1980</v>
          </cell>
          <cell r="U224" t="str">
            <v>Sq. Feet</v>
          </cell>
          <cell r="V224" t="str">
            <v>Value-Add</v>
          </cell>
          <cell r="W224" t="str">
            <v>Industrial / Logistics</v>
          </cell>
          <cell r="X224" t="str">
            <v>Common Equity</v>
          </cell>
          <cell r="Y224">
            <v>304212</v>
          </cell>
          <cell r="Z224">
            <v>319373</v>
          </cell>
          <cell r="AA224">
            <v>3286764</v>
          </cell>
          <cell r="AB224">
            <v>9.2556691018886666E-2</v>
          </cell>
          <cell r="AC224">
            <v>220000</v>
          </cell>
          <cell r="AD224">
            <v>7.4833622746700093E-2</v>
          </cell>
          <cell r="AE224">
            <v>0.06</v>
          </cell>
          <cell r="AF224">
            <v>0.18160000000000001</v>
          </cell>
          <cell r="AG224">
            <v>2.48</v>
          </cell>
          <cell r="AH224">
            <v>0.14249999999999999</v>
          </cell>
          <cell r="AI224">
            <v>2.37</v>
          </cell>
          <cell r="AJ224">
            <v>0.15503992517470921</v>
          </cell>
          <cell r="AK224">
            <v>0.25129174243443475</v>
          </cell>
          <cell r="AL224">
            <v>2.8748094092127614</v>
          </cell>
          <cell r="AM224">
            <v>0.11834608242459077</v>
          </cell>
          <cell r="AN224">
            <v>0.2058390581646441</v>
          </cell>
          <cell r="AO224">
            <v>2.4245034274658406</v>
          </cell>
          <cell r="AP224" t="str">
            <v>Unsolicited \ Off-market</v>
          </cell>
          <cell r="AQ224" t="str">
            <v>Renewal / Re-tenant</v>
          </cell>
          <cell r="AR224" t="str">
            <v>Leasing Strategy</v>
          </cell>
          <cell r="AS224">
            <v>44341</v>
          </cell>
          <cell r="AT224">
            <v>2939855</v>
          </cell>
          <cell r="AU224">
            <v>2967391</v>
          </cell>
          <cell r="AV224">
            <v>226620</v>
          </cell>
          <cell r="AW224">
            <v>215157</v>
          </cell>
          <cell r="AX224">
            <v>7.7085434485714435E-2</v>
          </cell>
          <cell r="AY224">
            <v>7.3186262587780687E-2</v>
          </cell>
          <cell r="AZ224">
            <v>5.6911259999999997</v>
          </cell>
          <cell r="BA224">
            <v>1</v>
          </cell>
          <cell r="BB224">
            <v>1.5582191780999901</v>
          </cell>
          <cell r="BC224">
            <v>1</v>
          </cell>
          <cell r="BD224">
            <v>0</v>
          </cell>
          <cell r="BE224">
            <v>130258.23</v>
          </cell>
          <cell r="BF224">
            <v>184774.09</v>
          </cell>
          <cell r="BG224">
            <v>364907.08</v>
          </cell>
          <cell r="BH224">
            <v>364907.08</v>
          </cell>
          <cell r="BI224">
            <v>400851.16</v>
          </cell>
          <cell r="BJ224">
            <v>3350415.71</v>
          </cell>
        </row>
        <row r="225">
          <cell r="B225" t="str">
            <v>xnjmway3</v>
          </cell>
          <cell r="C225" t="str">
            <v>3 Mary Way</v>
          </cell>
          <cell r="D225" t="str">
            <v>Unrealized</v>
          </cell>
          <cell r="E225" t="str">
            <v>Logistic Fund II</v>
          </cell>
          <cell r="F225" t="str">
            <v>USD</v>
          </cell>
          <cell r="G225" t="str">
            <v>Last Mile</v>
          </cell>
          <cell r="H225" t="str">
            <v>Philadelphia</v>
          </cell>
          <cell r="I225" t="str">
            <v>Hainesport</v>
          </cell>
          <cell r="J225" t="str">
            <v>NJ</v>
          </cell>
          <cell r="K225" t="str">
            <v>08036</v>
          </cell>
          <cell r="L225" t="str">
            <v>United States</v>
          </cell>
          <cell r="M225" t="str">
            <v>Philadelphia-Camden-Wilmington, PA-NJ-DE-MD</v>
          </cell>
          <cell r="N225">
            <v>42560</v>
          </cell>
          <cell r="O225">
            <v>1</v>
          </cell>
          <cell r="P225" t="str">
            <v>Portfolio</v>
          </cell>
          <cell r="Q225" t="str">
            <v>Property - Private Equity</v>
          </cell>
          <cell r="R225" t="str">
            <v>Industrial</v>
          </cell>
          <cell r="S225" t="str">
            <v>Warehouse</v>
          </cell>
          <cell r="T225">
            <v>1980</v>
          </cell>
          <cell r="U225" t="str">
            <v>Sq. Feet</v>
          </cell>
          <cell r="V225" t="str">
            <v>Value-Add</v>
          </cell>
          <cell r="W225" t="str">
            <v>Industrial / Logistics</v>
          </cell>
          <cell r="X225" t="str">
            <v>Common Equity</v>
          </cell>
          <cell r="Y225">
            <v>262956</v>
          </cell>
          <cell r="Z225">
            <v>330798</v>
          </cell>
          <cell r="AA225">
            <v>3298819</v>
          </cell>
          <cell r="AB225">
            <v>7.9712163656144822E-2</v>
          </cell>
          <cell r="AC225">
            <v>232650</v>
          </cell>
          <cell r="AD225">
            <v>7.9136852159502336E-2</v>
          </cell>
          <cell r="AE225">
            <v>0.06</v>
          </cell>
          <cell r="AF225">
            <v>0.18160000000000001</v>
          </cell>
          <cell r="AG225">
            <v>2.48</v>
          </cell>
          <cell r="AH225">
            <v>0.14249999999999999</v>
          </cell>
          <cell r="AI225">
            <v>2.37</v>
          </cell>
          <cell r="AJ225">
            <v>0.11716144515627924</v>
          </cell>
          <cell r="AK225">
            <v>0.18133564058985097</v>
          </cell>
          <cell r="AL225">
            <v>2.2640595330030995</v>
          </cell>
          <cell r="AM225">
            <v>8.4829780990363757E-2</v>
          </cell>
          <cell r="AN225">
            <v>0.1420287651469363</v>
          </cell>
          <cell r="AO225">
            <v>1.9347101201840338</v>
          </cell>
          <cell r="AP225" t="str">
            <v>Unsolicited \ Off-market</v>
          </cell>
          <cell r="AQ225" t="str">
            <v>Rent Optimization</v>
          </cell>
          <cell r="AR225" t="str">
            <v>Leasing Strategy</v>
          </cell>
          <cell r="AS225">
            <v>44341</v>
          </cell>
          <cell r="AT225">
            <v>2939844</v>
          </cell>
          <cell r="AU225">
            <v>2968021</v>
          </cell>
          <cell r="AV225">
            <v>13200</v>
          </cell>
          <cell r="AW225">
            <v>150487</v>
          </cell>
          <cell r="AX225">
            <v>4.4900341650781469E-3</v>
          </cell>
          <cell r="AY225">
            <v>5.1188770560614778E-2</v>
          </cell>
          <cell r="AZ225">
            <v>3.3693609022556301</v>
          </cell>
          <cell r="BA225">
            <v>0.99389097744360899</v>
          </cell>
          <cell r="BB225">
            <v>1.1149223658599601</v>
          </cell>
          <cell r="BC225">
            <v>1</v>
          </cell>
          <cell r="BD225">
            <v>0</v>
          </cell>
          <cell r="BE225">
            <v>86023.720000000016</v>
          </cell>
          <cell r="BF225">
            <v>28444.999999999993</v>
          </cell>
          <cell r="BG225">
            <v>315832.67</v>
          </cell>
          <cell r="BH225">
            <v>315832.67</v>
          </cell>
          <cell r="BI225">
            <v>353725.94</v>
          </cell>
          <cell r="BJ225">
            <v>3504056.14</v>
          </cell>
        </row>
        <row r="226">
          <cell r="B226" t="str">
            <v>xnjmway9</v>
          </cell>
          <cell r="C226" t="str">
            <v>9 Mary Way</v>
          </cell>
          <cell r="D226" t="str">
            <v>Unrealized</v>
          </cell>
          <cell r="E226" t="str">
            <v>Logistic Fund II</v>
          </cell>
          <cell r="F226" t="str">
            <v>USD</v>
          </cell>
          <cell r="G226" t="str">
            <v>Last Mile</v>
          </cell>
          <cell r="H226" t="str">
            <v>Philadelphia</v>
          </cell>
          <cell r="I226" t="str">
            <v>Hainesport</v>
          </cell>
          <cell r="J226" t="str">
            <v>NJ</v>
          </cell>
          <cell r="K226" t="str">
            <v>08036</v>
          </cell>
          <cell r="L226" t="str">
            <v>United States</v>
          </cell>
          <cell r="M226" t="str">
            <v>Philadelphia-Camden-Wilmington, PA-NJ-DE-MD</v>
          </cell>
          <cell r="N226">
            <v>41705</v>
          </cell>
          <cell r="O226">
            <v>1</v>
          </cell>
          <cell r="P226" t="str">
            <v>Portfolio</v>
          </cell>
          <cell r="Q226" t="str">
            <v>Property - Private Equity</v>
          </cell>
          <cell r="R226" t="str">
            <v>Industrial</v>
          </cell>
          <cell r="S226" t="str">
            <v>Warehouse</v>
          </cell>
          <cell r="T226">
            <v>1980</v>
          </cell>
          <cell r="U226" t="str">
            <v>Sq. Feet</v>
          </cell>
          <cell r="V226" t="str">
            <v>Value-Add</v>
          </cell>
          <cell r="W226" t="str">
            <v>Industrial / Logistics</v>
          </cell>
          <cell r="X226" t="str">
            <v>Common Equity</v>
          </cell>
          <cell r="Y226">
            <v>273708</v>
          </cell>
          <cell r="Z226">
            <v>332310</v>
          </cell>
          <cell r="AA226">
            <v>3297375</v>
          </cell>
          <cell r="AB226">
            <v>8.3007847151142955E-2</v>
          </cell>
          <cell r="AC226">
            <v>229625</v>
          </cell>
          <cell r="AD226">
            <v>7.8009387285310691E-2</v>
          </cell>
          <cell r="AE226">
            <v>0.06</v>
          </cell>
          <cell r="AF226">
            <v>0.18160000000000001</v>
          </cell>
          <cell r="AG226">
            <v>2.48</v>
          </cell>
          <cell r="AH226">
            <v>0.14249999999999999</v>
          </cell>
          <cell r="AI226">
            <v>2.37</v>
          </cell>
          <cell r="AJ226">
            <v>0.12570821325556958</v>
          </cell>
          <cell r="AK226">
            <v>0.19718637464479083</v>
          </cell>
          <cell r="AL226">
            <v>2.4028861426846633</v>
          </cell>
          <cell r="AM226">
            <v>9.2367955259780032E-2</v>
          </cell>
          <cell r="AN226">
            <v>0.15640333977218845</v>
          </cell>
          <cell r="AO226">
            <v>2.046047099534924</v>
          </cell>
          <cell r="AP226" t="str">
            <v>Unsolicited \ Off-market</v>
          </cell>
          <cell r="AQ226" t="str">
            <v>Rent Optimization</v>
          </cell>
          <cell r="AR226" t="str">
            <v>Leasing Strategy</v>
          </cell>
          <cell r="AS226">
            <v>44341</v>
          </cell>
          <cell r="AT226">
            <v>2943556</v>
          </cell>
          <cell r="AU226">
            <v>2965065</v>
          </cell>
          <cell r="AV226">
            <v>112524</v>
          </cell>
          <cell r="AW226">
            <v>162880</v>
          </cell>
          <cell r="AX226">
            <v>3.8227232639705171E-2</v>
          </cell>
          <cell r="AY226">
            <v>5.5334432230947875E-2</v>
          </cell>
          <cell r="AZ226">
            <v>4.4206306220095604</v>
          </cell>
          <cell r="BA226">
            <v>1</v>
          </cell>
          <cell r="BB226">
            <v>0.65246771973684203</v>
          </cell>
          <cell r="BC226">
            <v>1</v>
          </cell>
          <cell r="BD226">
            <v>0</v>
          </cell>
          <cell r="BE226">
            <v>105017.32</v>
          </cell>
          <cell r="BF226">
            <v>226574.00999999998</v>
          </cell>
          <cell r="BG226">
            <v>354077.64999999997</v>
          </cell>
          <cell r="BH226">
            <v>354077.64999999997</v>
          </cell>
          <cell r="BI226">
            <v>334404.62</v>
          </cell>
          <cell r="BJ226">
            <v>3114679.75</v>
          </cell>
        </row>
        <row r="227">
          <cell r="B227" t="str">
            <v>xgashaw6</v>
          </cell>
          <cell r="C227" t="str">
            <v>3275 Florence Rd, Bldg 100</v>
          </cell>
          <cell r="D227" t="str">
            <v>Unrealized</v>
          </cell>
          <cell r="E227" t="str">
            <v>Logistic Fund II</v>
          </cell>
          <cell r="F227" t="str">
            <v>USD</v>
          </cell>
          <cell r="G227" t="str">
            <v>Last Mile</v>
          </cell>
          <cell r="H227" t="str">
            <v>Atlanta</v>
          </cell>
          <cell r="I227" t="str">
            <v>Powder Springs</v>
          </cell>
          <cell r="J227" t="str">
            <v>GA</v>
          </cell>
          <cell r="K227">
            <v>30127</v>
          </cell>
          <cell r="L227" t="str">
            <v>United States</v>
          </cell>
          <cell r="M227" t="str">
            <v>Atlanta-Sandy Springs-Roswell, GA</v>
          </cell>
          <cell r="N227">
            <v>11275</v>
          </cell>
          <cell r="O227">
            <v>1</v>
          </cell>
          <cell r="P227" t="str">
            <v>Portfolio</v>
          </cell>
          <cell r="Q227" t="str">
            <v>Property - Private Equity</v>
          </cell>
          <cell r="R227" t="str">
            <v>Industrial</v>
          </cell>
          <cell r="S227" t="str">
            <v>Warehouse</v>
          </cell>
          <cell r="T227">
            <v>1999</v>
          </cell>
          <cell r="U227" t="str">
            <v>Sq. Feet</v>
          </cell>
          <cell r="V227" t="str">
            <v>Value-Add</v>
          </cell>
          <cell r="W227" t="str">
            <v>Industrial / Logistics</v>
          </cell>
          <cell r="X227" t="str">
            <v>Common Equity</v>
          </cell>
          <cell r="Y227">
            <v>85284</v>
          </cell>
          <cell r="Z227">
            <v>16827</v>
          </cell>
          <cell r="AA227">
            <v>1000226</v>
          </cell>
          <cell r="AB227">
            <v>8.5264730170981365E-2</v>
          </cell>
          <cell r="AC227">
            <v>70468.75</v>
          </cell>
          <cell r="AD227">
            <v>7.2394962774542243E-2</v>
          </cell>
          <cell r="AE227">
            <v>7.0000000000000007E-2</v>
          </cell>
          <cell r="AF227">
            <v>0.19839999999999999</v>
          </cell>
          <cell r="AG227">
            <v>2.35</v>
          </cell>
          <cell r="AH227">
            <v>0.15509999999999999</v>
          </cell>
          <cell r="AI227">
            <v>2.2400000000000002</v>
          </cell>
          <cell r="AJ227">
            <v>0.11157893210166514</v>
          </cell>
          <cell r="AK227">
            <v>0.17522799052447691</v>
          </cell>
          <cell r="AL227">
            <v>2.1507693212160777</v>
          </cell>
          <cell r="AM227">
            <v>7.9586033731685824E-2</v>
          </cell>
          <cell r="AN227">
            <v>0.13581604156786264</v>
          </cell>
          <cell r="AO227">
            <v>1.8423743219899162</v>
          </cell>
          <cell r="AP227" t="str">
            <v>Unsolicited \ Off-market</v>
          </cell>
          <cell r="AQ227" t="str">
            <v>Renewal / Re-tenant</v>
          </cell>
          <cell r="AR227" t="str">
            <v>Stabilised</v>
          </cell>
          <cell r="AS227">
            <v>44351</v>
          </cell>
          <cell r="AT227">
            <v>973393</v>
          </cell>
          <cell r="AU227">
            <v>983399</v>
          </cell>
          <cell r="AV227">
            <v>69324</v>
          </cell>
          <cell r="AW227">
            <v>69499</v>
          </cell>
          <cell r="AX227">
            <v>7.1218921853763079E-2</v>
          </cell>
          <cell r="AY227">
            <v>7.1398705353336214E-2</v>
          </cell>
          <cell r="AZ227">
            <v>5.5349960088691796</v>
          </cell>
          <cell r="BA227">
            <v>1</v>
          </cell>
          <cell r="BB227">
            <v>8.0767123287804807</v>
          </cell>
          <cell r="BC227">
            <v>1</v>
          </cell>
          <cell r="BD227">
            <v>0</v>
          </cell>
          <cell r="BE227">
            <v>40171.47</v>
          </cell>
          <cell r="BF227">
            <v>63712.94000000001</v>
          </cell>
          <cell r="BG227">
            <v>68079.610000000015</v>
          </cell>
          <cell r="BH227">
            <v>68079.610000000015</v>
          </cell>
          <cell r="BI227">
            <v>83400.58</v>
          </cell>
          <cell r="BJ227">
            <v>983399</v>
          </cell>
        </row>
        <row r="228">
          <cell r="B228" t="str">
            <v>xgashaw2</v>
          </cell>
          <cell r="C228" t="str">
            <v>922 Mountain Ind Dr</v>
          </cell>
          <cell r="D228" t="str">
            <v>Unrealized</v>
          </cell>
          <cell r="E228" t="str">
            <v>Logistic Fund II</v>
          </cell>
          <cell r="F228" t="str">
            <v>USD</v>
          </cell>
          <cell r="G228" t="str">
            <v>Last Mile</v>
          </cell>
          <cell r="H228" t="str">
            <v>Atlanta</v>
          </cell>
          <cell r="I228" t="str">
            <v>Marietta</v>
          </cell>
          <cell r="J228" t="str">
            <v>GA</v>
          </cell>
          <cell r="K228">
            <v>30060</v>
          </cell>
          <cell r="L228" t="str">
            <v>United States</v>
          </cell>
          <cell r="M228" t="str">
            <v>Atlanta-Sandy Springs-Roswell, GA</v>
          </cell>
          <cell r="N228">
            <v>11300</v>
          </cell>
          <cell r="O228">
            <v>1</v>
          </cell>
          <cell r="P228" t="str">
            <v>Portfolio</v>
          </cell>
          <cell r="Q228" t="str">
            <v>Property - Private Equity</v>
          </cell>
          <cell r="R228" t="str">
            <v>Industrial</v>
          </cell>
          <cell r="S228" t="str">
            <v>Warehouse</v>
          </cell>
          <cell r="T228">
            <v>1981</v>
          </cell>
          <cell r="U228" t="str">
            <v>Sq. Feet</v>
          </cell>
          <cell r="V228" t="str">
            <v>Value-Add</v>
          </cell>
          <cell r="W228" t="str">
            <v>Industrial / Logistics</v>
          </cell>
          <cell r="X228" t="str">
            <v>Common Equity</v>
          </cell>
          <cell r="Y228">
            <v>102840</v>
          </cell>
          <cell r="Z228">
            <v>16827</v>
          </cell>
          <cell r="AA228">
            <v>1002406</v>
          </cell>
          <cell r="AB228">
            <v>0.10259316085498291</v>
          </cell>
          <cell r="AC228">
            <v>84750</v>
          </cell>
          <cell r="AD228">
            <v>8.6873981985565077E-2</v>
          </cell>
          <cell r="AE228">
            <v>7.0000000000000007E-2</v>
          </cell>
          <cell r="AF228">
            <v>0.19839999999999999</v>
          </cell>
          <cell r="AG228">
            <v>2.35</v>
          </cell>
          <cell r="AH228">
            <v>0.15509999999999999</v>
          </cell>
          <cell r="AI228">
            <v>2.2400000000000002</v>
          </cell>
          <cell r="AJ228">
            <v>0.15538393094946734</v>
          </cell>
          <cell r="AK228">
            <v>0.25720394708852035</v>
          </cell>
          <cell r="AL228">
            <v>2.9016563896283509</v>
          </cell>
          <cell r="AM228">
            <v>0.11853251847738977</v>
          </cell>
          <cell r="AN228">
            <v>0.21120702914555167</v>
          </cell>
          <cell r="AO228">
            <v>2.4430825349041023</v>
          </cell>
          <cell r="AP228" t="str">
            <v>Unsolicited \ Off-market</v>
          </cell>
          <cell r="AQ228" t="str">
            <v>Renewal / Re-tenant</v>
          </cell>
          <cell r="AR228" t="str">
            <v>Stabilised</v>
          </cell>
          <cell r="AS228">
            <v>44351</v>
          </cell>
          <cell r="AT228">
            <v>975551</v>
          </cell>
          <cell r="AU228">
            <v>985579</v>
          </cell>
          <cell r="AV228">
            <v>83604</v>
          </cell>
          <cell r="AW228">
            <v>83814</v>
          </cell>
          <cell r="AX228">
            <v>8.5699261238008057E-2</v>
          </cell>
          <cell r="AY228">
            <v>8.591452420222008E-2</v>
          </cell>
          <cell r="AZ228">
            <v>6.66</v>
          </cell>
          <cell r="BA228">
            <v>1</v>
          </cell>
          <cell r="BB228">
            <v>8.0767123287610598</v>
          </cell>
          <cell r="BC228">
            <v>1</v>
          </cell>
          <cell r="BD228">
            <v>0</v>
          </cell>
          <cell r="BE228">
            <v>45973.369999999995</v>
          </cell>
          <cell r="BF228">
            <v>84662.66</v>
          </cell>
          <cell r="BG228">
            <v>83406.73</v>
          </cell>
          <cell r="BH228">
            <v>83406.73</v>
          </cell>
          <cell r="BI228">
            <v>87318.35</v>
          </cell>
          <cell r="BJ228">
            <v>985579</v>
          </cell>
        </row>
        <row r="229">
          <cell r="B229" t="str">
            <v>xgashaw1</v>
          </cell>
          <cell r="C229" t="str">
            <v>986 Rosedale Dr</v>
          </cell>
          <cell r="D229" t="str">
            <v>Unrealized</v>
          </cell>
          <cell r="E229" t="str">
            <v>Logistic Fund II</v>
          </cell>
          <cell r="F229" t="str">
            <v>USD</v>
          </cell>
          <cell r="G229" t="str">
            <v>Last Mile</v>
          </cell>
          <cell r="H229" t="str">
            <v>Atlanta</v>
          </cell>
          <cell r="I229" t="str">
            <v>Hiram</v>
          </cell>
          <cell r="J229" t="str">
            <v>GA</v>
          </cell>
          <cell r="K229">
            <v>30141</v>
          </cell>
          <cell r="L229" t="str">
            <v>United States</v>
          </cell>
          <cell r="M229" t="str">
            <v>Atlanta-Sandy Springs-Roswell, GA</v>
          </cell>
          <cell r="N229">
            <v>16000</v>
          </cell>
          <cell r="O229">
            <v>1</v>
          </cell>
          <cell r="P229" t="str">
            <v>Portfolio</v>
          </cell>
          <cell r="Q229" t="str">
            <v>Property - Private Equity</v>
          </cell>
          <cell r="R229" t="str">
            <v>Industrial</v>
          </cell>
          <cell r="S229" t="str">
            <v>Warehouse</v>
          </cell>
          <cell r="T229">
            <v>1996</v>
          </cell>
          <cell r="U229" t="str">
            <v>Sq. Feet</v>
          </cell>
          <cell r="V229" t="str">
            <v>Value-Add</v>
          </cell>
          <cell r="W229" t="str">
            <v>Industrial / Logistics</v>
          </cell>
          <cell r="X229" t="str">
            <v>Common Equity</v>
          </cell>
          <cell r="Y229">
            <v>121020</v>
          </cell>
          <cell r="Z229">
            <v>23858</v>
          </cell>
          <cell r="AA229">
            <v>1419369</v>
          </cell>
          <cell r="AB229">
            <v>8.526324021448968E-2</v>
          </cell>
          <cell r="AC229">
            <v>100000</v>
          </cell>
          <cell r="AD229">
            <v>7.2394992872712949E-2</v>
          </cell>
          <cell r="AE229">
            <v>7.0000000000000007E-2</v>
          </cell>
          <cell r="AF229">
            <v>0.19839999999999999</v>
          </cell>
          <cell r="AG229">
            <v>2.35</v>
          </cell>
          <cell r="AH229">
            <v>0.15509999999999999</v>
          </cell>
          <cell r="AI229">
            <v>2.2400000000000002</v>
          </cell>
          <cell r="AJ229">
            <v>0.11157767632229243</v>
          </cell>
          <cell r="AK229">
            <v>0.17580768417460768</v>
          </cell>
          <cell r="AL229">
            <v>2.1528876808131781</v>
          </cell>
          <cell r="AM229">
            <v>7.9813053678706947E-2</v>
          </cell>
          <cell r="AN229">
            <v>0.13658456883682724</v>
          </cell>
          <cell r="AO229">
            <v>1.8450389025781562</v>
          </cell>
          <cell r="AP229" t="str">
            <v>Unsolicited \ Off-market</v>
          </cell>
          <cell r="AQ229" t="str">
            <v>Renewal / Re-tenant</v>
          </cell>
          <cell r="AR229" t="str">
            <v>Stabilised</v>
          </cell>
          <cell r="AS229">
            <v>44381</v>
          </cell>
          <cell r="AT229">
            <v>1381311</v>
          </cell>
          <cell r="AU229">
            <v>1395511</v>
          </cell>
          <cell r="AV229">
            <v>98400</v>
          </cell>
          <cell r="AW229">
            <v>98894</v>
          </cell>
          <cell r="AX229">
            <v>7.1236672986749544E-2</v>
          </cell>
          <cell r="AY229">
            <v>7.1594304251540744E-2</v>
          </cell>
          <cell r="AZ229">
            <v>6.15</v>
          </cell>
          <cell r="BA229">
            <v>1</v>
          </cell>
          <cell r="BB229">
            <v>7.9945205479375003</v>
          </cell>
          <cell r="BC229">
            <v>1</v>
          </cell>
          <cell r="BD229">
            <v>0</v>
          </cell>
          <cell r="BE229">
            <v>58549.26</v>
          </cell>
          <cell r="BF229">
            <v>138921.15</v>
          </cell>
          <cell r="BG229">
            <v>98854.499999999985</v>
          </cell>
          <cell r="BH229">
            <v>98854.499999999985</v>
          </cell>
          <cell r="BI229">
            <v>105358.07</v>
          </cell>
          <cell r="BJ229">
            <v>1395511</v>
          </cell>
        </row>
        <row r="230">
          <cell r="B230" t="str">
            <v>xgashaw5</v>
          </cell>
          <cell r="C230" t="str">
            <v>3275 Florence Rd, Bldg 200</v>
          </cell>
          <cell r="D230" t="str">
            <v>Unrealized</v>
          </cell>
          <cell r="E230" t="str">
            <v>Logistic Fund II</v>
          </cell>
          <cell r="F230" t="str">
            <v>USD</v>
          </cell>
          <cell r="G230" t="str">
            <v>Last Mile</v>
          </cell>
          <cell r="H230" t="str">
            <v>Atlanta</v>
          </cell>
          <cell r="I230" t="str">
            <v>Powder Springs</v>
          </cell>
          <cell r="J230" t="str">
            <v>GA</v>
          </cell>
          <cell r="K230">
            <v>30127</v>
          </cell>
          <cell r="L230" t="str">
            <v>United States</v>
          </cell>
          <cell r="M230" t="str">
            <v>Atlanta-Sandy Springs-Roswell, GA</v>
          </cell>
          <cell r="N230">
            <v>17766</v>
          </cell>
          <cell r="O230">
            <v>1</v>
          </cell>
          <cell r="P230" t="str">
            <v>Portfolio</v>
          </cell>
          <cell r="Q230" t="str">
            <v>Property - Private Equity</v>
          </cell>
          <cell r="R230" t="str">
            <v>Industrial</v>
          </cell>
          <cell r="S230" t="str">
            <v>Warehouse</v>
          </cell>
          <cell r="T230">
            <v>2000</v>
          </cell>
          <cell r="U230" t="str">
            <v>Sq. Feet</v>
          </cell>
          <cell r="V230" t="str">
            <v>Value-Add</v>
          </cell>
          <cell r="W230" t="str">
            <v>Industrial / Logistics</v>
          </cell>
          <cell r="X230" t="str">
            <v>Common Equity</v>
          </cell>
          <cell r="Y230">
            <v>134376</v>
          </cell>
          <cell r="Z230">
            <v>26465</v>
          </cell>
          <cell r="AA230">
            <v>1576005</v>
          </cell>
          <cell r="AB230">
            <v>8.5263688884235772E-2</v>
          </cell>
          <cell r="AC230">
            <v>111037.5</v>
          </cell>
          <cell r="AD230">
            <v>7.2394955188965257E-2</v>
          </cell>
          <cell r="AE230">
            <v>7.0000000000000007E-2</v>
          </cell>
          <cell r="AF230">
            <v>0.19839999999999999</v>
          </cell>
          <cell r="AG230">
            <v>2.35</v>
          </cell>
          <cell r="AH230">
            <v>0.15509999999999999</v>
          </cell>
          <cell r="AI230">
            <v>2.2400000000000002</v>
          </cell>
          <cell r="AJ230">
            <v>0.11157732466981196</v>
          </cell>
          <cell r="AK230">
            <v>0.17522719535971421</v>
          </cell>
          <cell r="AL230">
            <v>2.1507389663508691</v>
          </cell>
          <cell r="AM230">
            <v>7.9584417874774882E-2</v>
          </cell>
          <cell r="AN230">
            <v>0.13581482535790057</v>
          </cell>
          <cell r="AO230">
            <v>1.8423488267422663</v>
          </cell>
          <cell r="AP230" t="str">
            <v>Unsolicited \ Off-market</v>
          </cell>
          <cell r="AQ230" t="str">
            <v>Renewal / Re-tenant</v>
          </cell>
          <cell r="AR230" t="str">
            <v>Stabilised</v>
          </cell>
          <cell r="AS230">
            <v>44351</v>
          </cell>
          <cell r="AT230">
            <v>1533774</v>
          </cell>
          <cell r="AU230">
            <v>1549540</v>
          </cell>
          <cell r="AV230">
            <v>109260</v>
          </cell>
          <cell r="AW230">
            <v>109533</v>
          </cell>
          <cell r="AX230">
            <v>7.1236049118057809E-2</v>
          </cell>
          <cell r="AY230">
            <v>7.1414041442872292E-2</v>
          </cell>
          <cell r="AZ230">
            <v>5.5350016886187099</v>
          </cell>
          <cell r="BA230">
            <v>1</v>
          </cell>
          <cell r="BB230">
            <v>8.0767123287740592</v>
          </cell>
          <cell r="BC230">
            <v>1</v>
          </cell>
          <cell r="BD230">
            <v>0</v>
          </cell>
          <cell r="BE230">
            <v>68846.960000000006</v>
          </cell>
          <cell r="BF230">
            <v>107768.19999999998</v>
          </cell>
          <cell r="BG230">
            <v>108287.05000000002</v>
          </cell>
          <cell r="BH230">
            <v>108287.05000000002</v>
          </cell>
          <cell r="BI230">
            <v>111792.96000000001</v>
          </cell>
          <cell r="BJ230">
            <v>1549540</v>
          </cell>
        </row>
        <row r="231">
          <cell r="B231" t="str">
            <v>xgashaw4</v>
          </cell>
          <cell r="C231" t="str">
            <v>3275 Florence Rd, Bldg 300</v>
          </cell>
          <cell r="D231" t="str">
            <v>Unrealized</v>
          </cell>
          <cell r="E231" t="str">
            <v>Logistic Fund II</v>
          </cell>
          <cell r="F231" t="str">
            <v>USD</v>
          </cell>
          <cell r="G231" t="str">
            <v>Last Mile</v>
          </cell>
          <cell r="H231" t="str">
            <v>Atlanta</v>
          </cell>
          <cell r="I231" t="str">
            <v>Powder Springs</v>
          </cell>
          <cell r="J231" t="str">
            <v>GA</v>
          </cell>
          <cell r="K231">
            <v>30127</v>
          </cell>
          <cell r="L231" t="str">
            <v>United States</v>
          </cell>
          <cell r="M231" t="str">
            <v>Atlanta-Sandy Springs-Roswell, GA</v>
          </cell>
          <cell r="N231">
            <v>22200</v>
          </cell>
          <cell r="O231">
            <v>1</v>
          </cell>
          <cell r="P231" t="str">
            <v>Portfolio</v>
          </cell>
          <cell r="Q231" t="str">
            <v>Property - Private Equity</v>
          </cell>
          <cell r="R231" t="str">
            <v>Industrial</v>
          </cell>
          <cell r="S231" t="str">
            <v>Warehouse</v>
          </cell>
          <cell r="T231">
            <v>2004</v>
          </cell>
          <cell r="U231" t="str">
            <v>Sq. Feet</v>
          </cell>
          <cell r="V231" t="str">
            <v>Value-Add</v>
          </cell>
          <cell r="W231" t="str">
            <v>Industrial / Logistics</v>
          </cell>
          <cell r="X231" t="str">
            <v>Common Equity</v>
          </cell>
          <cell r="Y231">
            <v>158364</v>
          </cell>
          <cell r="Z231">
            <v>33101</v>
          </cell>
          <cell r="AA231">
            <v>1969372</v>
          </cell>
          <cell r="AB231">
            <v>8.0413451597768221E-2</v>
          </cell>
          <cell r="AC231">
            <v>133200</v>
          </cell>
          <cell r="AD231">
            <v>6.9499157348805421E-2</v>
          </cell>
          <cell r="AE231">
            <v>7.0000000000000007E-2</v>
          </cell>
          <cell r="AF231">
            <v>0.19839999999999999</v>
          </cell>
          <cell r="AG231">
            <v>2.35</v>
          </cell>
          <cell r="AH231">
            <v>0.15509999999999999</v>
          </cell>
          <cell r="AI231">
            <v>2.2400000000000002</v>
          </cell>
          <cell r="AJ231">
            <v>9.8295472700342001E-2</v>
          </cell>
          <cell r="AK231">
            <v>0.14919301448324185</v>
          </cell>
          <cell r="AL231">
            <v>1.9405021003678717</v>
          </cell>
          <cell r="AM231">
            <v>6.794750079918388E-2</v>
          </cell>
          <cell r="AN231">
            <v>0.11232212161915855</v>
          </cell>
          <cell r="AO231">
            <v>1.6741599422911195</v>
          </cell>
          <cell r="AP231" t="str">
            <v>Unsolicited \ Off-market</v>
          </cell>
          <cell r="AQ231" t="str">
            <v>Renewal / Re-tenant</v>
          </cell>
          <cell r="AR231" t="str">
            <v>Stabilised</v>
          </cell>
          <cell r="AS231">
            <v>44351</v>
          </cell>
          <cell r="AT231">
            <v>1916570</v>
          </cell>
          <cell r="AU231">
            <v>1936271</v>
          </cell>
          <cell r="AV231">
            <v>128748</v>
          </cell>
          <cell r="AW231">
            <v>129070</v>
          </cell>
          <cell r="AX231">
            <v>6.7176257585165169E-2</v>
          </cell>
          <cell r="AY231">
            <v>6.7344266058635999E-2</v>
          </cell>
          <cell r="AZ231">
            <v>5.22</v>
          </cell>
          <cell r="BA231">
            <v>1</v>
          </cell>
          <cell r="BB231">
            <v>8.0767123287837794</v>
          </cell>
          <cell r="BC231">
            <v>1</v>
          </cell>
          <cell r="BD231">
            <v>0</v>
          </cell>
          <cell r="BE231">
            <v>79549.48000000001</v>
          </cell>
          <cell r="BF231">
            <v>89146.279999999984</v>
          </cell>
          <cell r="BG231">
            <v>128894.11</v>
          </cell>
          <cell r="BH231">
            <v>128894.11</v>
          </cell>
          <cell r="BI231">
            <v>126985.82999999999</v>
          </cell>
          <cell r="BJ231">
            <v>1936271</v>
          </cell>
        </row>
        <row r="232">
          <cell r="B232" t="str">
            <v>xgashaw3</v>
          </cell>
          <cell r="C232" t="str">
            <v>899 Mountain Ind Dr</v>
          </cell>
          <cell r="D232" t="str">
            <v>Unrealized</v>
          </cell>
          <cell r="E232" t="str">
            <v>Logistic Fund II</v>
          </cell>
          <cell r="F232" t="str">
            <v>USD</v>
          </cell>
          <cell r="G232" t="str">
            <v>Last Mile</v>
          </cell>
          <cell r="H232" t="str">
            <v>Atlanta</v>
          </cell>
          <cell r="I232" t="str">
            <v>Marietta</v>
          </cell>
          <cell r="J232" t="str">
            <v>GA</v>
          </cell>
          <cell r="K232">
            <v>30060</v>
          </cell>
          <cell r="L232" t="str">
            <v>United States</v>
          </cell>
          <cell r="M232" t="str">
            <v>Atlanta-Sandy Springs-Roswell, GA</v>
          </cell>
          <cell r="N232">
            <v>26880</v>
          </cell>
          <cell r="O232">
            <v>1</v>
          </cell>
          <cell r="P232" t="str">
            <v>Portfolio</v>
          </cell>
          <cell r="Q232" t="str">
            <v>Property - Private Equity</v>
          </cell>
          <cell r="R232" t="str">
            <v>Industrial</v>
          </cell>
          <cell r="S232" t="str">
            <v>Warehouse</v>
          </cell>
          <cell r="T232">
            <v>1973</v>
          </cell>
          <cell r="U232" t="str">
            <v>Sq. Feet</v>
          </cell>
          <cell r="V232" t="str">
            <v>Value-Add</v>
          </cell>
          <cell r="W232" t="str">
            <v>Industrial / Logistics</v>
          </cell>
          <cell r="X232" t="str">
            <v>Common Equity</v>
          </cell>
          <cell r="Y232">
            <v>228108</v>
          </cell>
          <cell r="Z232">
            <v>40053</v>
          </cell>
          <cell r="AA232">
            <v>2384511</v>
          </cell>
          <cell r="AB232">
            <v>9.5662381091972309E-2</v>
          </cell>
          <cell r="AC232">
            <v>188160</v>
          </cell>
          <cell r="AD232">
            <v>8.1082373848521266E-2</v>
          </cell>
          <cell r="AE232">
            <v>7.0000000000000007E-2</v>
          </cell>
          <cell r="AF232">
            <v>0.19839999999999999</v>
          </cell>
          <cell r="AG232">
            <v>2.35</v>
          </cell>
          <cell r="AH232">
            <v>0.15509999999999999</v>
          </cell>
          <cell r="AI232">
            <v>2.2400000000000002</v>
          </cell>
          <cell r="AJ232">
            <v>0.13847605407979913</v>
          </cell>
          <cell r="AK232">
            <v>0.22611998137201095</v>
          </cell>
          <cell r="AL232">
            <v>2.6013436733494162</v>
          </cell>
          <cell r="AM232">
            <v>0.10340322851351313</v>
          </cell>
          <cell r="AN232">
            <v>0.18239548838927844</v>
          </cell>
          <cell r="AO232">
            <v>2.202832777372091</v>
          </cell>
          <cell r="AP232" t="str">
            <v>Unsolicited \ Off-market</v>
          </cell>
          <cell r="AQ232" t="str">
            <v>Rent Optimization</v>
          </cell>
          <cell r="AR232" t="str">
            <v>Stabilised</v>
          </cell>
          <cell r="AS232">
            <v>44351</v>
          </cell>
          <cell r="AT232">
            <v>2320603</v>
          </cell>
          <cell r="AU232">
            <v>2344458</v>
          </cell>
          <cell r="AV232">
            <v>185472</v>
          </cell>
          <cell r="AW232">
            <v>185936</v>
          </cell>
          <cell r="AX232">
            <v>7.9924054222113822E-2</v>
          </cell>
          <cell r="AY232">
            <v>8.012400225286273E-2</v>
          </cell>
          <cell r="AZ232">
            <v>6.21</v>
          </cell>
          <cell r="BA232">
            <v>1</v>
          </cell>
          <cell r="BB232">
            <v>8.0767123287574396</v>
          </cell>
          <cell r="BC232">
            <v>1</v>
          </cell>
          <cell r="BD232">
            <v>0</v>
          </cell>
          <cell r="BE232">
            <v>113907.34</v>
          </cell>
          <cell r="BF232">
            <v>188227.13999999998</v>
          </cell>
          <cell r="BG232">
            <v>190285.24</v>
          </cell>
          <cell r="BH232">
            <v>190285.24</v>
          </cell>
          <cell r="BI232">
            <v>195905.72000000003</v>
          </cell>
          <cell r="BJ232">
            <v>2344458</v>
          </cell>
        </row>
        <row r="233">
          <cell r="B233" t="str">
            <v>xnjmorri</v>
          </cell>
          <cell r="C233" t="str">
            <v>14 Morris</v>
          </cell>
          <cell r="D233" t="str">
            <v>Unrealized</v>
          </cell>
          <cell r="E233" t="str">
            <v>Logistic Fund II</v>
          </cell>
          <cell r="F233" t="str">
            <v>USD</v>
          </cell>
          <cell r="G233" t="str">
            <v>Last Mile</v>
          </cell>
          <cell r="H233" t="str">
            <v>Philadelphia</v>
          </cell>
          <cell r="I233" t="str">
            <v>Maple Shade</v>
          </cell>
          <cell r="J233" t="str">
            <v>NJ</v>
          </cell>
          <cell r="K233" t="str">
            <v>08052</v>
          </cell>
          <cell r="L233" t="str">
            <v>United States</v>
          </cell>
          <cell r="M233" t="str">
            <v>Philadelphia-Camden-Wilmington, PA-NJ-DE-MD</v>
          </cell>
          <cell r="N233">
            <v>38000</v>
          </cell>
          <cell r="O233">
            <v>1</v>
          </cell>
          <cell r="P233" t="str">
            <v>Single Asset</v>
          </cell>
          <cell r="Q233" t="str">
            <v>Property - Private Equity</v>
          </cell>
          <cell r="R233" t="str">
            <v>Industrial</v>
          </cell>
          <cell r="S233" t="str">
            <v>Warehouse</v>
          </cell>
          <cell r="T233">
            <v>1995</v>
          </cell>
          <cell r="U233" t="str">
            <v>Sq. Feet</v>
          </cell>
          <cell r="V233" t="str">
            <v>Value-Add</v>
          </cell>
          <cell r="W233" t="str">
            <v>Industrial / Logistics</v>
          </cell>
          <cell r="X233" t="str">
            <v>Common Equity</v>
          </cell>
          <cell r="Y233">
            <v>266448</v>
          </cell>
          <cell r="Z233">
            <v>239982</v>
          </cell>
          <cell r="AA233">
            <v>2705491</v>
          </cell>
          <cell r="AB233">
            <v>9.8484156849902665E-2</v>
          </cell>
          <cell r="AC233">
            <v>209000</v>
          </cell>
          <cell r="AD233">
            <v>8.6008230452674903E-2</v>
          </cell>
          <cell r="AE233">
            <v>6.5000000000000002E-2</v>
          </cell>
          <cell r="AF233">
            <v>0.2132</v>
          </cell>
          <cell r="AG233">
            <v>2.84</v>
          </cell>
          <cell r="AH233">
            <v>0.17050000000000001</v>
          </cell>
          <cell r="AI233">
            <v>2.73</v>
          </cell>
          <cell r="AJ233">
            <v>0.14023083628299071</v>
          </cell>
          <cell r="AK233">
            <v>0.21978688774076893</v>
          </cell>
          <cell r="AL233">
            <v>2.7043981100513856</v>
          </cell>
          <cell r="AM233">
            <v>0.10568918334425348</v>
          </cell>
          <cell r="AN233">
            <v>0.17759754759476776</v>
          </cell>
          <cell r="AO233">
            <v>2.2884400173168089</v>
          </cell>
          <cell r="AP233" t="str">
            <v>Unsolicited \ Off-market</v>
          </cell>
          <cell r="AQ233" t="str">
            <v>Rent Optimization</v>
          </cell>
          <cell r="AR233" t="str">
            <v>Leasing Strategy</v>
          </cell>
          <cell r="AS233">
            <v>44370</v>
          </cell>
          <cell r="AT233">
            <v>2430000</v>
          </cell>
          <cell r="AU233">
            <v>2465509</v>
          </cell>
          <cell r="AV233">
            <v>147144</v>
          </cell>
          <cell r="AW233">
            <v>147144</v>
          </cell>
          <cell r="AX233">
            <v>6.0553086419753085E-2</v>
          </cell>
          <cell r="AY233">
            <v>6.0553086419753085E-2</v>
          </cell>
          <cell r="AZ233">
            <v>3.8722831578947301</v>
          </cell>
          <cell r="BA233">
            <v>1</v>
          </cell>
          <cell r="BB233">
            <v>2.68767123286842</v>
          </cell>
          <cell r="BC233">
            <v>1</v>
          </cell>
          <cell r="BD233">
            <v>0</v>
          </cell>
          <cell r="BE233">
            <v>69340.69</v>
          </cell>
          <cell r="BF233">
            <v>131904.72</v>
          </cell>
          <cell r="BG233">
            <v>132687.99</v>
          </cell>
          <cell r="BH233">
            <v>132687.99</v>
          </cell>
          <cell r="BI233">
            <v>132771.57</v>
          </cell>
          <cell r="BJ233">
            <v>2673169.44</v>
          </cell>
        </row>
        <row r="234">
          <cell r="B234" t="str">
            <v>xtxglen</v>
          </cell>
          <cell r="C234" t="str">
            <v>3113 Glenfield Avenue</v>
          </cell>
          <cell r="D234" t="str">
            <v>Unrealized</v>
          </cell>
          <cell r="E234" t="str">
            <v>Logistic Fund II</v>
          </cell>
          <cell r="F234" t="str">
            <v>USD</v>
          </cell>
          <cell r="G234" t="str">
            <v>Last Mile</v>
          </cell>
          <cell r="H234" t="str">
            <v>Dallas</v>
          </cell>
          <cell r="I234" t="str">
            <v>Dallas</v>
          </cell>
          <cell r="J234" t="str">
            <v>TX</v>
          </cell>
          <cell r="K234">
            <v>75233</v>
          </cell>
          <cell r="L234" t="str">
            <v>United States</v>
          </cell>
          <cell r="M234" t="str">
            <v>Dallas-Fort Worth-Arlington, TX</v>
          </cell>
          <cell r="N234">
            <v>115200</v>
          </cell>
          <cell r="O234">
            <v>1</v>
          </cell>
          <cell r="P234" t="str">
            <v>Single Asset</v>
          </cell>
          <cell r="Q234" t="str">
            <v>Property - Private Equity</v>
          </cell>
          <cell r="R234" t="str">
            <v>Industrial</v>
          </cell>
          <cell r="S234" t="str">
            <v>Warehouse</v>
          </cell>
          <cell r="T234">
            <v>1966</v>
          </cell>
          <cell r="U234" t="str">
            <v>Sq. Feet</v>
          </cell>
          <cell r="V234" t="str">
            <v>Value-Add</v>
          </cell>
          <cell r="W234" t="str">
            <v>Industrial / Logistics</v>
          </cell>
          <cell r="X234" t="str">
            <v>Common Equity</v>
          </cell>
          <cell r="Y234">
            <v>563928</v>
          </cell>
          <cell r="Z234">
            <v>1086430</v>
          </cell>
          <cell r="AA234">
            <v>7466418</v>
          </cell>
          <cell r="AB234">
            <v>7.5528586800256828E-2</v>
          </cell>
          <cell r="AC234">
            <v>454645</v>
          </cell>
          <cell r="AD234">
            <v>7.1597637795275587E-2</v>
          </cell>
          <cell r="AE234">
            <v>5.2499999999999998E-2</v>
          </cell>
          <cell r="AF234">
            <v>0.2152</v>
          </cell>
          <cell r="AG234">
            <v>2.81</v>
          </cell>
          <cell r="AH234">
            <v>0.1721</v>
          </cell>
          <cell r="AI234">
            <v>2.7</v>
          </cell>
          <cell r="AJ234">
            <v>0.13607005971944797</v>
          </cell>
          <cell r="AK234">
            <v>0.21683203893598235</v>
          </cell>
          <cell r="AL234">
            <v>2.5122957496956344</v>
          </cell>
          <cell r="AM234">
            <v>0.10157995133893039</v>
          </cell>
          <cell r="AN234">
            <v>0.17421744491790991</v>
          </cell>
          <cell r="AO234">
            <v>2.1370176260986873</v>
          </cell>
          <cell r="AP234" t="str">
            <v>Soft marketed</v>
          </cell>
          <cell r="AQ234" t="str">
            <v>Rent Optimization</v>
          </cell>
          <cell r="AR234" t="str">
            <v>Leasing Strategy</v>
          </cell>
          <cell r="AS234">
            <v>44370</v>
          </cell>
          <cell r="AT234">
            <v>6350000</v>
          </cell>
          <cell r="AU234">
            <v>6379988</v>
          </cell>
          <cell r="AV234">
            <v>437844</v>
          </cell>
          <cell r="AW234">
            <v>453359</v>
          </cell>
          <cell r="AX234">
            <v>6.8951811023622051E-2</v>
          </cell>
          <cell r="AY234">
            <v>7.1395118110236216E-2</v>
          </cell>
          <cell r="AZ234">
            <v>2.08</v>
          </cell>
          <cell r="BA234">
            <v>1</v>
          </cell>
          <cell r="BB234">
            <v>0.27123287671006902</v>
          </cell>
          <cell r="BC234">
            <v>1</v>
          </cell>
          <cell r="BD234">
            <v>0</v>
          </cell>
          <cell r="BE234">
            <v>161121.04</v>
          </cell>
          <cell r="BF234">
            <v>455112.63999999996</v>
          </cell>
          <cell r="BG234">
            <v>424754.56999999995</v>
          </cell>
          <cell r="BH234">
            <v>424754.56999999995</v>
          </cell>
          <cell r="BI234">
            <v>468243.08</v>
          </cell>
          <cell r="BJ234">
            <v>6783366.04</v>
          </cell>
        </row>
        <row r="235">
          <cell r="B235" t="str">
            <v>xilmitch</v>
          </cell>
          <cell r="C235" t="str">
            <v>561 Mitchell Ave</v>
          </cell>
          <cell r="D235" t="str">
            <v>Unrealized</v>
          </cell>
          <cell r="E235" t="str">
            <v>Logistic Fund II</v>
          </cell>
          <cell r="F235" t="str">
            <v>USD</v>
          </cell>
          <cell r="G235" t="str">
            <v>Last Mile</v>
          </cell>
          <cell r="H235" t="str">
            <v>Chicago</v>
          </cell>
          <cell r="I235" t="str">
            <v>Glandale Heights</v>
          </cell>
          <cell r="J235" t="str">
            <v>IL</v>
          </cell>
          <cell r="K235">
            <v>60139</v>
          </cell>
          <cell r="L235" t="str">
            <v>United States</v>
          </cell>
          <cell r="M235" t="str">
            <v>Chicago-Naperville-Elgin, IL-IN-WI</v>
          </cell>
          <cell r="N235">
            <v>30000</v>
          </cell>
          <cell r="O235">
            <v>1</v>
          </cell>
          <cell r="P235" t="str">
            <v>Single Asset</v>
          </cell>
          <cell r="Q235" t="str">
            <v>Property - Private Equity</v>
          </cell>
          <cell r="R235" t="str">
            <v>Industrial</v>
          </cell>
          <cell r="S235" t="str">
            <v>Warehouse</v>
          </cell>
          <cell r="T235">
            <v>1994</v>
          </cell>
          <cell r="U235" t="str">
            <v>Sq. Feet</v>
          </cell>
          <cell r="V235" t="str">
            <v>Value-Add</v>
          </cell>
          <cell r="W235" t="str">
            <v>Industrial / Logistics</v>
          </cell>
          <cell r="X235" t="str">
            <v>Common Equity</v>
          </cell>
          <cell r="Y235">
            <v>185916</v>
          </cell>
          <cell r="Z235">
            <v>234067</v>
          </cell>
          <cell r="AA235">
            <v>2463398</v>
          </cell>
          <cell r="AB235">
            <v>7.5471361103646259E-2</v>
          </cell>
          <cell r="AC235">
            <v>165000</v>
          </cell>
          <cell r="AD235">
            <v>7.4999999999999997E-2</v>
          </cell>
          <cell r="AE235">
            <v>0.06</v>
          </cell>
          <cell r="AF235">
            <v>0.17030000000000001</v>
          </cell>
          <cell r="AG235">
            <v>2.2400000000000002</v>
          </cell>
          <cell r="AH235">
            <v>0.13070000000000001</v>
          </cell>
          <cell r="AI235">
            <v>2.13</v>
          </cell>
          <cell r="AJ235">
            <v>0.10925546831459165</v>
          </cell>
          <cell r="AK235">
            <v>0.17020056758014013</v>
          </cell>
          <cell r="AL235">
            <v>2.0917292222236812</v>
          </cell>
          <cell r="AM235">
            <v>7.771696099068115E-2</v>
          </cell>
          <cell r="AN235">
            <v>0.13135122012772005</v>
          </cell>
          <cell r="AO235">
            <v>1.7979677779749232</v>
          </cell>
          <cell r="AP235" t="str">
            <v>Unsolicited \ Off-market</v>
          </cell>
          <cell r="AQ235" t="str">
            <v>Renewal / Re-tenant</v>
          </cell>
          <cell r="AR235" t="str">
            <v>Stabilised</v>
          </cell>
          <cell r="AS235">
            <v>44376</v>
          </cell>
          <cell r="AT235">
            <v>2200000</v>
          </cell>
          <cell r="AU235">
            <v>2229331</v>
          </cell>
          <cell r="AV235">
            <v>167532</v>
          </cell>
          <cell r="AW235">
            <v>167349</v>
          </cell>
          <cell r="AX235">
            <v>7.6150909090909089E-2</v>
          </cell>
          <cell r="AY235">
            <v>7.6067727272727273E-2</v>
          </cell>
          <cell r="AZ235">
            <v>8</v>
          </cell>
          <cell r="BA235">
            <v>1</v>
          </cell>
          <cell r="BB235">
            <v>5.0054794520666599</v>
          </cell>
          <cell r="BC235">
            <v>1</v>
          </cell>
          <cell r="BD235">
            <v>0</v>
          </cell>
          <cell r="BE235">
            <v>87233.44</v>
          </cell>
          <cell r="BF235">
            <v>158515.08000000002</v>
          </cell>
          <cell r="BG235">
            <v>160299.96</v>
          </cell>
          <cell r="BH235">
            <v>160299.96</v>
          </cell>
          <cell r="BI235">
            <v>157059.66</v>
          </cell>
          <cell r="BJ235">
            <v>2345759</v>
          </cell>
        </row>
        <row r="236">
          <cell r="B236" t="str">
            <v>xgamc260</v>
          </cell>
          <cell r="C236" t="str">
            <v>4260 McEver Drive</v>
          </cell>
          <cell r="D236" t="str">
            <v>Unrealized</v>
          </cell>
          <cell r="E236" t="str">
            <v>Logistic Fund II</v>
          </cell>
          <cell r="F236" t="str">
            <v>USD</v>
          </cell>
          <cell r="G236" t="str">
            <v>Last Mile</v>
          </cell>
          <cell r="H236" t="str">
            <v>Atlanta</v>
          </cell>
          <cell r="I236" t="str">
            <v>Acworth</v>
          </cell>
          <cell r="J236" t="str">
            <v>GA</v>
          </cell>
          <cell r="K236">
            <v>30101</v>
          </cell>
          <cell r="L236" t="str">
            <v>United States</v>
          </cell>
          <cell r="M236" t="str">
            <v>Atlanta-Sandy Springs-Roswell, GA</v>
          </cell>
          <cell r="N236">
            <v>16704</v>
          </cell>
          <cell r="O236">
            <v>1</v>
          </cell>
          <cell r="P236" t="str">
            <v>Portfolio</v>
          </cell>
          <cell r="Q236" t="str">
            <v>Property - Private Equity</v>
          </cell>
          <cell r="R236" t="str">
            <v>Industrial</v>
          </cell>
          <cell r="S236" t="str">
            <v>Warehouse</v>
          </cell>
          <cell r="T236">
            <v>1989</v>
          </cell>
          <cell r="U236" t="str">
            <v>Sq. Feet</v>
          </cell>
          <cell r="V236" t="str">
            <v>Value-Add</v>
          </cell>
          <cell r="W236" t="str">
            <v>Industrial / Logistics</v>
          </cell>
          <cell r="X236" t="str">
            <v>Common Equity</v>
          </cell>
          <cell r="Y236">
            <v>139848</v>
          </cell>
          <cell r="Z236">
            <v>647367</v>
          </cell>
          <cell r="AA236">
            <v>1858700</v>
          </cell>
          <cell r="AB236">
            <v>7.5239683649862804E-2</v>
          </cell>
          <cell r="AC236">
            <v>116250</v>
          </cell>
          <cell r="AD236">
            <v>9.6666602915215283E-2</v>
          </cell>
          <cell r="AE236">
            <v>0.06</v>
          </cell>
          <cell r="AF236">
            <v>0.19520000000000001</v>
          </cell>
          <cell r="AG236">
            <v>2.63</v>
          </cell>
          <cell r="AH236">
            <v>0.15459999999999999</v>
          </cell>
          <cell r="AI236">
            <v>2.52</v>
          </cell>
          <cell r="AJ236">
            <v>0.11071032298643191</v>
          </cell>
          <cell r="AK236">
            <v>0.16921996237381798</v>
          </cell>
          <cell r="AL236">
            <v>2.038287823386308</v>
          </cell>
          <cell r="AM236">
            <v>7.9039922618318936E-2</v>
          </cell>
          <cell r="AN236">
            <v>0.13064570082057547</v>
          </cell>
          <cell r="AO236">
            <v>1.7613545714862044</v>
          </cell>
          <cell r="AP236" t="str">
            <v>Soft marketed</v>
          </cell>
          <cell r="AQ236" t="str">
            <v>Rent Optimization</v>
          </cell>
          <cell r="AR236" t="str">
            <v>Leasing Strategy</v>
          </cell>
          <cell r="AS236">
            <v>44384</v>
          </cell>
          <cell r="AT236">
            <v>1202587</v>
          </cell>
          <cell r="AU236">
            <v>1211333</v>
          </cell>
          <cell r="AV236">
            <v>88560</v>
          </cell>
          <cell r="AW236">
            <v>89050</v>
          </cell>
          <cell r="AX236">
            <v>7.3641241756313675E-2</v>
          </cell>
          <cell r="AY236">
            <v>7.4048696684730506E-2</v>
          </cell>
          <cell r="AZ236">
            <v>7.2032559999999997</v>
          </cell>
          <cell r="BA236">
            <v>1</v>
          </cell>
          <cell r="BB236">
            <v>1.9808219177999999</v>
          </cell>
          <cell r="BC236">
            <v>1</v>
          </cell>
          <cell r="BD236">
            <v>0</v>
          </cell>
          <cell r="BE236">
            <v>34614.899999999994</v>
          </cell>
          <cell r="BF236">
            <v>104608.61</v>
          </cell>
          <cell r="BG236">
            <v>124202.05</v>
          </cell>
          <cell r="BH236">
            <v>124202.05</v>
          </cell>
          <cell r="BI236">
            <v>168586.88</v>
          </cell>
          <cell r="BJ236">
            <v>1238168.6100000001</v>
          </cell>
        </row>
        <row r="237">
          <cell r="B237" t="str">
            <v>xgamc220</v>
          </cell>
          <cell r="C237" t="str">
            <v>4220 McEver Drive</v>
          </cell>
          <cell r="D237" t="str">
            <v>Unrealized</v>
          </cell>
          <cell r="E237" t="str">
            <v>Logistic Fund II</v>
          </cell>
          <cell r="F237" t="str">
            <v>USD</v>
          </cell>
          <cell r="G237" t="str">
            <v>Last Mile</v>
          </cell>
          <cell r="H237" t="str">
            <v>Atlanta</v>
          </cell>
          <cell r="I237" t="str">
            <v>Acworth</v>
          </cell>
          <cell r="J237" t="str">
            <v>GA</v>
          </cell>
          <cell r="K237">
            <v>30101</v>
          </cell>
          <cell r="L237" t="str">
            <v>United States</v>
          </cell>
          <cell r="M237" t="str">
            <v>Atlanta-Sandy Springs-Roswell, GA</v>
          </cell>
          <cell r="N237">
            <v>36352</v>
          </cell>
          <cell r="O237">
            <v>1</v>
          </cell>
          <cell r="P237" t="str">
            <v>Portfolio</v>
          </cell>
          <cell r="Q237" t="str">
            <v>Property - Private Equity</v>
          </cell>
          <cell r="R237" t="str">
            <v>Industrial</v>
          </cell>
          <cell r="S237" t="str">
            <v>Warehouse</v>
          </cell>
          <cell r="T237">
            <v>1994</v>
          </cell>
          <cell r="U237" t="str">
            <v>Sq. Feet</v>
          </cell>
          <cell r="V237" t="str">
            <v>Value-Add</v>
          </cell>
          <cell r="W237" t="str">
            <v>Industrial / Logistics</v>
          </cell>
          <cell r="X237" t="str">
            <v>Common Equity</v>
          </cell>
          <cell r="Y237">
            <v>292332</v>
          </cell>
          <cell r="Z237">
            <v>220363</v>
          </cell>
          <cell r="AA237">
            <v>3118961</v>
          </cell>
          <cell r="AB237">
            <v>9.372736626075158E-2</v>
          </cell>
          <cell r="AC237">
            <v>243000</v>
          </cell>
          <cell r="AD237">
            <v>8.4443287644765511E-2</v>
          </cell>
          <cell r="AE237">
            <v>0.06</v>
          </cell>
          <cell r="AF237">
            <v>0.19520000000000001</v>
          </cell>
          <cell r="AG237">
            <v>2.63</v>
          </cell>
          <cell r="AH237">
            <v>0.15459999999999999</v>
          </cell>
          <cell r="AI237">
            <v>2.52</v>
          </cell>
          <cell r="AJ237">
            <v>0.14909828216733723</v>
          </cell>
          <cell r="AK237">
            <v>0.23660576986252635</v>
          </cell>
          <cell r="AL237">
            <v>2.8878361256783616</v>
          </cell>
          <cell r="AM237">
            <v>0.11369210073992098</v>
          </cell>
          <cell r="AN237">
            <v>0.19320124441830622</v>
          </cell>
          <cell r="AO237">
            <v>2.4343078761441221</v>
          </cell>
          <cell r="AP237" t="str">
            <v>Soft marketed</v>
          </cell>
          <cell r="AQ237" t="str">
            <v>Rent Optimization</v>
          </cell>
          <cell r="AR237" t="str">
            <v>Leasing Strategy</v>
          </cell>
          <cell r="AS237">
            <v>44384</v>
          </cell>
          <cell r="AT237">
            <v>2877671</v>
          </cell>
          <cell r="AU237">
            <v>2898598</v>
          </cell>
          <cell r="AV237">
            <v>198276</v>
          </cell>
          <cell r="AW237">
            <v>199378</v>
          </cell>
          <cell r="AX237">
            <v>6.8901552679232619E-2</v>
          </cell>
          <cell r="AY237">
            <v>6.9284501251185418E-2</v>
          </cell>
          <cell r="AZ237">
            <v>6.7531999999999996</v>
          </cell>
          <cell r="BA237">
            <v>1</v>
          </cell>
          <cell r="BB237">
            <v>1.9808219178055499</v>
          </cell>
          <cell r="BC237">
            <v>1</v>
          </cell>
          <cell r="BD237">
            <v>0</v>
          </cell>
          <cell r="BE237">
            <v>97449.75</v>
          </cell>
          <cell r="BF237">
            <v>193977.57</v>
          </cell>
          <cell r="BG237">
            <v>279974.2</v>
          </cell>
          <cell r="BH237">
            <v>279974.2</v>
          </cell>
          <cell r="BI237">
            <v>374949.17000000004</v>
          </cell>
          <cell r="BJ237">
            <v>3022338.35</v>
          </cell>
        </row>
        <row r="238">
          <cell r="B238" t="str">
            <v>xgamc255</v>
          </cell>
          <cell r="C238" t="str">
            <v>4255 McEver Drive</v>
          </cell>
          <cell r="D238" t="str">
            <v>Unrealized</v>
          </cell>
          <cell r="E238" t="str">
            <v>Logistic Fund II</v>
          </cell>
          <cell r="F238" t="str">
            <v>USD</v>
          </cell>
          <cell r="G238" t="str">
            <v>Last Mile</v>
          </cell>
          <cell r="H238" t="str">
            <v>Atlanta</v>
          </cell>
          <cell r="I238" t="str">
            <v>Acworth</v>
          </cell>
          <cell r="J238" t="str">
            <v>GA</v>
          </cell>
          <cell r="K238">
            <v>30101</v>
          </cell>
          <cell r="L238" t="str">
            <v>United States</v>
          </cell>
          <cell r="M238" t="str">
            <v>Atlanta-Sandy Springs-Roswell, GA</v>
          </cell>
          <cell r="N238">
            <v>45376</v>
          </cell>
          <cell r="O238">
            <v>1</v>
          </cell>
          <cell r="P238" t="str">
            <v>Portfolio</v>
          </cell>
          <cell r="Q238" t="str">
            <v>Property - Private Equity</v>
          </cell>
          <cell r="R238" t="str">
            <v>Industrial</v>
          </cell>
          <cell r="S238" t="str">
            <v>Warehouse</v>
          </cell>
          <cell r="T238">
            <v>1990</v>
          </cell>
          <cell r="U238" t="str">
            <v>Sq. Feet</v>
          </cell>
          <cell r="V238" t="str">
            <v>Value-Add</v>
          </cell>
          <cell r="W238" t="str">
            <v>Industrial / Logistics</v>
          </cell>
          <cell r="X238" t="str">
            <v>Common Equity</v>
          </cell>
          <cell r="Y238">
            <v>324816</v>
          </cell>
          <cell r="Z238">
            <v>264185</v>
          </cell>
          <cell r="AA238">
            <v>3594988</v>
          </cell>
          <cell r="AB238">
            <v>9.0352457365643499E-2</v>
          </cell>
          <cell r="AC238">
            <v>270000</v>
          </cell>
          <cell r="AD238">
            <v>8.1651044604151193E-2</v>
          </cell>
          <cell r="AE238">
            <v>0.06</v>
          </cell>
          <cell r="AF238">
            <v>0.19520000000000001</v>
          </cell>
          <cell r="AG238">
            <v>2.63</v>
          </cell>
          <cell r="AH238">
            <v>0.15459999999999999</v>
          </cell>
          <cell r="AI238">
            <v>2.52</v>
          </cell>
          <cell r="AJ238">
            <v>0.13699409792680739</v>
          </cell>
          <cell r="AK238">
            <v>0.21340924998545763</v>
          </cell>
          <cell r="AL238">
            <v>2.688006864391304</v>
          </cell>
          <cell r="AM238">
            <v>0.10304055056417227</v>
          </cell>
          <cell r="AN238">
            <v>0.17215556931843157</v>
          </cell>
          <cell r="AO238">
            <v>2.2745268668796097</v>
          </cell>
          <cell r="AP238" t="str">
            <v>Soft marketed</v>
          </cell>
          <cell r="AQ238" t="str">
            <v>Rent Optimization</v>
          </cell>
          <cell r="AR238" t="str">
            <v>Leasing Strategy</v>
          </cell>
          <cell r="AS238">
            <v>44384</v>
          </cell>
          <cell r="AT238">
            <v>3306755</v>
          </cell>
          <cell r="AU238">
            <v>3330803</v>
          </cell>
          <cell r="AV238">
            <v>188196</v>
          </cell>
          <cell r="AW238">
            <v>189285</v>
          </cell>
          <cell r="AX238">
            <v>5.6912592556751254E-2</v>
          </cell>
          <cell r="AY238">
            <v>5.7241918436654667E-2</v>
          </cell>
          <cell r="AZ238">
            <v>5.8278773333333298</v>
          </cell>
          <cell r="BA238">
            <v>1</v>
          </cell>
          <cell r="BB238">
            <v>1.9808219177999999</v>
          </cell>
          <cell r="BC238">
            <v>1</v>
          </cell>
          <cell r="BD238">
            <v>0</v>
          </cell>
          <cell r="BE238">
            <v>121512.46</v>
          </cell>
          <cell r="BF238">
            <v>223205.41</v>
          </cell>
          <cell r="BG238">
            <v>238018.43999999997</v>
          </cell>
          <cell r="BH238">
            <v>238018.43999999997</v>
          </cell>
          <cell r="BI238">
            <v>259708.38000000003</v>
          </cell>
          <cell r="BJ238">
            <v>3495729.91</v>
          </cell>
        </row>
        <row r="239">
          <cell r="B239" t="str">
            <v>xgamc200</v>
          </cell>
          <cell r="C239" t="str">
            <v>4200 McEver Drive</v>
          </cell>
          <cell r="D239" t="str">
            <v>Unrealized</v>
          </cell>
          <cell r="E239" t="str">
            <v>Logistic Fund II</v>
          </cell>
          <cell r="F239" t="str">
            <v>USD</v>
          </cell>
          <cell r="G239" t="str">
            <v>Last Mile</v>
          </cell>
          <cell r="H239" t="str">
            <v>Atlanta</v>
          </cell>
          <cell r="I239" t="str">
            <v>Acworth</v>
          </cell>
          <cell r="J239" t="str">
            <v>GA</v>
          </cell>
          <cell r="K239">
            <v>30101</v>
          </cell>
          <cell r="L239" t="str">
            <v>United States</v>
          </cell>
          <cell r="M239" t="str">
            <v>Atlanta-Sandy Springs-Roswell, GA</v>
          </cell>
          <cell r="N239">
            <v>45000</v>
          </cell>
          <cell r="O239">
            <v>1</v>
          </cell>
          <cell r="P239" t="str">
            <v>Portfolio</v>
          </cell>
          <cell r="Q239" t="str">
            <v>Property - Private Equity</v>
          </cell>
          <cell r="R239" t="str">
            <v>Industrial</v>
          </cell>
          <cell r="S239" t="str">
            <v>Warehouse</v>
          </cell>
          <cell r="T239">
            <v>1987</v>
          </cell>
          <cell r="U239" t="str">
            <v>Sq. Feet</v>
          </cell>
          <cell r="V239" t="str">
            <v>Value-Add</v>
          </cell>
          <cell r="W239" t="str">
            <v>Industrial / Logistics</v>
          </cell>
          <cell r="X239" t="str">
            <v>Common Equity</v>
          </cell>
          <cell r="Y239">
            <v>239892</v>
          </cell>
          <cell r="Z239">
            <v>186520</v>
          </cell>
          <cell r="AA239">
            <v>3528636</v>
          </cell>
          <cell r="AB239">
            <v>6.79843429585823E-2</v>
          </cell>
          <cell r="AC239">
            <v>236250</v>
          </cell>
          <cell r="AD239">
            <v>7.1202810619812554E-2</v>
          </cell>
          <cell r="AE239">
            <v>0.06</v>
          </cell>
          <cell r="AF239">
            <v>0.19520000000000001</v>
          </cell>
          <cell r="AG239">
            <v>2.63</v>
          </cell>
          <cell r="AH239">
            <v>0.15459999999999999</v>
          </cell>
          <cell r="AI239">
            <v>2.52</v>
          </cell>
          <cell r="AJ239">
            <v>7.614051599662397E-2</v>
          </cell>
          <cell r="AK239">
            <v>0.10224157584491578</v>
          </cell>
          <cell r="AL239">
            <v>1.6305296858110552</v>
          </cell>
          <cell r="AM239">
            <v>4.9398079416656193E-2</v>
          </cell>
          <cell r="AN239">
            <v>7.1800144118541187E-2</v>
          </cell>
          <cell r="AO239">
            <v>1.4290161488353914</v>
          </cell>
          <cell r="AP239" t="str">
            <v>Soft marketed</v>
          </cell>
          <cell r="AQ239" t="str">
            <v>Rent Optimization</v>
          </cell>
          <cell r="AR239" t="str">
            <v>Leasing Strategy</v>
          </cell>
          <cell r="AS239">
            <v>44384</v>
          </cell>
          <cell r="AT239">
            <v>3317987</v>
          </cell>
          <cell r="AU239">
            <v>3342116</v>
          </cell>
          <cell r="AV239">
            <v>183600</v>
          </cell>
          <cell r="AW239">
            <v>183533</v>
          </cell>
          <cell r="AX239">
            <v>5.5334755681682897E-2</v>
          </cell>
          <cell r="AY239">
            <v>5.5314562715284898E-2</v>
          </cell>
          <cell r="AZ239">
            <v>4.6752000000000002</v>
          </cell>
          <cell r="BA239">
            <v>1</v>
          </cell>
          <cell r="BB239">
            <v>4.1534246575333302</v>
          </cell>
          <cell r="BC239">
            <v>1</v>
          </cell>
          <cell r="BD239">
            <v>0</v>
          </cell>
          <cell r="BE239">
            <v>85011.98</v>
          </cell>
          <cell r="BF239">
            <v>171695.09000000003</v>
          </cell>
          <cell r="BG239">
            <v>180503.02</v>
          </cell>
          <cell r="BH239">
            <v>180503.02</v>
          </cell>
          <cell r="BI239">
            <v>505686.95999999985</v>
          </cell>
          <cell r="BJ239">
            <v>3342116</v>
          </cell>
        </row>
        <row r="240">
          <cell r="B240" t="str">
            <v>xohcomme</v>
          </cell>
          <cell r="C240" t="str">
            <v>10021 Commerce Park Drive</v>
          </cell>
          <cell r="D240" t="str">
            <v>Unrealized</v>
          </cell>
          <cell r="E240" t="str">
            <v>Logistic Fund II</v>
          </cell>
          <cell r="F240" t="str">
            <v>USD</v>
          </cell>
          <cell r="G240" t="str">
            <v>Last Mile</v>
          </cell>
          <cell r="H240" t="str">
            <v>Cincinnati</v>
          </cell>
          <cell r="I240" t="str">
            <v>West Chester, Butler County</v>
          </cell>
          <cell r="J240" t="str">
            <v>OH</v>
          </cell>
          <cell r="K240" t="str">
            <v>05246</v>
          </cell>
          <cell r="L240" t="str">
            <v>United States</v>
          </cell>
          <cell r="M240" t="str">
            <v>Cincinnati, OH-KY-IN</v>
          </cell>
          <cell r="N240">
            <v>80414</v>
          </cell>
          <cell r="O240">
            <v>1</v>
          </cell>
          <cell r="P240" t="str">
            <v>Single Asset</v>
          </cell>
          <cell r="Q240" t="str">
            <v>Property - Private Equity</v>
          </cell>
          <cell r="R240" t="str">
            <v>Industrial</v>
          </cell>
          <cell r="S240" t="str">
            <v>Warehouse</v>
          </cell>
          <cell r="T240">
            <v>1980</v>
          </cell>
          <cell r="U240" t="str">
            <v>Sq. Feet</v>
          </cell>
          <cell r="V240" t="str">
            <v>Value-Add</v>
          </cell>
          <cell r="W240" t="str">
            <v>Industrial / Logistics</v>
          </cell>
          <cell r="X240" t="str">
            <v>Common Equity</v>
          </cell>
          <cell r="Y240">
            <v>336852</v>
          </cell>
          <cell r="Z240">
            <v>253116</v>
          </cell>
          <cell r="AA240">
            <v>3964867</v>
          </cell>
          <cell r="AB240">
            <v>8.4959218051954832E-2</v>
          </cell>
          <cell r="AC240">
            <v>283440.5</v>
          </cell>
          <cell r="AD240">
            <v>7.8733472222222226E-2</v>
          </cell>
          <cell r="AE240">
            <v>7.0000000000000007E-2</v>
          </cell>
          <cell r="AF240">
            <v>0.17799999999999999</v>
          </cell>
          <cell r="AG240">
            <v>2.2799999999999998</v>
          </cell>
          <cell r="AH240">
            <v>0.1381</v>
          </cell>
          <cell r="AI240">
            <v>2.1800000000000002</v>
          </cell>
          <cell r="AJ240">
            <v>0.10617790243607828</v>
          </cell>
          <cell r="AK240">
            <v>0.16327132743902006</v>
          </cell>
          <cell r="AL240">
            <v>2.0720155107008633</v>
          </cell>
          <cell r="AM240">
            <v>7.5289647099220369E-2</v>
          </cell>
          <cell r="AN240">
            <v>0.12561010138927253</v>
          </cell>
          <cell r="AO240">
            <v>1.7818051096781227</v>
          </cell>
          <cell r="AP240" t="str">
            <v>Unsolicited \ Off-market</v>
          </cell>
          <cell r="AQ240" t="str">
            <v>Rent Optimization</v>
          </cell>
          <cell r="AR240" t="str">
            <v>Leasing Strategy</v>
          </cell>
          <cell r="AS240">
            <v>44390</v>
          </cell>
          <cell r="AT240">
            <v>3600000</v>
          </cell>
          <cell r="AU240">
            <v>3711751</v>
          </cell>
          <cell r="AV240">
            <v>267204</v>
          </cell>
          <cell r="AW240">
            <v>270544</v>
          </cell>
          <cell r="AX240">
            <v>7.4223333333333336E-2</v>
          </cell>
          <cell r="AY240">
            <v>7.5151111111111113E-2</v>
          </cell>
          <cell r="AZ240">
            <v>3.3433461835003802</v>
          </cell>
          <cell r="BA240">
            <v>1</v>
          </cell>
          <cell r="BB240">
            <v>1.6301369862959101</v>
          </cell>
          <cell r="BC240">
            <v>1</v>
          </cell>
          <cell r="BD240">
            <v>0</v>
          </cell>
          <cell r="BE240">
            <v>122517.20999999999</v>
          </cell>
          <cell r="BF240">
            <v>214371.17000000004</v>
          </cell>
          <cell r="BG240">
            <v>343503.83</v>
          </cell>
          <cell r="BH240">
            <v>343503.83</v>
          </cell>
          <cell r="BI240">
            <v>373835.6</v>
          </cell>
          <cell r="BJ240">
            <v>3799937.01</v>
          </cell>
        </row>
        <row r="241">
          <cell r="B241" t="str">
            <v>xilmount</v>
          </cell>
          <cell r="C241" t="str">
            <v>3325 Mount Prospect Road</v>
          </cell>
          <cell r="D241" t="str">
            <v>Unrealized</v>
          </cell>
          <cell r="E241" t="str">
            <v>Logistic Fund II</v>
          </cell>
          <cell r="F241" t="str">
            <v>USD</v>
          </cell>
          <cell r="G241" t="str">
            <v>Last Mile</v>
          </cell>
          <cell r="H241" t="str">
            <v>Chicago</v>
          </cell>
          <cell r="I241" t="str">
            <v>Franklin Park</v>
          </cell>
          <cell r="J241" t="str">
            <v>IL</v>
          </cell>
          <cell r="K241">
            <v>60103</v>
          </cell>
          <cell r="L241" t="str">
            <v>United States</v>
          </cell>
          <cell r="M241" t="str">
            <v>Chicago-Naperville-Elgin, IL-IN-WI</v>
          </cell>
          <cell r="N241">
            <v>64002</v>
          </cell>
          <cell r="O241">
            <v>1</v>
          </cell>
          <cell r="P241" t="str">
            <v>Single Asset</v>
          </cell>
          <cell r="Q241" t="str">
            <v>Property - Private Equity</v>
          </cell>
          <cell r="R241" t="str">
            <v>Industrial</v>
          </cell>
          <cell r="S241" t="str">
            <v>Warehouse</v>
          </cell>
          <cell r="T241">
            <v>1966</v>
          </cell>
          <cell r="U241" t="str">
            <v>Sq. Feet</v>
          </cell>
          <cell r="V241" t="str">
            <v>Value-Add</v>
          </cell>
          <cell r="W241" t="str">
            <v>Industrial / Logistics</v>
          </cell>
          <cell r="X241" t="str">
            <v>Common Equity</v>
          </cell>
          <cell r="Y241">
            <v>342396</v>
          </cell>
          <cell r="Z241">
            <v>100104</v>
          </cell>
          <cell r="AA241">
            <v>4593519</v>
          </cell>
          <cell r="AB241">
            <v>7.4538931916902917E-2</v>
          </cell>
          <cell r="AC241">
            <v>272008.5</v>
          </cell>
          <cell r="AD241">
            <v>6.1125505617977527E-2</v>
          </cell>
          <cell r="AE241">
            <v>5.7500000000000002E-2</v>
          </cell>
          <cell r="AF241">
            <v>0.1759</v>
          </cell>
          <cell r="AG241">
            <v>2.21</v>
          </cell>
          <cell r="AH241">
            <v>0.13569999999999999</v>
          </cell>
          <cell r="AI241">
            <v>2.11</v>
          </cell>
          <cell r="AJ241">
            <v>0.10892363653611326</v>
          </cell>
          <cell r="AK241">
            <v>0.16686468257701836</v>
          </cell>
          <cell r="AL241">
            <v>2.1626659818447735</v>
          </cell>
          <cell r="AM241">
            <v>7.7966646706586484E-2</v>
          </cell>
          <cell r="AN241">
            <v>0.12931528736473075</v>
          </cell>
          <cell r="AO241">
            <v>1.8533593839537394</v>
          </cell>
          <cell r="AP241" t="str">
            <v>Market deal</v>
          </cell>
          <cell r="AQ241" t="str">
            <v>Renewal / Re-tenant</v>
          </cell>
          <cell r="AR241" t="str">
            <v>Stabilised</v>
          </cell>
          <cell r="AS241">
            <v>44392</v>
          </cell>
          <cell r="AT241">
            <v>4450000</v>
          </cell>
          <cell r="AU241">
            <v>4493415</v>
          </cell>
          <cell r="AV241">
            <v>278412</v>
          </cell>
          <cell r="AW241">
            <v>278412</v>
          </cell>
          <cell r="AX241">
            <v>6.2564494382022467E-2</v>
          </cell>
          <cell r="AY241">
            <v>6.2564494382022467E-2</v>
          </cell>
          <cell r="AZ241">
            <v>4.3471416518233799</v>
          </cell>
          <cell r="BA241">
            <v>1</v>
          </cell>
          <cell r="BB241">
            <v>9.4219178082247392</v>
          </cell>
          <cell r="BC241">
            <v>1</v>
          </cell>
          <cell r="BD241">
            <v>0</v>
          </cell>
          <cell r="BE241">
            <v>109987.06</v>
          </cell>
          <cell r="BF241">
            <v>253832.69999999995</v>
          </cell>
          <cell r="BG241">
            <v>279337.75</v>
          </cell>
          <cell r="BH241">
            <v>279337.75</v>
          </cell>
          <cell r="BI241">
            <v>283316.05999999994</v>
          </cell>
          <cell r="BJ241">
            <v>4497515</v>
          </cell>
        </row>
        <row r="242">
          <cell r="B242" t="str">
            <v>xtxritti</v>
          </cell>
          <cell r="C242" t="str">
            <v>4728 Goldfield Drive</v>
          </cell>
          <cell r="D242" t="str">
            <v>Unrealized</v>
          </cell>
          <cell r="E242" t="str">
            <v>Logistic Fund II</v>
          </cell>
          <cell r="F242" t="str">
            <v>USD</v>
          </cell>
          <cell r="G242" t="str">
            <v>Last Mile</v>
          </cell>
          <cell r="H242" t="str">
            <v>San Antonio</v>
          </cell>
          <cell r="I242" t="str">
            <v>San Antonio</v>
          </cell>
          <cell r="J242" t="str">
            <v>TX</v>
          </cell>
          <cell r="K242">
            <v>78218</v>
          </cell>
          <cell r="L242" t="str">
            <v>United States</v>
          </cell>
          <cell r="M242" t="str">
            <v>San Antonio-New Braunfels, TX</v>
          </cell>
          <cell r="N242">
            <v>77722</v>
          </cell>
          <cell r="O242">
            <v>8</v>
          </cell>
          <cell r="P242" t="str">
            <v>Portfolio</v>
          </cell>
          <cell r="Q242" t="str">
            <v>Property - Private Equity</v>
          </cell>
          <cell r="R242" t="str">
            <v>Industrial</v>
          </cell>
          <cell r="S242" t="str">
            <v>Warehouse</v>
          </cell>
          <cell r="T242">
            <v>1970</v>
          </cell>
          <cell r="U242" t="str">
            <v>Sq. Feet</v>
          </cell>
          <cell r="V242" t="str">
            <v>Value-Add</v>
          </cell>
          <cell r="W242" t="str">
            <v>Industrial / Logistics</v>
          </cell>
          <cell r="X242" t="str">
            <v>Common Equity</v>
          </cell>
          <cell r="Y242">
            <v>655188</v>
          </cell>
          <cell r="Z242">
            <v>412935</v>
          </cell>
          <cell r="AA242">
            <v>8552417</v>
          </cell>
          <cell r="AB242">
            <v>7.6608518971888293E-2</v>
          </cell>
          <cell r="AC242">
            <v>539042.19000000006</v>
          </cell>
          <cell r="AD242">
            <v>6.6548418518518532E-2</v>
          </cell>
          <cell r="AE242">
            <v>0.06</v>
          </cell>
          <cell r="AF242">
            <v>0.17319999999999999</v>
          </cell>
          <cell r="AG242">
            <v>2.2200000000000002</v>
          </cell>
          <cell r="AH242">
            <v>0.1336</v>
          </cell>
          <cell r="AI242">
            <v>2.12</v>
          </cell>
          <cell r="AJ242">
            <v>0.10669120145550171</v>
          </cell>
          <cell r="AK242">
            <v>0.16250598757454693</v>
          </cell>
          <cell r="AL242">
            <v>2.1056622410987265</v>
          </cell>
          <cell r="AM242">
            <v>7.5986491428765346E-2</v>
          </cell>
          <cell r="AN242">
            <v>0.1253710355236124</v>
          </cell>
          <cell r="AO242">
            <v>1.8089573606032832</v>
          </cell>
          <cell r="AP242" t="str">
            <v>Soft marketed</v>
          </cell>
          <cell r="AQ242" t="str">
            <v>Renewal / Re-tenant</v>
          </cell>
          <cell r="AR242" t="str">
            <v>Leasing Strategy</v>
          </cell>
          <cell r="AS242">
            <v>44392</v>
          </cell>
          <cell r="AT242">
            <v>8100000</v>
          </cell>
          <cell r="AU242">
            <v>8139482</v>
          </cell>
          <cell r="AV242">
            <v>446292</v>
          </cell>
          <cell r="AW242">
            <v>487557</v>
          </cell>
          <cell r="AX242">
            <v>5.509777777777778E-2</v>
          </cell>
          <cell r="AY242">
            <v>6.0192222222222223E-2</v>
          </cell>
          <cell r="AZ242">
            <v>6.7001616945797604</v>
          </cell>
          <cell r="BA242">
            <v>1</v>
          </cell>
          <cell r="BB242">
            <v>3.65634272756134</v>
          </cell>
          <cell r="BC242">
            <v>1</v>
          </cell>
          <cell r="BD242">
            <v>0</v>
          </cell>
          <cell r="BE242">
            <v>279034.61</v>
          </cell>
          <cell r="BF242">
            <v>488109.79</v>
          </cell>
          <cell r="BG242">
            <v>521025.25999999995</v>
          </cell>
          <cell r="BH242">
            <v>521025.25999999995</v>
          </cell>
          <cell r="BI242">
            <v>524563.56999999995</v>
          </cell>
          <cell r="BJ242">
            <v>8244006.2699999996</v>
          </cell>
        </row>
        <row r="243">
          <cell r="B243" t="str">
            <v>xnj121hi</v>
          </cell>
          <cell r="C243" t="str">
            <v>121 High Hill Road-Unit B</v>
          </cell>
          <cell r="D243" t="str">
            <v>Realized</v>
          </cell>
          <cell r="E243" t="str">
            <v>Logistic Fund II</v>
          </cell>
          <cell r="F243" t="str">
            <v>USD</v>
          </cell>
          <cell r="G243" t="str">
            <v>Last Mile</v>
          </cell>
          <cell r="H243" t="str">
            <v>Philadelphia</v>
          </cell>
          <cell r="I243" t="str">
            <v>Woolwich Township</v>
          </cell>
          <cell r="J243" t="str">
            <v>NJ</v>
          </cell>
          <cell r="K243" t="str">
            <v>08085</v>
          </cell>
          <cell r="L243" t="str">
            <v>United States</v>
          </cell>
          <cell r="M243" t="str">
            <v>Philadelphia-Camden-Wilmington, PA-NJ-DE-MD</v>
          </cell>
          <cell r="N243">
            <v>60000</v>
          </cell>
          <cell r="O243">
            <v>1</v>
          </cell>
          <cell r="P243" t="str">
            <v>Single Asset</v>
          </cell>
          <cell r="Q243" t="str">
            <v>Property - Private Equity</v>
          </cell>
          <cell r="R243" t="str">
            <v>Industrial</v>
          </cell>
          <cell r="S243" t="str">
            <v>Warehouse</v>
          </cell>
          <cell r="T243">
            <v>1952</v>
          </cell>
          <cell r="U243" t="str">
            <v>Sq. Feet</v>
          </cell>
          <cell r="V243" t="str">
            <v>Value-Add</v>
          </cell>
          <cell r="W243" t="str">
            <v>Industrial / Logistics</v>
          </cell>
          <cell r="X243" t="str">
            <v>Common Equity</v>
          </cell>
          <cell r="Y243">
            <v>513612</v>
          </cell>
          <cell r="Z243">
            <v>454215</v>
          </cell>
          <cell r="AA243">
            <v>5501582</v>
          </cell>
          <cell r="AB243">
            <v>9.3357147089691658E-2</v>
          </cell>
          <cell r="AC243">
            <v>390000</v>
          </cell>
          <cell r="AD243">
            <v>7.8E-2</v>
          </cell>
          <cell r="AE243">
            <v>5.5E-2</v>
          </cell>
          <cell r="AF243">
            <v>0.1792</v>
          </cell>
          <cell r="AG243">
            <v>2.29</v>
          </cell>
          <cell r="AH243">
            <v>0.13900000000000001</v>
          </cell>
          <cell r="AI243">
            <v>2.2000000000000002</v>
          </cell>
          <cell r="AJ243">
            <v>0.17612678740214149</v>
          </cell>
          <cell r="AK243">
            <v>0.27055968888761384</v>
          </cell>
          <cell r="AL243">
            <v>2.9436852583312172</v>
          </cell>
          <cell r="AM243">
            <v>0.13553093305537134</v>
          </cell>
          <cell r="AN243">
            <v>0.22119596710276923</v>
          </cell>
          <cell r="AO243">
            <v>2.4882871464667122</v>
          </cell>
          <cell r="AP243" t="str">
            <v>Unsolicited \ Off-market</v>
          </cell>
          <cell r="AQ243" t="str">
            <v>Lease-up</v>
          </cell>
          <cell r="AR243" t="str">
            <v>Leasing Strategy</v>
          </cell>
          <cell r="AS243">
            <v>44642</v>
          </cell>
          <cell r="AT243">
            <v>5000000</v>
          </cell>
          <cell r="AU243">
            <v>5047367</v>
          </cell>
          <cell r="AV243">
            <v>-984</v>
          </cell>
          <cell r="AW243">
            <v>77653</v>
          </cell>
          <cell r="AX243">
            <v>-1.9680000000000001E-4</v>
          </cell>
          <cell r="AY243">
            <v>1.55306E-2</v>
          </cell>
          <cell r="AZ243">
            <v>0</v>
          </cell>
          <cell r="BA243">
            <v>1</v>
          </cell>
          <cell r="BB243">
            <v>0.36073059361666598</v>
          </cell>
          <cell r="BC243">
            <v>1</v>
          </cell>
          <cell r="BD243">
            <v>0</v>
          </cell>
          <cell r="BE243">
            <v>0</v>
          </cell>
          <cell r="BF243">
            <v>-47180.77</v>
          </cell>
          <cell r="BG243">
            <v>-78806.16</v>
          </cell>
          <cell r="BH243">
            <v>-78806.16</v>
          </cell>
          <cell r="BI243"/>
          <cell r="BJ243">
            <v>5957705.3799999999</v>
          </cell>
        </row>
        <row r="244">
          <cell r="B244" t="str">
            <v>xtxmorto</v>
          </cell>
          <cell r="C244" t="str">
            <v>4000 Dan Morton Dr</v>
          </cell>
          <cell r="D244" t="str">
            <v>Unrealized</v>
          </cell>
          <cell r="E244" t="str">
            <v>Logistic Fund II</v>
          </cell>
          <cell r="F244" t="str">
            <v>USD</v>
          </cell>
          <cell r="G244" t="str">
            <v>Last Mile</v>
          </cell>
          <cell r="H244" t="str">
            <v>Dallas</v>
          </cell>
          <cell r="I244" t="str">
            <v>Dallas</v>
          </cell>
          <cell r="J244" t="str">
            <v>TX</v>
          </cell>
          <cell r="K244">
            <v>75236</v>
          </cell>
          <cell r="L244" t="str">
            <v>United States</v>
          </cell>
          <cell r="M244" t="str">
            <v>Dallas-Fort Worth-Arlington, TX</v>
          </cell>
          <cell r="N244">
            <v>209669</v>
          </cell>
          <cell r="O244">
            <v>1</v>
          </cell>
          <cell r="P244" t="str">
            <v>Single Asset</v>
          </cell>
          <cell r="Q244" t="str">
            <v>Property - Private Equity</v>
          </cell>
          <cell r="R244" t="str">
            <v>Industrial</v>
          </cell>
          <cell r="S244" t="str">
            <v>Warehouse</v>
          </cell>
          <cell r="T244">
            <v>1966</v>
          </cell>
          <cell r="U244" t="str">
            <v>Sq. Feet</v>
          </cell>
          <cell r="V244" t="str">
            <v>Value-Add</v>
          </cell>
          <cell r="W244" t="str">
            <v>Industrial / Logistics</v>
          </cell>
          <cell r="X244" t="str">
            <v>Common Equity</v>
          </cell>
          <cell r="Y244">
            <v>997740</v>
          </cell>
          <cell r="Z244">
            <v>249571</v>
          </cell>
          <cell r="AA244">
            <v>14654526</v>
          </cell>
          <cell r="AB244">
            <v>6.808408542180075E-2</v>
          </cell>
          <cell r="AC244">
            <v>891093.25</v>
          </cell>
          <cell r="AD244">
            <v>6.2753045774647881E-2</v>
          </cell>
          <cell r="AE244">
            <v>5.5E-2</v>
          </cell>
          <cell r="AF244">
            <v>0.1678</v>
          </cell>
          <cell r="AG244">
            <v>2.14</v>
          </cell>
          <cell r="AH244">
            <v>0.12839999999999999</v>
          </cell>
          <cell r="AI244">
            <v>2.0299999999999998</v>
          </cell>
          <cell r="AJ244">
            <v>9.9366534607951307E-2</v>
          </cell>
          <cell r="AK244">
            <v>0.14905610402169089</v>
          </cell>
          <cell r="AL244">
            <v>2.0041744567840105</v>
          </cell>
          <cell r="AM244">
            <v>6.9571865420021473E-2</v>
          </cell>
          <cell r="AN244">
            <v>0.11324585575877233</v>
          </cell>
          <cell r="AO244">
            <v>1.7264078827631186</v>
          </cell>
          <cell r="AP244" t="str">
            <v>Soft marketed</v>
          </cell>
          <cell r="AQ244" t="str">
            <v>Renewal / Re-tenant</v>
          </cell>
          <cell r="AR244" t="str">
            <v>Stabilised</v>
          </cell>
          <cell r="AS244">
            <v>44393</v>
          </cell>
          <cell r="AT244">
            <v>14200000</v>
          </cell>
          <cell r="AU244">
            <v>14404955</v>
          </cell>
          <cell r="AV244">
            <v>862368</v>
          </cell>
          <cell r="AW244">
            <v>875322</v>
          </cell>
          <cell r="AX244">
            <v>6.0730140845070425E-2</v>
          </cell>
          <cell r="AY244">
            <v>6.164239436619718E-2</v>
          </cell>
          <cell r="AZ244">
            <v>4.1130200458818402</v>
          </cell>
          <cell r="BA244">
            <v>1</v>
          </cell>
          <cell r="BB244">
            <v>9.2575953343841899</v>
          </cell>
          <cell r="BC244">
            <v>1</v>
          </cell>
          <cell r="BD244">
            <v>0</v>
          </cell>
          <cell r="BE244">
            <v>427255.53</v>
          </cell>
          <cell r="BF244">
            <v>856587.11</v>
          </cell>
          <cell r="BG244">
            <v>888307.54</v>
          </cell>
          <cell r="BH244">
            <v>888307.54</v>
          </cell>
          <cell r="BI244">
            <v>811890.08</v>
          </cell>
          <cell r="BJ244">
            <v>14496910.51</v>
          </cell>
        </row>
        <row r="245">
          <cell r="B245" t="str">
            <v>xnjcentr</v>
          </cell>
          <cell r="C245" t="str">
            <v>7055 Central Highway</v>
          </cell>
          <cell r="D245" t="str">
            <v>Unrealized</v>
          </cell>
          <cell r="E245" t="str">
            <v>Logistic Fund II</v>
          </cell>
          <cell r="F245" t="str">
            <v>USD</v>
          </cell>
          <cell r="G245" t="str">
            <v>Last Mile</v>
          </cell>
          <cell r="H245" t="str">
            <v>Philadelphia</v>
          </cell>
          <cell r="I245" t="str">
            <v>Pennsauken</v>
          </cell>
          <cell r="J245" t="str">
            <v>NJ</v>
          </cell>
          <cell r="K245" t="str">
            <v>08110</v>
          </cell>
          <cell r="L245" t="str">
            <v>United States</v>
          </cell>
          <cell r="M245" t="str">
            <v>Philadelphia-Camden-Wilmington, PA-NJ-DE-MD</v>
          </cell>
          <cell r="N245">
            <v>30688</v>
          </cell>
          <cell r="O245">
            <v>2</v>
          </cell>
          <cell r="P245" t="str">
            <v>Single Asset</v>
          </cell>
          <cell r="Q245" t="str">
            <v>Property - Private Equity</v>
          </cell>
          <cell r="R245" t="str">
            <v>Industrial</v>
          </cell>
          <cell r="S245" t="str">
            <v>Warehouse</v>
          </cell>
          <cell r="T245">
            <v>1973</v>
          </cell>
          <cell r="U245" t="str">
            <v>Sq. Feet</v>
          </cell>
          <cell r="V245" t="str">
            <v>Value-Add</v>
          </cell>
          <cell r="W245" t="str">
            <v>Industrial / Logistics</v>
          </cell>
          <cell r="X245" t="str">
            <v>Common Equity</v>
          </cell>
          <cell r="Y245">
            <v>175560</v>
          </cell>
          <cell r="Z245">
            <v>525432</v>
          </cell>
          <cell r="AA245">
            <v>1872549</v>
          </cell>
          <cell r="AB245">
            <v>9.3754555955545091E-2</v>
          </cell>
          <cell r="AC245">
            <v>135000</v>
          </cell>
          <cell r="AD245">
            <v>0.10384615384615385</v>
          </cell>
          <cell r="AE245">
            <v>0.06</v>
          </cell>
          <cell r="AF245">
            <v>0.188</v>
          </cell>
          <cell r="AG245">
            <v>3.21</v>
          </cell>
          <cell r="AH245">
            <v>0.1515</v>
          </cell>
          <cell r="AI245">
            <v>3.1</v>
          </cell>
          <cell r="AJ245">
            <v>0.13677434874829508</v>
          </cell>
          <cell r="AK245">
            <v>0.20852146710175634</v>
          </cell>
          <cell r="AL245">
            <v>2.6322516135252649</v>
          </cell>
          <cell r="AM245">
            <v>0.10315832504733069</v>
          </cell>
          <cell r="AN245">
            <v>0.16812388202650741</v>
          </cell>
          <cell r="AO245">
            <v>2.2349945098531179</v>
          </cell>
          <cell r="AP245" t="str">
            <v>Unsolicited \ Off-market</v>
          </cell>
          <cell r="AQ245" t="str">
            <v>Rent Optimization</v>
          </cell>
          <cell r="AR245" t="str">
            <v>Leasing Strategy</v>
          </cell>
          <cell r="AS245">
            <v>44399</v>
          </cell>
          <cell r="AT245">
            <v>1300000</v>
          </cell>
          <cell r="AU245">
            <v>1347117</v>
          </cell>
          <cell r="AV245">
            <v>80388</v>
          </cell>
          <cell r="AW245">
            <v>80389</v>
          </cell>
          <cell r="AX245">
            <v>6.1836923076923074E-2</v>
          </cell>
          <cell r="AY245">
            <v>6.1837692307692309E-2</v>
          </cell>
          <cell r="AZ245">
            <v>0</v>
          </cell>
          <cell r="BA245">
            <v>0</v>
          </cell>
          <cell r="BB245">
            <v>0</v>
          </cell>
          <cell r="BC245">
            <v>1</v>
          </cell>
          <cell r="BD245">
            <v>0</v>
          </cell>
          <cell r="BE245">
            <v>34042.699999999997</v>
          </cell>
          <cell r="BF245">
            <v>16956.959999999992</v>
          </cell>
          <cell r="BG245">
            <v>275516.63</v>
          </cell>
          <cell r="BH245">
            <v>275516.63</v>
          </cell>
          <cell r="BI245">
            <v>-20267.440000000002</v>
          </cell>
          <cell r="BJ245">
            <v>1903401.75</v>
          </cell>
        </row>
        <row r="246">
          <cell r="B246" t="str">
            <v>xtn225bo</v>
          </cell>
          <cell r="C246" t="str">
            <v>225 Bobrick Drive</v>
          </cell>
          <cell r="D246" t="str">
            <v>Unrealized</v>
          </cell>
          <cell r="E246" t="str">
            <v>Logistic Fund II</v>
          </cell>
          <cell r="F246" t="str">
            <v>USD</v>
          </cell>
          <cell r="G246" t="str">
            <v>Last Mile</v>
          </cell>
          <cell r="H246" t="str">
            <v>Memphis</v>
          </cell>
          <cell r="I246" t="str">
            <v>Jackson</v>
          </cell>
          <cell r="J246" t="str">
            <v>TN</v>
          </cell>
          <cell r="K246">
            <v>38301</v>
          </cell>
          <cell r="L246" t="str">
            <v>United States</v>
          </cell>
          <cell r="M246" t="str">
            <v>Jackson, TN</v>
          </cell>
          <cell r="N246">
            <v>100000</v>
          </cell>
          <cell r="O246">
            <v>1</v>
          </cell>
          <cell r="P246" t="str">
            <v>Portfolio</v>
          </cell>
          <cell r="Q246" t="str">
            <v>Property - Private Equity</v>
          </cell>
          <cell r="R246" t="str">
            <v>Industrial</v>
          </cell>
          <cell r="S246" t="str">
            <v>Warehouse</v>
          </cell>
          <cell r="T246">
            <v>1989</v>
          </cell>
          <cell r="U246" t="str">
            <v>Sq. Feet</v>
          </cell>
          <cell r="V246" t="str">
            <v>Value-Add</v>
          </cell>
          <cell r="W246" t="str">
            <v>Industrial / Logistics</v>
          </cell>
          <cell r="X246" t="str">
            <v>Common Equity</v>
          </cell>
          <cell r="Y246">
            <v>311916</v>
          </cell>
          <cell r="Z246">
            <v>425120</v>
          </cell>
          <cell r="AA246">
            <v>3184954</v>
          </cell>
          <cell r="AB246">
            <v>9.7934224481735055E-2</v>
          </cell>
          <cell r="AC246">
            <v>262000</v>
          </cell>
          <cell r="AD246">
            <v>9.607627429409607E-2</v>
          </cell>
          <cell r="AE246">
            <v>6.5000000000000002E-2</v>
          </cell>
          <cell r="AF246">
            <v>0.1699</v>
          </cell>
          <cell r="AG246">
            <v>2.33</v>
          </cell>
          <cell r="AH246">
            <v>0.1318</v>
          </cell>
          <cell r="AI246">
            <v>2.2200000000000002</v>
          </cell>
          <cell r="AJ246">
            <v>0.14418292186180204</v>
          </cell>
          <cell r="AK246">
            <v>0.22812729580829827</v>
          </cell>
          <cell r="AL246">
            <v>2.7396039583225069</v>
          </cell>
          <cell r="AM246">
            <v>0.10953136596403179</v>
          </cell>
          <cell r="AN246">
            <v>0.18582389767683627</v>
          </cell>
          <cell r="AO246">
            <v>2.3186924292523745</v>
          </cell>
          <cell r="AP246" t="str">
            <v>Unsolicited \ Off-market</v>
          </cell>
          <cell r="AQ246" t="str">
            <v>Rent Optimization</v>
          </cell>
          <cell r="AR246" t="str">
            <v>Leasing Strategy</v>
          </cell>
          <cell r="AS246">
            <v>44407</v>
          </cell>
          <cell r="AT246">
            <v>2727000</v>
          </cell>
          <cell r="AU246">
            <v>2759834</v>
          </cell>
          <cell r="AV246">
            <v>224424</v>
          </cell>
          <cell r="AW246">
            <v>113378</v>
          </cell>
          <cell r="AX246">
            <v>8.2297029702970301E-2</v>
          </cell>
          <cell r="AY246">
            <v>4.1576090942427577E-2</v>
          </cell>
          <cell r="AZ246">
            <v>2.2443599999999999</v>
          </cell>
          <cell r="BA246">
            <v>1</v>
          </cell>
          <cell r="BB246">
            <v>1.64114520549</v>
          </cell>
          <cell r="BC246">
            <v>1</v>
          </cell>
          <cell r="BD246">
            <v>0</v>
          </cell>
          <cell r="BE246">
            <v>59909.979999999996</v>
          </cell>
          <cell r="BF246">
            <v>269040.96999999997</v>
          </cell>
          <cell r="BG246">
            <v>288285.27999999997</v>
          </cell>
          <cell r="BH246">
            <v>288285.27999999997</v>
          </cell>
          <cell r="BI246">
            <v>343078.84</v>
          </cell>
          <cell r="BJ246">
            <v>2985754.43</v>
          </cell>
        </row>
        <row r="247">
          <cell r="B247" t="str">
            <v>xtn187bo</v>
          </cell>
          <cell r="C247" t="str">
            <v>187 Bobrick Drive</v>
          </cell>
          <cell r="D247" t="str">
            <v>Unrealized</v>
          </cell>
          <cell r="E247" t="str">
            <v>Logistic Fund II</v>
          </cell>
          <cell r="F247" t="str">
            <v>USD</v>
          </cell>
          <cell r="G247" t="str">
            <v>Last Mile</v>
          </cell>
          <cell r="H247" t="str">
            <v>Memphis</v>
          </cell>
          <cell r="I247" t="str">
            <v>Jackson</v>
          </cell>
          <cell r="J247" t="str">
            <v>TN</v>
          </cell>
          <cell r="K247">
            <v>38301</v>
          </cell>
          <cell r="L247" t="str">
            <v>United States</v>
          </cell>
          <cell r="M247" t="str">
            <v>Jackson, TN</v>
          </cell>
          <cell r="N247">
            <v>120000</v>
          </cell>
          <cell r="O247">
            <v>1</v>
          </cell>
          <cell r="P247" t="str">
            <v>Portfolio</v>
          </cell>
          <cell r="Q247" t="str">
            <v>Property - Private Equity</v>
          </cell>
          <cell r="R247" t="str">
            <v>Industrial</v>
          </cell>
          <cell r="S247" t="str">
            <v>Warehouse</v>
          </cell>
          <cell r="T247">
            <v>1998</v>
          </cell>
          <cell r="U247" t="str">
            <v>Sq. Feet</v>
          </cell>
          <cell r="V247" t="str">
            <v>Value-Add</v>
          </cell>
          <cell r="W247" t="str">
            <v>Industrial / Logistics</v>
          </cell>
          <cell r="X247" t="str">
            <v>Common Equity</v>
          </cell>
          <cell r="Y247">
            <v>325644</v>
          </cell>
          <cell r="Z247">
            <v>546676</v>
          </cell>
          <cell r="AA247">
            <v>4676419</v>
          </cell>
          <cell r="AB247">
            <v>6.9635334216202605E-2</v>
          </cell>
          <cell r="AC247">
            <v>276000</v>
          </cell>
          <cell r="AD247">
            <v>6.7473414008067473E-2</v>
          </cell>
          <cell r="AE247">
            <v>6.5000000000000002E-2</v>
          </cell>
          <cell r="AF247">
            <v>0.1699</v>
          </cell>
          <cell r="AG247">
            <v>2.33</v>
          </cell>
          <cell r="AH247">
            <v>0.1318</v>
          </cell>
          <cell r="AI247">
            <v>2.2200000000000002</v>
          </cell>
          <cell r="AJ247">
            <v>7.6243704506873788E-2</v>
          </cell>
          <cell r="AK247">
            <v>0.10384132348747555</v>
          </cell>
          <cell r="AL247">
            <v>1.5970199978917823</v>
          </cell>
          <cell r="AM247">
            <v>4.9289324920208211E-2</v>
          </cell>
          <cell r="AN247">
            <v>7.2640309480531906E-2</v>
          </cell>
          <cell r="AO247">
            <v>1.4040108621506235</v>
          </cell>
          <cell r="AP247" t="str">
            <v>Unsolicited \ Off-market</v>
          </cell>
          <cell r="AQ247" t="str">
            <v>Renewal / Re-tenant</v>
          </cell>
          <cell r="AR247" t="str">
            <v>Leasing Strategy</v>
          </cell>
          <cell r="AS247">
            <v>44407</v>
          </cell>
          <cell r="AT247">
            <v>4090500</v>
          </cell>
          <cell r="AU247">
            <v>4129743</v>
          </cell>
          <cell r="AV247">
            <v>270000</v>
          </cell>
          <cell r="AW247">
            <v>270000</v>
          </cell>
          <cell r="AX247">
            <v>6.6006600660066E-2</v>
          </cell>
          <cell r="AY247">
            <v>6.6006600660066E-2</v>
          </cell>
          <cell r="AZ247">
            <v>2.25</v>
          </cell>
          <cell r="BA247">
            <v>1</v>
          </cell>
          <cell r="BB247">
            <v>2.6712328767083302</v>
          </cell>
          <cell r="BC247">
            <v>1</v>
          </cell>
          <cell r="BD247">
            <v>0</v>
          </cell>
          <cell r="BE247">
            <v>106145.15</v>
          </cell>
          <cell r="BF247">
            <v>284052.58999999997</v>
          </cell>
          <cell r="BG247">
            <v>304918.29000000004</v>
          </cell>
          <cell r="BH247">
            <v>304918.29000000004</v>
          </cell>
          <cell r="BI247">
            <v>286635.07</v>
          </cell>
          <cell r="BJ247">
            <v>4145430.33</v>
          </cell>
        </row>
        <row r="248">
          <cell r="B248" t="str">
            <v>xpa1peae</v>
          </cell>
          <cell r="C248" t="str">
            <v>1 Pearl Buck Court</v>
          </cell>
          <cell r="D248" t="str">
            <v>Unrealized</v>
          </cell>
          <cell r="E248" t="str">
            <v>Logistic Fund II</v>
          </cell>
          <cell r="F248" t="str">
            <v>USD</v>
          </cell>
          <cell r="G248" t="str">
            <v>Last Mile</v>
          </cell>
          <cell r="H248" t="str">
            <v>Philadelphia</v>
          </cell>
          <cell r="I248" t="str">
            <v>Bristol</v>
          </cell>
          <cell r="J248" t="str">
            <v>PA</v>
          </cell>
          <cell r="K248">
            <v>19007</v>
          </cell>
          <cell r="L248" t="str">
            <v>United States</v>
          </cell>
          <cell r="M248" t="str">
            <v>Philadelphia-Camden-Wilmington, PA-NJ-DE-MD</v>
          </cell>
          <cell r="N248">
            <v>24111</v>
          </cell>
          <cell r="O248">
            <v>1</v>
          </cell>
          <cell r="P248" t="str">
            <v>Single Asset</v>
          </cell>
          <cell r="Q248" t="str">
            <v>Property - Private Equity</v>
          </cell>
          <cell r="R248" t="str">
            <v>Industrial</v>
          </cell>
          <cell r="S248" t="str">
            <v>Warehouse</v>
          </cell>
          <cell r="T248">
            <v>1989</v>
          </cell>
          <cell r="U248" t="str">
            <v>Sq. Feet</v>
          </cell>
          <cell r="V248" t="str">
            <v>Value-Add</v>
          </cell>
          <cell r="W248" t="str">
            <v>Industrial / Logistics</v>
          </cell>
          <cell r="X248" t="str">
            <v>Common Equity</v>
          </cell>
          <cell r="Y248">
            <v>217836</v>
          </cell>
          <cell r="Z248">
            <v>219131</v>
          </cell>
          <cell r="AA248">
            <v>2755204</v>
          </cell>
          <cell r="AB248">
            <v>7.9063474065804204E-2</v>
          </cell>
          <cell r="AC248">
            <v>172187.5</v>
          </cell>
          <cell r="AD248">
            <v>6.9902482611408578E-2</v>
          </cell>
          <cell r="AE248">
            <v>6.25E-2</v>
          </cell>
          <cell r="AF248">
            <v>0.16669999999999999</v>
          </cell>
          <cell r="AG248">
            <v>2.1800000000000002</v>
          </cell>
          <cell r="AH248">
            <v>0.12759999999999999</v>
          </cell>
          <cell r="AI248">
            <v>2.0699999999999998</v>
          </cell>
          <cell r="AJ248">
            <v>0.10381066729739818</v>
          </cell>
          <cell r="AK248">
            <v>0.15749365265647386</v>
          </cell>
          <cell r="AL248">
            <v>2.0381532739745207</v>
          </cell>
          <cell r="AM248">
            <v>7.3572256669008462E-2</v>
          </cell>
          <cell r="AN248">
            <v>0.1209502905549118</v>
          </cell>
          <cell r="AO248">
            <v>1.7568441625989306</v>
          </cell>
          <cell r="AP248" t="str">
            <v>Soft marketed</v>
          </cell>
          <cell r="AQ248" t="str">
            <v>Renewal / Re-tenant</v>
          </cell>
          <cell r="AR248" t="str">
            <v>Leasing Strategy</v>
          </cell>
          <cell r="AS248">
            <v>44412</v>
          </cell>
          <cell r="AT248">
            <v>2463253</v>
          </cell>
          <cell r="AU248">
            <v>2536073</v>
          </cell>
          <cell r="AV248">
            <v>168612</v>
          </cell>
          <cell r="AW248">
            <v>171101</v>
          </cell>
          <cell r="AX248">
            <v>6.8450946776478103E-2</v>
          </cell>
          <cell r="AY248">
            <v>6.9461399214778188E-2</v>
          </cell>
          <cell r="AZ248">
            <v>8.1968437894736805</v>
          </cell>
          <cell r="BA248">
            <v>1</v>
          </cell>
          <cell r="BB248">
            <v>2.6786439797894701</v>
          </cell>
          <cell r="BC248">
            <v>1</v>
          </cell>
          <cell r="BD248">
            <v>0</v>
          </cell>
          <cell r="BE248">
            <v>70202.12000000001</v>
          </cell>
          <cell r="BF248">
            <v>120659.15000000004</v>
          </cell>
          <cell r="BG248">
            <v>201025.78999999998</v>
          </cell>
          <cell r="BH248">
            <v>201025.78999999998</v>
          </cell>
          <cell r="BI248">
            <v>198466.07</v>
          </cell>
          <cell r="BJ248">
            <v>2567966.38</v>
          </cell>
        </row>
        <row r="249">
          <cell r="B249" t="str">
            <v>xil305e</v>
          </cell>
          <cell r="C249" t="str">
            <v>305 E North Ave</v>
          </cell>
          <cell r="D249" t="str">
            <v>Unrealized</v>
          </cell>
          <cell r="E249" t="str">
            <v>Logistic Fund II</v>
          </cell>
          <cell r="F249" t="str">
            <v>USD</v>
          </cell>
          <cell r="G249" t="str">
            <v>Last Mile</v>
          </cell>
          <cell r="H249" t="str">
            <v>Chicago</v>
          </cell>
          <cell r="I249" t="str">
            <v>Carol Stream</v>
          </cell>
          <cell r="J249" t="str">
            <v>IL</v>
          </cell>
          <cell r="K249">
            <v>60188</v>
          </cell>
          <cell r="L249" t="str">
            <v>United States</v>
          </cell>
          <cell r="M249" t="str">
            <v>Chicago-Naperville-Elgin, IL-IN-WI</v>
          </cell>
          <cell r="N249">
            <v>50443</v>
          </cell>
          <cell r="O249">
            <v>1</v>
          </cell>
          <cell r="P249" t="str">
            <v>Portfolio</v>
          </cell>
          <cell r="Q249" t="str">
            <v>Property - Private Equity</v>
          </cell>
          <cell r="R249" t="str">
            <v>Industrial</v>
          </cell>
          <cell r="S249" t="str">
            <v>Warehouse</v>
          </cell>
          <cell r="T249">
            <v>1999</v>
          </cell>
          <cell r="U249" t="str">
            <v>Sq. Feet</v>
          </cell>
          <cell r="V249" t="str">
            <v>Value-Add</v>
          </cell>
          <cell r="W249" t="str">
            <v>Industrial / Logistics</v>
          </cell>
          <cell r="X249" t="str">
            <v>Common Equity</v>
          </cell>
          <cell r="Y249">
            <v>377136</v>
          </cell>
          <cell r="Z249">
            <v>593208</v>
          </cell>
          <cell r="AA249">
            <v>5882126</v>
          </cell>
          <cell r="AB249">
            <v>6.4115593579600297E-2</v>
          </cell>
          <cell r="AC249">
            <v>318557.33</v>
          </cell>
          <cell r="AD249">
            <v>6.0677586666666672E-2</v>
          </cell>
          <cell r="AE249">
            <v>0.05</v>
          </cell>
          <cell r="AF249">
            <v>0.14460000000000001</v>
          </cell>
          <cell r="AG249">
            <v>1.98</v>
          </cell>
          <cell r="AH249">
            <v>0.1076</v>
          </cell>
          <cell r="AI249">
            <v>1.87</v>
          </cell>
          <cell r="AJ249">
            <v>9.7400359899297184E-2</v>
          </cell>
          <cell r="AK249">
            <v>0.14247196255500083</v>
          </cell>
          <cell r="AL249">
            <v>1.9579415160596338</v>
          </cell>
          <cell r="AM249">
            <v>6.824043061653029E-2</v>
          </cell>
          <cell r="AN249">
            <v>0.1080000319366341</v>
          </cell>
          <cell r="AO249">
            <v>1.6937670396488163</v>
          </cell>
          <cell r="AP249" t="str">
            <v>Market deal</v>
          </cell>
          <cell r="AQ249" t="str">
            <v>Rent Optimization</v>
          </cell>
          <cell r="AR249" t="str">
            <v>Leasing Strategy</v>
          </cell>
          <cell r="AS249">
            <v>44412</v>
          </cell>
          <cell r="AT249">
            <v>5250000</v>
          </cell>
          <cell r="AU249">
            <v>5288918</v>
          </cell>
          <cell r="AV249">
            <v>293508</v>
          </cell>
          <cell r="AW249">
            <v>294452</v>
          </cell>
          <cell r="AX249">
            <v>5.5906285714285714E-2</v>
          </cell>
          <cell r="AY249">
            <v>5.608609523809524E-2</v>
          </cell>
          <cell r="AZ249">
            <v>5.7913503569357498</v>
          </cell>
          <cell r="BA249">
            <v>1</v>
          </cell>
          <cell r="BB249">
            <v>2.66037883043052</v>
          </cell>
          <cell r="BC249">
            <v>1</v>
          </cell>
          <cell r="BD249">
            <v>0</v>
          </cell>
          <cell r="BE249">
            <v>102887.97</v>
          </cell>
          <cell r="BF249">
            <v>298156.81</v>
          </cell>
          <cell r="BG249">
            <v>259918.19000000003</v>
          </cell>
          <cell r="BH249">
            <v>259918.19000000003</v>
          </cell>
          <cell r="BI249">
            <v>405597.28</v>
          </cell>
          <cell r="BJ249">
            <v>5603142.3399999999</v>
          </cell>
        </row>
        <row r="250">
          <cell r="B250" t="str">
            <v>xil1terr</v>
          </cell>
          <cell r="C250" t="str">
            <v>1 Territorial Court</v>
          </cell>
          <cell r="D250" t="str">
            <v>Unrealized</v>
          </cell>
          <cell r="E250" t="str">
            <v>Logistic Fund II</v>
          </cell>
          <cell r="F250" t="str">
            <v>USD</v>
          </cell>
          <cell r="G250" t="str">
            <v>Last Mile</v>
          </cell>
          <cell r="H250" t="str">
            <v>Chicago</v>
          </cell>
          <cell r="I250" t="str">
            <v>Bolingbrook</v>
          </cell>
          <cell r="J250" t="str">
            <v>IL</v>
          </cell>
          <cell r="K250">
            <v>60440</v>
          </cell>
          <cell r="L250" t="str">
            <v>United States</v>
          </cell>
          <cell r="M250" t="str">
            <v>Chicago-Naperville-Elgin, IL-IN-WI</v>
          </cell>
          <cell r="N250">
            <v>52403</v>
          </cell>
          <cell r="O250">
            <v>1</v>
          </cell>
          <cell r="P250" t="str">
            <v>Portfolio</v>
          </cell>
          <cell r="Q250" t="str">
            <v>Property - Private Equity</v>
          </cell>
          <cell r="R250" t="str">
            <v>Industrial</v>
          </cell>
          <cell r="S250" t="str">
            <v>Warehouse</v>
          </cell>
          <cell r="T250">
            <v>2005</v>
          </cell>
          <cell r="U250" t="str">
            <v>Sq. Feet</v>
          </cell>
          <cell r="V250" t="str">
            <v>Value-Add</v>
          </cell>
          <cell r="W250" t="str">
            <v>Industrial / Logistics</v>
          </cell>
          <cell r="X250" t="str">
            <v>Common Equity</v>
          </cell>
          <cell r="Y250">
            <v>402456</v>
          </cell>
          <cell r="Z250">
            <v>296615</v>
          </cell>
          <cell r="AA250">
            <v>6341093</v>
          </cell>
          <cell r="AB250">
            <v>6.3467922643619959E-2</v>
          </cell>
          <cell r="AC250">
            <v>347139</v>
          </cell>
          <cell r="AD250">
            <v>5.7856490357251607E-2</v>
          </cell>
          <cell r="AE250">
            <v>0.05</v>
          </cell>
          <cell r="AF250">
            <v>0.14460000000000001</v>
          </cell>
          <cell r="AG250">
            <v>1.98</v>
          </cell>
          <cell r="AH250">
            <v>0.1076</v>
          </cell>
          <cell r="AI250">
            <v>1.87</v>
          </cell>
          <cell r="AJ250">
            <v>0.10223116667448795</v>
          </cell>
          <cell r="AK250">
            <v>0.15402210650780401</v>
          </cell>
          <cell r="AL250">
            <v>2.0436260389152507</v>
          </cell>
          <cell r="AM250">
            <v>7.2258549693497098E-2</v>
          </cell>
          <cell r="AN250">
            <v>0.11793725404413347</v>
          </cell>
          <cell r="AO250">
            <v>1.7597121439003727</v>
          </cell>
          <cell r="AP250" t="str">
            <v>Market deal</v>
          </cell>
          <cell r="AQ250" t="str">
            <v>Renewal / Re-tenant</v>
          </cell>
          <cell r="AR250" t="str">
            <v>Leasing Strategy</v>
          </cell>
          <cell r="AS250">
            <v>44412</v>
          </cell>
          <cell r="AT250">
            <v>6000001</v>
          </cell>
          <cell r="AU250">
            <v>6044478</v>
          </cell>
          <cell r="AV250">
            <v>394488</v>
          </cell>
          <cell r="AW250">
            <v>398126</v>
          </cell>
          <cell r="AX250">
            <v>6.5747989042001825E-2</v>
          </cell>
          <cell r="AY250">
            <v>6.635432227427962E-2</v>
          </cell>
          <cell r="AZ250">
            <v>4.5191395530790226</v>
          </cell>
          <cell r="BA250">
            <v>1</v>
          </cell>
          <cell r="BB250">
            <v>3.5842076384367298</v>
          </cell>
          <cell r="BC250">
            <v>1</v>
          </cell>
          <cell r="BD250">
            <v>0</v>
          </cell>
          <cell r="BE250">
            <v>155697.12000000002</v>
          </cell>
          <cell r="BF250">
            <v>385357.83999999997</v>
          </cell>
          <cell r="BG250">
            <v>421148.79999999993</v>
          </cell>
          <cell r="BH250">
            <v>421148.79999999993</v>
          </cell>
          <cell r="BI250">
            <v>433364.48999999987</v>
          </cell>
          <cell r="BJ250">
            <v>6146486.0199999996</v>
          </cell>
        </row>
        <row r="251">
          <cell r="B251" t="str">
            <v>xil1601</v>
          </cell>
          <cell r="C251" t="str">
            <v>1601 Lunt Ave</v>
          </cell>
          <cell r="D251" t="str">
            <v>Unrealized</v>
          </cell>
          <cell r="E251" t="str">
            <v>Logistic Fund II</v>
          </cell>
          <cell r="F251" t="str">
            <v>USD</v>
          </cell>
          <cell r="G251" t="str">
            <v>Last Mile</v>
          </cell>
          <cell r="H251" t="str">
            <v>Chicago</v>
          </cell>
          <cell r="I251" t="str">
            <v>Elk Grove Village</v>
          </cell>
          <cell r="J251" t="str">
            <v>IL</v>
          </cell>
          <cell r="K251">
            <v>60007</v>
          </cell>
          <cell r="L251" t="str">
            <v>United States</v>
          </cell>
          <cell r="M251" t="str">
            <v>Chicago-Naperville-Elgin, IL-IN-WI</v>
          </cell>
          <cell r="N251">
            <v>63600</v>
          </cell>
          <cell r="O251">
            <v>1</v>
          </cell>
          <cell r="P251" t="str">
            <v>Portfolio</v>
          </cell>
          <cell r="Q251" t="str">
            <v>Property - Private Equity</v>
          </cell>
          <cell r="R251" t="str">
            <v>Industrial</v>
          </cell>
          <cell r="S251" t="str">
            <v>Warehouse</v>
          </cell>
          <cell r="T251">
            <v>1980</v>
          </cell>
          <cell r="U251" t="str">
            <v>Sq. Feet</v>
          </cell>
          <cell r="V251" t="str">
            <v>Value-Add</v>
          </cell>
          <cell r="W251" t="str">
            <v>Industrial / Logistics</v>
          </cell>
          <cell r="X251" t="str">
            <v>Common Equity</v>
          </cell>
          <cell r="Y251">
            <v>354624</v>
          </cell>
          <cell r="Z251">
            <v>84218</v>
          </cell>
          <cell r="AA251">
            <v>7136109</v>
          </cell>
          <cell r="AB251">
            <v>4.9694308200729558E-2</v>
          </cell>
          <cell r="AC251">
            <v>381600</v>
          </cell>
          <cell r="AD251">
            <v>5.4514277926531726E-2</v>
          </cell>
          <cell r="AE251">
            <v>0.05</v>
          </cell>
          <cell r="AF251">
            <v>0.14460000000000001</v>
          </cell>
          <cell r="AG251">
            <v>1.98</v>
          </cell>
          <cell r="AH251">
            <v>0.1076</v>
          </cell>
          <cell r="AI251">
            <v>1.87</v>
          </cell>
          <cell r="AJ251">
            <v>4.054199822706539E-2</v>
          </cell>
          <cell r="AK251">
            <v>2.6279852645143764E-2</v>
          </cell>
          <cell r="AL251">
            <v>1.1509999779411946</v>
          </cell>
          <cell r="AM251">
            <v>1.9567921633893093E-2</v>
          </cell>
          <cell r="AN251">
            <v>7.715144928767792E-3</v>
          </cell>
          <cell r="AO251">
            <v>1.044277476962528</v>
          </cell>
          <cell r="AP251" t="str">
            <v>Market deal</v>
          </cell>
          <cell r="AQ251" t="str">
            <v>Rent Optimization</v>
          </cell>
          <cell r="AR251" t="str">
            <v>Leasing Strategy</v>
          </cell>
          <cell r="AS251">
            <v>44412</v>
          </cell>
          <cell r="AT251">
            <v>7000001</v>
          </cell>
          <cell r="AU251">
            <v>7051891</v>
          </cell>
          <cell r="AV251">
            <v>267528</v>
          </cell>
          <cell r="AW251">
            <v>274944</v>
          </cell>
          <cell r="AX251">
            <v>3.8218280254531389E-2</v>
          </cell>
          <cell r="AY251">
            <v>3.9277708674613047E-2</v>
          </cell>
          <cell r="AZ251">
            <v>7.1171584905660303</v>
          </cell>
          <cell r="BA251">
            <v>1</v>
          </cell>
          <cell r="BB251">
            <v>7.2465753424685504</v>
          </cell>
          <cell r="BC251">
            <v>1</v>
          </cell>
          <cell r="BD251">
            <v>0</v>
          </cell>
          <cell r="BE251">
            <v>129339.82</v>
          </cell>
          <cell r="BF251">
            <v>313443.48999999993</v>
          </cell>
          <cell r="BG251">
            <v>345022.89999999997</v>
          </cell>
          <cell r="BH251">
            <v>345022.89999999997</v>
          </cell>
          <cell r="BI251">
            <v>359453.98000000004</v>
          </cell>
          <cell r="BJ251">
            <v>7075685.25</v>
          </cell>
        </row>
        <row r="252">
          <cell r="B252" t="str">
            <v>xil1688</v>
          </cell>
          <cell r="C252" t="str">
            <v>1688 Glen Ellyn Rd</v>
          </cell>
          <cell r="D252" t="str">
            <v>Unrealized</v>
          </cell>
          <cell r="E252" t="str">
            <v>Logistic Fund II</v>
          </cell>
          <cell r="F252" t="str">
            <v>USD</v>
          </cell>
          <cell r="G252" t="str">
            <v>Last Mile</v>
          </cell>
          <cell r="H252" t="str">
            <v>Chicago</v>
          </cell>
          <cell r="I252" t="str">
            <v>Glendale Heights</v>
          </cell>
          <cell r="J252" t="str">
            <v>IL</v>
          </cell>
          <cell r="K252">
            <v>60139</v>
          </cell>
          <cell r="L252" t="str">
            <v>United States</v>
          </cell>
          <cell r="M252" t="str">
            <v>Chicago-Naperville-Elgin, IL-IN-WI</v>
          </cell>
          <cell r="N252">
            <v>84804</v>
          </cell>
          <cell r="O252">
            <v>1</v>
          </cell>
          <cell r="P252" t="str">
            <v>Portfolio</v>
          </cell>
          <cell r="Q252" t="str">
            <v>Property - Private Equity</v>
          </cell>
          <cell r="R252" t="str">
            <v>Industrial</v>
          </cell>
          <cell r="S252" t="str">
            <v>Warehouse</v>
          </cell>
          <cell r="T252">
            <v>1988</v>
          </cell>
          <cell r="U252" t="str">
            <v>Sq. Feet</v>
          </cell>
          <cell r="V252" t="str">
            <v>Value-Add</v>
          </cell>
          <cell r="W252" t="str">
            <v>Industrial / Logistics</v>
          </cell>
          <cell r="X252" t="str">
            <v>Common Equity</v>
          </cell>
          <cell r="Y252">
            <v>442644</v>
          </cell>
          <cell r="Z252">
            <v>206958</v>
          </cell>
          <cell r="AA252">
            <v>7812925</v>
          </cell>
          <cell r="AB252">
            <v>5.6655349948962777E-2</v>
          </cell>
          <cell r="AC252">
            <v>434122.5</v>
          </cell>
          <cell r="AD252">
            <v>5.7499668874172183E-2</v>
          </cell>
          <cell r="AE252">
            <v>0.05</v>
          </cell>
          <cell r="AF252">
            <v>0.14460000000000001</v>
          </cell>
          <cell r="AG252">
            <v>1.98</v>
          </cell>
          <cell r="AH252">
            <v>0.1076</v>
          </cell>
          <cell r="AI252">
            <v>1.87</v>
          </cell>
          <cell r="AJ252">
            <v>6.8466289583790862E-2</v>
          </cell>
          <cell r="AK252">
            <v>8.6286719097937281E-2</v>
          </cell>
          <cell r="AL252">
            <v>1.5508702660678275</v>
          </cell>
          <cell r="AM252">
            <v>4.3270822762571104E-2</v>
          </cell>
          <cell r="AN252">
            <v>5.8645137337634878E-2</v>
          </cell>
          <cell r="AO252">
            <v>1.3646826498858737</v>
          </cell>
          <cell r="AP252" t="str">
            <v>Market deal</v>
          </cell>
          <cell r="AQ252" t="str">
            <v>Rent Optimization</v>
          </cell>
          <cell r="AR252" t="str">
            <v>Leasing Strategy</v>
          </cell>
          <cell r="AS252">
            <v>44412</v>
          </cell>
          <cell r="AT252">
            <v>7550000</v>
          </cell>
          <cell r="AU252">
            <v>7605967</v>
          </cell>
          <cell r="AV252">
            <v>367992</v>
          </cell>
          <cell r="AW252">
            <v>368611</v>
          </cell>
          <cell r="AX252">
            <v>4.8740662251655631E-2</v>
          </cell>
          <cell r="AY252">
            <v>4.8822649006622518E-2</v>
          </cell>
          <cell r="AZ252">
            <v>4.3681774444601604</v>
          </cell>
          <cell r="BA252">
            <v>1</v>
          </cell>
          <cell r="BB252">
            <v>2.9068493150676802</v>
          </cell>
          <cell r="BC252">
            <v>1</v>
          </cell>
          <cell r="BD252">
            <v>0</v>
          </cell>
          <cell r="BE252">
            <v>136570.81</v>
          </cell>
          <cell r="BF252">
            <v>368044.99</v>
          </cell>
          <cell r="BG252">
            <v>377985.83000000007</v>
          </cell>
          <cell r="BH252">
            <v>377985.83000000007</v>
          </cell>
          <cell r="BI252">
            <v>377329.85000000009</v>
          </cell>
          <cell r="BJ252">
            <v>7677150.5800000001</v>
          </cell>
        </row>
        <row r="253">
          <cell r="B253" t="str">
            <v>xil747</v>
          </cell>
          <cell r="C253" t="str">
            <v>747-777 Chase Ave</v>
          </cell>
          <cell r="D253" t="str">
            <v>Unrealized</v>
          </cell>
          <cell r="E253" t="str">
            <v>Logistic Fund II</v>
          </cell>
          <cell r="F253" t="str">
            <v>USD</v>
          </cell>
          <cell r="G253" t="str">
            <v>Last Mile</v>
          </cell>
          <cell r="H253" t="str">
            <v>Chicago</v>
          </cell>
          <cell r="I253" t="str">
            <v>Grove Village</v>
          </cell>
          <cell r="J253" t="str">
            <v>IL</v>
          </cell>
          <cell r="K253">
            <v>60007</v>
          </cell>
          <cell r="L253" t="str">
            <v>United States</v>
          </cell>
          <cell r="M253" t="str">
            <v>Chicago-Naperville-Elgin, IL-IN-WI</v>
          </cell>
          <cell r="N253">
            <v>123200</v>
          </cell>
          <cell r="O253">
            <v>1</v>
          </cell>
          <cell r="P253" t="str">
            <v>Portfolio</v>
          </cell>
          <cell r="Q253" t="str">
            <v>Property - Private Equity</v>
          </cell>
          <cell r="R253" t="str">
            <v>Industrial</v>
          </cell>
          <cell r="S253" t="str">
            <v>Warehouse</v>
          </cell>
          <cell r="T253">
            <v>1980</v>
          </cell>
          <cell r="U253" t="str">
            <v>Sq. Feet</v>
          </cell>
          <cell r="V253" t="str">
            <v>Value-Add</v>
          </cell>
          <cell r="W253" t="str">
            <v>Industrial / Logistics</v>
          </cell>
          <cell r="X253" t="str">
            <v>Common Equity</v>
          </cell>
          <cell r="Y253">
            <v>506628</v>
          </cell>
          <cell r="Z253">
            <v>151855</v>
          </cell>
          <cell r="AA253">
            <v>13709353</v>
          </cell>
          <cell r="AB253">
            <v>3.6954916836702649E-2</v>
          </cell>
          <cell r="AC253">
            <v>782320</v>
          </cell>
          <cell r="AD253">
            <v>5.794962533706479E-2</v>
          </cell>
          <cell r="AE253">
            <v>0.05</v>
          </cell>
          <cell r="AF253">
            <v>0.14460000000000001</v>
          </cell>
          <cell r="AG253">
            <v>1.98</v>
          </cell>
          <cell r="AH253">
            <v>0.1076</v>
          </cell>
          <cell r="AI253">
            <v>1.87</v>
          </cell>
          <cell r="AJ253">
            <v>-9.2639095375700586E-3</v>
          </cell>
          <cell r="AK253">
            <v>-0.11260289613637686</v>
          </cell>
          <cell r="AL253">
            <v>0.52787690939460208</v>
          </cell>
          <cell r="AM253">
            <v>-2.7464885587435539E-2</v>
          </cell>
          <cell r="AN253">
            <v>-0.13618705459568115</v>
          </cell>
          <cell r="AO253">
            <v>0.43227654786549607</v>
          </cell>
          <cell r="AP253" t="str">
            <v>Market deal</v>
          </cell>
          <cell r="AQ253" t="str">
            <v>Rent Optimization</v>
          </cell>
          <cell r="AR253" t="str">
            <v>Leasing Strategy</v>
          </cell>
          <cell r="AS253">
            <v>44412</v>
          </cell>
          <cell r="AT253">
            <v>13500001</v>
          </cell>
          <cell r="AU253">
            <v>13557498</v>
          </cell>
          <cell r="AV253">
            <v>453288</v>
          </cell>
          <cell r="AW253">
            <v>457595</v>
          </cell>
          <cell r="AX253">
            <v>3.3576886401712115E-2</v>
          </cell>
          <cell r="AY253">
            <v>3.3895923415116783E-2</v>
          </cell>
          <cell r="AZ253">
            <v>6.19038019480519</v>
          </cell>
          <cell r="BA253">
            <v>1</v>
          </cell>
          <cell r="BB253">
            <v>8.4986301369886306</v>
          </cell>
          <cell r="BC253">
            <v>1</v>
          </cell>
          <cell r="BD253">
            <v>0</v>
          </cell>
          <cell r="BE253">
            <v>136676.18</v>
          </cell>
          <cell r="BF253">
            <v>454647.11999999994</v>
          </cell>
          <cell r="BG253">
            <v>475352.4</v>
          </cell>
          <cell r="BH253">
            <v>475352.4</v>
          </cell>
          <cell r="BI253">
            <v>475869.03</v>
          </cell>
          <cell r="BJ253">
            <v>13582548</v>
          </cell>
        </row>
        <row r="254">
          <cell r="B254" t="str">
            <v>xil1111</v>
          </cell>
          <cell r="C254" t="str">
            <v>1111 Bowes Rd</v>
          </cell>
          <cell r="D254" t="str">
            <v>Unrealized</v>
          </cell>
          <cell r="E254" t="str">
            <v>Logistic Fund II</v>
          </cell>
          <cell r="F254" t="str">
            <v>USD</v>
          </cell>
          <cell r="G254" t="str">
            <v>Last Mile</v>
          </cell>
          <cell r="H254" t="str">
            <v>Chicago</v>
          </cell>
          <cell r="I254" t="str">
            <v>Elgin</v>
          </cell>
          <cell r="J254" t="str">
            <v>IL</v>
          </cell>
          <cell r="K254">
            <v>60123</v>
          </cell>
          <cell r="L254" t="str">
            <v>United States</v>
          </cell>
          <cell r="M254" t="str">
            <v>Chicago-Naperville-Elgin, IL-IN-WI</v>
          </cell>
          <cell r="N254">
            <v>144578</v>
          </cell>
          <cell r="O254">
            <v>1</v>
          </cell>
          <cell r="P254" t="str">
            <v>Portfolio</v>
          </cell>
          <cell r="Q254" t="str">
            <v>Property - Private Equity</v>
          </cell>
          <cell r="R254" t="str">
            <v>Industrial</v>
          </cell>
          <cell r="S254" t="str">
            <v>Warehouse</v>
          </cell>
          <cell r="T254">
            <v>1994</v>
          </cell>
          <cell r="U254" t="str">
            <v>Sq. Feet</v>
          </cell>
          <cell r="V254" t="str">
            <v>Value-Add</v>
          </cell>
          <cell r="W254" t="str">
            <v>Industrial / Logistics</v>
          </cell>
          <cell r="X254" t="str">
            <v>Common Equity</v>
          </cell>
          <cell r="Y254">
            <v>1025400</v>
          </cell>
          <cell r="Z254">
            <v>628492</v>
          </cell>
          <cell r="AA254">
            <v>14437054</v>
          </cell>
          <cell r="AB254">
            <v>7.1025570729319157E-2</v>
          </cell>
          <cell r="AC254">
            <v>864576.44</v>
          </cell>
          <cell r="AD254">
            <v>6.2878286545454548E-2</v>
          </cell>
          <cell r="AE254">
            <v>0.05</v>
          </cell>
          <cell r="AF254">
            <v>0.14460000000000001</v>
          </cell>
          <cell r="AG254">
            <v>1.98</v>
          </cell>
          <cell r="AH254">
            <v>0.1076</v>
          </cell>
          <cell r="AI254">
            <v>1.87</v>
          </cell>
          <cell r="AJ254">
            <v>0.12290674045023131</v>
          </cell>
          <cell r="AK254">
            <v>0.19154199912994985</v>
          </cell>
          <cell r="AL254">
            <v>2.382203590279194</v>
          </cell>
          <cell r="AM254">
            <v>9.0596605700483224E-2</v>
          </cell>
          <cell r="AN254">
            <v>0.15215358008333513</v>
          </cell>
          <cell r="AO254">
            <v>2.0318203929745957</v>
          </cell>
          <cell r="AP254" t="str">
            <v>Market deal</v>
          </cell>
          <cell r="AQ254" t="str">
            <v>Renewal / Re-tenant</v>
          </cell>
          <cell r="AR254" t="str">
            <v>Stabilised</v>
          </cell>
          <cell r="AS254">
            <v>44412</v>
          </cell>
          <cell r="AT254">
            <v>13750000</v>
          </cell>
          <cell r="AU254">
            <v>13808562</v>
          </cell>
          <cell r="AV254">
            <v>877596</v>
          </cell>
          <cell r="AW254">
            <v>889290</v>
          </cell>
          <cell r="AX254">
            <v>6.3825163636363633E-2</v>
          </cell>
          <cell r="AY254">
            <v>6.4675636363636366E-2</v>
          </cell>
          <cell r="AZ254">
            <v>6.07245168697865</v>
          </cell>
          <cell r="BA254">
            <v>1</v>
          </cell>
          <cell r="BB254">
            <v>5.65753424657278</v>
          </cell>
          <cell r="BC254">
            <v>1</v>
          </cell>
          <cell r="BD254">
            <v>0</v>
          </cell>
          <cell r="BE254">
            <v>349773.79</v>
          </cell>
          <cell r="BF254">
            <v>848409.73999999987</v>
          </cell>
          <cell r="BG254">
            <v>872527.83</v>
          </cell>
          <cell r="BH254">
            <v>872527.83</v>
          </cell>
          <cell r="BI254">
            <v>874375.83000000019</v>
          </cell>
          <cell r="BJ254">
            <v>13808562</v>
          </cell>
        </row>
        <row r="255">
          <cell r="B255" t="str">
            <v>xil1600</v>
          </cell>
          <cell r="C255" t="str">
            <v>1600 Hunter Rd</v>
          </cell>
          <cell r="D255" t="str">
            <v>Unrealized</v>
          </cell>
          <cell r="E255" t="str">
            <v>Logistic Fund II</v>
          </cell>
          <cell r="F255" t="str">
            <v>USD</v>
          </cell>
          <cell r="G255" t="str">
            <v>Last Mile</v>
          </cell>
          <cell r="H255" t="str">
            <v>Chicago</v>
          </cell>
          <cell r="I255" t="str">
            <v>Hanover Park</v>
          </cell>
          <cell r="J255" t="str">
            <v>IL</v>
          </cell>
          <cell r="K255">
            <v>60133</v>
          </cell>
          <cell r="L255" t="str">
            <v>United States</v>
          </cell>
          <cell r="M255" t="str">
            <v>Chicago-Naperville-Elgin, IL-IN-WI</v>
          </cell>
          <cell r="N255">
            <v>238423</v>
          </cell>
          <cell r="O255">
            <v>1</v>
          </cell>
          <cell r="P255" t="str">
            <v>Portfolio</v>
          </cell>
          <cell r="Q255" t="str">
            <v>Property - Private Equity</v>
          </cell>
          <cell r="R255" t="str">
            <v>Industrial</v>
          </cell>
          <cell r="S255" t="str">
            <v>Warehouse</v>
          </cell>
          <cell r="T255">
            <v>1996</v>
          </cell>
          <cell r="U255" t="str">
            <v>Sq. Feet</v>
          </cell>
          <cell r="V255" t="str">
            <v>Value-Add</v>
          </cell>
          <cell r="W255" t="str">
            <v>Industrial / Logistics</v>
          </cell>
          <cell r="X255" t="str">
            <v>Common Equity</v>
          </cell>
          <cell r="Y255">
            <v>1877328</v>
          </cell>
          <cell r="Z255">
            <v>2026794</v>
          </cell>
          <cell r="AA255">
            <v>25827734</v>
          </cell>
          <cell r="AB255">
            <v>7.2686515975423943E-2</v>
          </cell>
          <cell r="AC255">
            <v>1422038.04999999</v>
          </cell>
          <cell r="AD255">
            <v>6.0001602953518439E-2</v>
          </cell>
          <cell r="AE255">
            <v>0.05</v>
          </cell>
          <cell r="AF255">
            <v>0.14460000000000001</v>
          </cell>
          <cell r="AG255">
            <v>1.98</v>
          </cell>
          <cell r="AH255">
            <v>0.1076</v>
          </cell>
          <cell r="AI255">
            <v>1.87</v>
          </cell>
          <cell r="AJ255">
            <v>0.12611784427238937</v>
          </cell>
          <cell r="AK255">
            <v>0.1966689178610701</v>
          </cell>
          <cell r="AL255">
            <v>2.451996345972268</v>
          </cell>
          <cell r="AM255">
            <v>9.3402337135380264E-2</v>
          </cell>
          <cell r="AN255">
            <v>0.15670263336229162</v>
          </cell>
          <cell r="AO255">
            <v>2.0872256290670519</v>
          </cell>
          <cell r="AP255" t="str">
            <v>Market deal</v>
          </cell>
          <cell r="AQ255" t="str">
            <v>Renewal / Re-tenant</v>
          </cell>
          <cell r="AR255" t="str">
            <v>Leasing Strategy</v>
          </cell>
          <cell r="AS255">
            <v>44412</v>
          </cell>
          <cell r="AT255">
            <v>23700001</v>
          </cell>
          <cell r="AU255">
            <v>23800940</v>
          </cell>
          <cell r="AV255">
            <v>1543908</v>
          </cell>
          <cell r="AW255">
            <v>1569208</v>
          </cell>
          <cell r="AX255">
            <v>6.5143794719671105E-2</v>
          </cell>
          <cell r="AY255">
            <v>6.6211305223151676E-2</v>
          </cell>
          <cell r="AZ255">
            <v>6.3499997902886802</v>
          </cell>
          <cell r="BA255">
            <v>1</v>
          </cell>
          <cell r="BB255">
            <v>4.3260273972603303</v>
          </cell>
          <cell r="BC255">
            <v>1</v>
          </cell>
          <cell r="BD255">
            <v>0</v>
          </cell>
          <cell r="BE255">
            <v>585023.12</v>
          </cell>
          <cell r="BF255">
            <v>1474890.52</v>
          </cell>
          <cell r="BG255">
            <v>1505457.24</v>
          </cell>
          <cell r="BH255">
            <v>1505457.24</v>
          </cell>
          <cell r="BI255">
            <v>1502385.9300000002</v>
          </cell>
          <cell r="BJ255">
            <v>24424271.550000001</v>
          </cell>
        </row>
        <row r="256">
          <cell r="B256" t="str">
            <v>xnj7550</v>
          </cell>
          <cell r="C256" t="str">
            <v>7550 North Crescent Boulevard</v>
          </cell>
          <cell r="D256" t="str">
            <v>Unrealized</v>
          </cell>
          <cell r="E256" t="str">
            <v>Logistic Fund II</v>
          </cell>
          <cell r="F256" t="str">
            <v>USD</v>
          </cell>
          <cell r="G256" t="str">
            <v>Last Mile</v>
          </cell>
          <cell r="H256" t="str">
            <v>Philadelphia</v>
          </cell>
          <cell r="I256" t="str">
            <v>Pennsauken</v>
          </cell>
          <cell r="J256" t="str">
            <v>NJ</v>
          </cell>
          <cell r="K256" t="str">
            <v>08109</v>
          </cell>
          <cell r="L256" t="str">
            <v>United States</v>
          </cell>
          <cell r="M256" t="str">
            <v>Philadelphia-Camden-Wilmington, PA-NJ-DE-MD</v>
          </cell>
          <cell r="N256">
            <v>22000</v>
          </cell>
          <cell r="O256">
            <v>1</v>
          </cell>
          <cell r="P256" t="str">
            <v>Single Asset</v>
          </cell>
          <cell r="Q256" t="str">
            <v>Property - Private Equity</v>
          </cell>
          <cell r="R256" t="str">
            <v>Industrial</v>
          </cell>
          <cell r="S256" t="str">
            <v>Warehouse</v>
          </cell>
          <cell r="T256">
            <v>1963</v>
          </cell>
          <cell r="U256" t="str">
            <v>Sq. Feet</v>
          </cell>
          <cell r="V256" t="str">
            <v>Value-Add</v>
          </cell>
          <cell r="W256" t="str">
            <v>Industrial / Logistics</v>
          </cell>
          <cell r="X256" t="str">
            <v>Common Equity</v>
          </cell>
          <cell r="Y256">
            <v>169248</v>
          </cell>
          <cell r="Z256">
            <v>419149</v>
          </cell>
          <cell r="AA256">
            <v>2232770</v>
          </cell>
          <cell r="AB256">
            <v>7.580180672438272E-2</v>
          </cell>
          <cell r="AC256">
            <v>135342</v>
          </cell>
          <cell r="AD256">
            <v>7.733832990761709E-2</v>
          </cell>
          <cell r="AE256">
            <v>6.5000000000000002E-2</v>
          </cell>
          <cell r="AF256">
            <v>0.17469999999999999</v>
          </cell>
          <cell r="AG256">
            <v>2.14</v>
          </cell>
          <cell r="AH256">
            <v>0.13320000000000001</v>
          </cell>
          <cell r="AI256">
            <v>2.04</v>
          </cell>
          <cell r="AJ256">
            <v>0.10271750295621374</v>
          </cell>
          <cell r="AK256">
            <v>0.15840446507096861</v>
          </cell>
          <cell r="AL256">
            <v>1.8560012270583244</v>
          </cell>
          <cell r="AM256">
            <v>7.2015653049514849E-2</v>
          </cell>
          <cell r="AN256">
            <v>0.12073150015345946</v>
          </cell>
          <cell r="AO256">
            <v>1.6188408179627631</v>
          </cell>
          <cell r="AP256" t="str">
            <v>Unsolicited \ Off-market</v>
          </cell>
          <cell r="AQ256" t="str">
            <v>Renewal / Re-tenant</v>
          </cell>
          <cell r="AR256" t="str">
            <v>Stabilised</v>
          </cell>
          <cell r="AS256">
            <v>44414</v>
          </cell>
          <cell r="AT256">
            <v>1749999</v>
          </cell>
          <cell r="AU256">
            <v>1813621</v>
          </cell>
          <cell r="AV256">
            <v>140052</v>
          </cell>
          <cell r="AW256">
            <v>140014</v>
          </cell>
          <cell r="AX256">
            <v>8.0029760017005722E-2</v>
          </cell>
          <cell r="AY256">
            <v>8.0008045718883272E-2</v>
          </cell>
          <cell r="AZ256">
            <v>7.0909090909090899</v>
          </cell>
          <cell r="BA256">
            <v>1</v>
          </cell>
          <cell r="BB256">
            <v>4.6547945205454502</v>
          </cell>
          <cell r="BC256">
            <v>1</v>
          </cell>
          <cell r="BD256">
            <v>0</v>
          </cell>
          <cell r="BE256">
            <v>58842.639999999992</v>
          </cell>
          <cell r="BF256">
            <v>127338.66999999998</v>
          </cell>
          <cell r="BG256">
            <v>536692.52000000014</v>
          </cell>
          <cell r="BH256">
            <v>536692.52000000014</v>
          </cell>
          <cell r="BI256">
            <v>118389.9</v>
          </cell>
          <cell r="BJ256">
            <v>2514718.21</v>
          </cell>
        </row>
        <row r="257">
          <cell r="B257" t="str">
            <v>xga130j</v>
          </cell>
          <cell r="C257" t="str">
            <v>130 James Aldredge Boulevard</v>
          </cell>
          <cell r="D257" t="str">
            <v>Unrealized</v>
          </cell>
          <cell r="E257" t="str">
            <v>Logistic Fund II</v>
          </cell>
          <cell r="F257" t="str">
            <v>USD</v>
          </cell>
          <cell r="G257" t="str">
            <v>Last Mile</v>
          </cell>
          <cell r="H257" t="str">
            <v>Atlanta</v>
          </cell>
          <cell r="I257" t="str">
            <v>Atlanta</v>
          </cell>
          <cell r="J257" t="str">
            <v>GA</v>
          </cell>
          <cell r="K257">
            <v>30336</v>
          </cell>
          <cell r="L257" t="str">
            <v>United States</v>
          </cell>
          <cell r="M257" t="str">
            <v>Atlanta-Sandy Springs-Roswell, GA</v>
          </cell>
          <cell r="N257">
            <v>38164</v>
          </cell>
          <cell r="O257">
            <v>1</v>
          </cell>
          <cell r="P257" t="str">
            <v>Single Asset</v>
          </cell>
          <cell r="Q257" t="str">
            <v>Property - Private Equity</v>
          </cell>
          <cell r="R257" t="str">
            <v>Industrial</v>
          </cell>
          <cell r="S257" t="str">
            <v>Warehouse</v>
          </cell>
          <cell r="T257">
            <v>1972</v>
          </cell>
          <cell r="U257" t="str">
            <v>Sq. Feet</v>
          </cell>
          <cell r="V257" t="str">
            <v>Value-Add</v>
          </cell>
          <cell r="W257" t="str">
            <v>Industrial / Logistics</v>
          </cell>
          <cell r="X257" t="str">
            <v>Common Equity</v>
          </cell>
          <cell r="Y257">
            <v>168432</v>
          </cell>
          <cell r="Z257">
            <v>295625</v>
          </cell>
          <cell r="AA257">
            <v>1923138</v>
          </cell>
          <cell r="AB257">
            <v>8.7581858400177209E-2</v>
          </cell>
          <cell r="AC257">
            <v>140000</v>
          </cell>
          <cell r="AD257">
            <v>8.7499999999999994E-2</v>
          </cell>
          <cell r="AE257">
            <v>5.5E-2</v>
          </cell>
          <cell r="AF257">
            <v>0.23799999999999999</v>
          </cell>
          <cell r="AG257">
            <v>3.33</v>
          </cell>
          <cell r="AH257">
            <v>0.1951</v>
          </cell>
          <cell r="AI257">
            <v>3.22</v>
          </cell>
          <cell r="AJ257">
            <v>0.15149802869919937</v>
          </cell>
          <cell r="AK257">
            <v>0.23588682099542435</v>
          </cell>
          <cell r="AL257">
            <v>2.8831285953225421</v>
          </cell>
          <cell r="AM257">
            <v>0.11645651354623743</v>
          </cell>
          <cell r="AN257">
            <v>0.19375083943661053</v>
          </cell>
          <cell r="AO257">
            <v>2.4355352570001418</v>
          </cell>
          <cell r="AP257" t="str">
            <v>Unsolicited \ Off-market</v>
          </cell>
          <cell r="AQ257" t="str">
            <v>Lease-up</v>
          </cell>
          <cell r="AR257" t="str">
            <v>Leasing Strategy</v>
          </cell>
          <cell r="AS257">
            <v>44418</v>
          </cell>
          <cell r="AT257">
            <v>1600000</v>
          </cell>
          <cell r="AU257">
            <v>1627513</v>
          </cell>
          <cell r="AV257">
            <v>-35832</v>
          </cell>
          <cell r="AW257">
            <v>54186</v>
          </cell>
          <cell r="AX257">
            <v>-2.2395000000000002E-2</v>
          </cell>
          <cell r="AY257">
            <v>3.3866250000000001E-2</v>
          </cell>
          <cell r="AZ257">
            <v>0</v>
          </cell>
          <cell r="BA257">
            <v>0</v>
          </cell>
          <cell r="BB257">
            <v>0</v>
          </cell>
          <cell r="BC257">
            <v>1</v>
          </cell>
          <cell r="BD257">
            <v>0</v>
          </cell>
          <cell r="BE257">
            <v>-3185.9599999999964</v>
          </cell>
          <cell r="BF257">
            <v>60569.909999999996</v>
          </cell>
          <cell r="BG257">
            <v>187880.77000000002</v>
          </cell>
          <cell r="BH257">
            <v>187880.77000000002</v>
          </cell>
          <cell r="BI257">
            <v>185476.78000000003</v>
          </cell>
          <cell r="BJ257">
            <v>2109277.7400000002</v>
          </cell>
        </row>
        <row r="258">
          <cell r="B258" t="str">
            <v>xil900b</v>
          </cell>
          <cell r="C258" t="str">
            <v>900 East Business Center Drive</v>
          </cell>
          <cell r="D258" t="str">
            <v>Unrealized</v>
          </cell>
          <cell r="E258" t="str">
            <v>Logistic Fund II</v>
          </cell>
          <cell r="F258" t="str">
            <v>USD</v>
          </cell>
          <cell r="G258" t="str">
            <v>Last Mile</v>
          </cell>
          <cell r="H258" t="str">
            <v>Chicago</v>
          </cell>
          <cell r="I258" t="str">
            <v>Mt. Prospect</v>
          </cell>
          <cell r="J258" t="str">
            <v>IL</v>
          </cell>
          <cell r="K258">
            <v>60056</v>
          </cell>
          <cell r="L258" t="str">
            <v>United States</v>
          </cell>
          <cell r="M258" t="str">
            <v>Chicago-Naperville-Elgin, IL-IN-WI</v>
          </cell>
          <cell r="N258">
            <v>43538</v>
          </cell>
          <cell r="O258">
            <v>1</v>
          </cell>
          <cell r="P258" t="str">
            <v>Single Asset</v>
          </cell>
          <cell r="Q258" t="str">
            <v>Property - Private Equity</v>
          </cell>
          <cell r="R258" t="str">
            <v>Industrial</v>
          </cell>
          <cell r="S258" t="str">
            <v>Warehouse</v>
          </cell>
          <cell r="T258">
            <v>1981</v>
          </cell>
          <cell r="U258" t="str">
            <v>Sq. Feet</v>
          </cell>
          <cell r="V258" t="str">
            <v>Value-Add</v>
          </cell>
          <cell r="W258" t="str">
            <v>Industrial / Logistics</v>
          </cell>
          <cell r="X258" t="str">
            <v>Common Equity</v>
          </cell>
          <cell r="Y258">
            <v>312144</v>
          </cell>
          <cell r="Z258">
            <v>292678</v>
          </cell>
          <cell r="AA258">
            <v>3992514</v>
          </cell>
          <cell r="AB258">
            <v>7.8182318208527266E-2</v>
          </cell>
          <cell r="AC258">
            <v>261228</v>
          </cell>
          <cell r="AD258">
            <v>7.1765934065934067E-2</v>
          </cell>
          <cell r="AE258">
            <v>5.5E-2</v>
          </cell>
          <cell r="AF258">
            <v>0.22409999999999999</v>
          </cell>
          <cell r="AG258">
            <v>2.68</v>
          </cell>
          <cell r="AH258">
            <v>0.17929999999999999</v>
          </cell>
          <cell r="AI258">
            <v>2.58</v>
          </cell>
          <cell r="AJ258">
            <v>0.12958775912474496</v>
          </cell>
          <cell r="AK258">
            <v>0.20523497454721662</v>
          </cell>
          <cell r="AL258">
            <v>2.4645205645530024</v>
          </cell>
          <cell r="AM258">
            <v>9.6468628476716889E-2</v>
          </cell>
          <cell r="AN258">
            <v>0.16448957148708754</v>
          </cell>
          <cell r="AO258">
            <v>2.0987207644775716</v>
          </cell>
          <cell r="AP258" t="str">
            <v>Unsolicited \ Off-market</v>
          </cell>
          <cell r="AQ258" t="str">
            <v>Renewal / Re-tenant</v>
          </cell>
          <cell r="AR258" t="str">
            <v>Stabilised</v>
          </cell>
          <cell r="AS258">
            <v>44429</v>
          </cell>
          <cell r="AT258">
            <v>3640000</v>
          </cell>
          <cell r="AU258">
            <v>3699836</v>
          </cell>
          <cell r="AV258">
            <v>258960</v>
          </cell>
          <cell r="AW258">
            <v>262047</v>
          </cell>
          <cell r="AX258">
            <v>7.1142857142857147E-2</v>
          </cell>
          <cell r="AY258">
            <v>7.199093406593407E-2</v>
          </cell>
          <cell r="AZ258">
            <v>5.9642629427167</v>
          </cell>
          <cell r="BA258">
            <v>1</v>
          </cell>
          <cell r="BB258">
            <v>4.6523610613716704</v>
          </cell>
          <cell r="BC258">
            <v>1</v>
          </cell>
          <cell r="BD258">
            <v>0</v>
          </cell>
          <cell r="BE258">
            <v>62893.650000000009</v>
          </cell>
          <cell r="BF258">
            <v>307431.69000000006</v>
          </cell>
          <cell r="BG258">
            <v>299045.65999999997</v>
          </cell>
          <cell r="BH258">
            <v>299045.65999999997</v>
          </cell>
          <cell r="BI258">
            <v>315725.67000000004</v>
          </cell>
          <cell r="BJ258">
            <v>3863262.35</v>
          </cell>
        </row>
        <row r="259">
          <cell r="B259" t="str">
            <v>xga9330</v>
          </cell>
          <cell r="C259" t="str">
            <v>9330 Industrial Trace</v>
          </cell>
          <cell r="D259" t="str">
            <v>Unrealized</v>
          </cell>
          <cell r="E259" t="str">
            <v>Logistic Fund II</v>
          </cell>
          <cell r="F259" t="str">
            <v>USD</v>
          </cell>
          <cell r="G259" t="str">
            <v>Last Mile</v>
          </cell>
          <cell r="H259" t="str">
            <v>Atlanta</v>
          </cell>
          <cell r="I259" t="str">
            <v>Alpharetta</v>
          </cell>
          <cell r="J259" t="str">
            <v>GA</v>
          </cell>
          <cell r="K259">
            <v>30319</v>
          </cell>
          <cell r="L259" t="str">
            <v>United States</v>
          </cell>
          <cell r="M259" t="str">
            <v>Atlanta-Sandy Springs-Roswell, GA</v>
          </cell>
          <cell r="N259">
            <v>22500</v>
          </cell>
          <cell r="O259">
            <v>1</v>
          </cell>
          <cell r="P259" t="str">
            <v>Single Asset</v>
          </cell>
          <cell r="Q259" t="str">
            <v>Property - Private Equity</v>
          </cell>
          <cell r="R259" t="str">
            <v>Industrial</v>
          </cell>
          <cell r="S259" t="str">
            <v>Warehouse</v>
          </cell>
          <cell r="T259">
            <v>1990</v>
          </cell>
          <cell r="U259" t="str">
            <v>Sq. Feet</v>
          </cell>
          <cell r="V259" t="str">
            <v>Value-Add</v>
          </cell>
          <cell r="W259" t="str">
            <v>Industrial / Logistics</v>
          </cell>
          <cell r="X259" t="str">
            <v>Common Equity</v>
          </cell>
          <cell r="Y259">
            <v>164484</v>
          </cell>
          <cell r="Z259">
            <v>141423</v>
          </cell>
          <cell r="AA259">
            <v>2195488</v>
          </cell>
          <cell r="AB259">
            <v>7.4919106822720058E-2</v>
          </cell>
          <cell r="AC259">
            <v>132750</v>
          </cell>
          <cell r="AD259">
            <v>6.5555555555555561E-2</v>
          </cell>
          <cell r="AE259">
            <v>5.5E-2</v>
          </cell>
          <cell r="AF259">
            <v>0.17730000000000001</v>
          </cell>
          <cell r="AG259">
            <v>2.3199999999999998</v>
          </cell>
          <cell r="AH259">
            <v>0.13750000000000001</v>
          </cell>
          <cell r="AI259">
            <v>2.2200000000000002</v>
          </cell>
          <cell r="AJ259">
            <v>0.11140428715861828</v>
          </cell>
          <cell r="AK259">
            <v>0.16967555527826295</v>
          </cell>
          <cell r="AL259">
            <v>2.2215063755452493</v>
          </cell>
          <cell r="AM259">
            <v>8.0639277280392552E-2</v>
          </cell>
          <cell r="AN259">
            <v>0.13252248455506699</v>
          </cell>
          <cell r="AO259">
            <v>1.902755523962347</v>
          </cell>
          <cell r="AP259" t="str">
            <v>Soft marketed</v>
          </cell>
          <cell r="AQ259" t="str">
            <v>Rent Optimization</v>
          </cell>
          <cell r="AR259" t="str">
            <v>Leasing Strategy</v>
          </cell>
          <cell r="AS259">
            <v>44431</v>
          </cell>
          <cell r="AT259">
            <v>2025000</v>
          </cell>
          <cell r="AU259">
            <v>2054065</v>
          </cell>
          <cell r="AV259">
            <v>123756</v>
          </cell>
          <cell r="AW259">
            <v>124065</v>
          </cell>
          <cell r="AX259">
            <v>6.1114074074074071E-2</v>
          </cell>
          <cell r="AY259">
            <v>6.1266666666666664E-2</v>
          </cell>
          <cell r="AZ259">
            <v>5.5</v>
          </cell>
          <cell r="BA259">
            <v>1</v>
          </cell>
          <cell r="BB259">
            <v>2.02191780822222</v>
          </cell>
          <cell r="BC259">
            <v>1</v>
          </cell>
          <cell r="BD259">
            <v>0</v>
          </cell>
          <cell r="BE259">
            <v>42909.47</v>
          </cell>
          <cell r="BF259">
            <v>122227.16999999998</v>
          </cell>
          <cell r="BG259">
            <v>147388.60999999999</v>
          </cell>
          <cell r="BH259">
            <v>147388.60999999999</v>
          </cell>
          <cell r="BI259">
            <v>176783.22000000003</v>
          </cell>
          <cell r="BJ259">
            <v>2112276.48</v>
          </cell>
        </row>
        <row r="260">
          <cell r="B260" t="str">
            <v>xnj440be</v>
          </cell>
          <cell r="C260" t="str">
            <v>440 Benigno Boulevard</v>
          </cell>
          <cell r="D260" t="str">
            <v>Unrealized</v>
          </cell>
          <cell r="E260" t="str">
            <v>Logistic Fund II</v>
          </cell>
          <cell r="F260" t="str">
            <v>USD</v>
          </cell>
          <cell r="G260" t="str">
            <v>Last Mile</v>
          </cell>
          <cell r="H260" t="str">
            <v>Philadelphia</v>
          </cell>
          <cell r="I260" t="str">
            <v>Bellmawr</v>
          </cell>
          <cell r="J260" t="str">
            <v>NJ</v>
          </cell>
          <cell r="K260" t="str">
            <v>08031</v>
          </cell>
          <cell r="L260" t="str">
            <v>United States</v>
          </cell>
          <cell r="M260" t="str">
            <v>Philadelphia-Camden-Wilmington, PA-NJ-DE-MD</v>
          </cell>
          <cell r="N260">
            <v>42919</v>
          </cell>
          <cell r="O260">
            <v>1</v>
          </cell>
          <cell r="P260" t="str">
            <v>Portfolio</v>
          </cell>
          <cell r="Q260" t="str">
            <v>Property - Private Equity</v>
          </cell>
          <cell r="R260" t="str">
            <v>Industrial</v>
          </cell>
          <cell r="S260" t="str">
            <v>Warehouse</v>
          </cell>
          <cell r="T260">
            <v>1970</v>
          </cell>
          <cell r="U260" t="str">
            <v>Sq. Feet</v>
          </cell>
          <cell r="V260" t="str">
            <v>Value-Add</v>
          </cell>
          <cell r="W260" t="str">
            <v>Industrial / Logistics</v>
          </cell>
          <cell r="X260" t="str">
            <v>Common Equity</v>
          </cell>
          <cell r="Y260">
            <v>332880</v>
          </cell>
          <cell r="Z260">
            <v>515044</v>
          </cell>
          <cell r="AA260">
            <v>4570469</v>
          </cell>
          <cell r="AB260">
            <v>7.2832788057418177E-2</v>
          </cell>
          <cell r="AC260">
            <v>271096.52999999898</v>
          </cell>
          <cell r="AD260">
            <v>6.7351535291811274E-2</v>
          </cell>
          <cell r="AE260">
            <v>0.06</v>
          </cell>
          <cell r="AF260">
            <v>0.159</v>
          </cell>
          <cell r="AG260">
            <v>2.14</v>
          </cell>
          <cell r="AH260">
            <v>0.121</v>
          </cell>
          <cell r="AI260">
            <v>2.04</v>
          </cell>
          <cell r="AJ260">
            <v>9.736423104348968E-2</v>
          </cell>
          <cell r="AK260">
            <v>0.14553701109578276</v>
          </cell>
          <cell r="AL260">
            <v>1.9295140280032663</v>
          </cell>
          <cell r="AM260">
            <v>6.8060265577169821E-2</v>
          </cell>
          <cell r="AN260">
            <v>0.11031218275849164</v>
          </cell>
          <cell r="AO260">
            <v>1.6711035635336242</v>
          </cell>
          <cell r="AP260" t="str">
            <v>Unsolicited \ Off-market</v>
          </cell>
          <cell r="AQ260" t="str">
            <v>Renewal / Re-tenant</v>
          </cell>
          <cell r="AR260" t="str">
            <v>Leasing Strategy</v>
          </cell>
          <cell r="AS260">
            <v>44438</v>
          </cell>
          <cell r="AT260">
            <v>4025098</v>
          </cell>
          <cell r="AU260">
            <v>4055425</v>
          </cell>
          <cell r="AV260">
            <v>265956</v>
          </cell>
          <cell r="AW260">
            <v>259539</v>
          </cell>
          <cell r="AX260">
            <v>6.6074416076329079E-2</v>
          </cell>
          <cell r="AY260">
            <v>6.448016917848956E-2</v>
          </cell>
          <cell r="AZ260">
            <v>6.6849633405488396</v>
          </cell>
          <cell r="BA260">
            <v>1</v>
          </cell>
          <cell r="BB260">
            <v>3.2954608600889101</v>
          </cell>
          <cell r="BC260">
            <v>1</v>
          </cell>
          <cell r="BD260">
            <v>0</v>
          </cell>
          <cell r="BE260">
            <v>53028.83</v>
          </cell>
          <cell r="BF260">
            <v>270410.76</v>
          </cell>
          <cell r="BG260">
            <v>56221.83</v>
          </cell>
          <cell r="BH260">
            <v>56221.83</v>
          </cell>
          <cell r="BI260">
            <v>704523.00000000012</v>
          </cell>
          <cell r="BJ260">
            <v>4175975.25</v>
          </cell>
        </row>
        <row r="261">
          <cell r="B261" t="str">
            <v>xnj420be</v>
          </cell>
          <cell r="C261" t="str">
            <v>420 Benigno Boulevard</v>
          </cell>
          <cell r="D261" t="str">
            <v>Unrealized</v>
          </cell>
          <cell r="E261" t="str">
            <v>Logistic Fund II</v>
          </cell>
          <cell r="F261" t="str">
            <v>USD</v>
          </cell>
          <cell r="G261" t="str">
            <v>Last Mile</v>
          </cell>
          <cell r="H261" t="str">
            <v>Philadelphia</v>
          </cell>
          <cell r="I261" t="str">
            <v>Bellmawr</v>
          </cell>
          <cell r="J261" t="str">
            <v>NJ</v>
          </cell>
          <cell r="K261" t="str">
            <v>08031</v>
          </cell>
          <cell r="L261" t="str">
            <v>United States</v>
          </cell>
          <cell r="M261" t="str">
            <v>Philadelphia-Camden-Wilmington, PA-NJ-DE-MD</v>
          </cell>
          <cell r="N261">
            <v>53101</v>
          </cell>
          <cell r="O261">
            <v>1</v>
          </cell>
          <cell r="P261" t="str">
            <v>Portfolio</v>
          </cell>
          <cell r="Q261" t="str">
            <v>Property - Private Equity</v>
          </cell>
          <cell r="R261" t="str">
            <v>Industrial</v>
          </cell>
          <cell r="S261" t="str">
            <v>Warehouse</v>
          </cell>
          <cell r="T261">
            <v>1970</v>
          </cell>
          <cell r="U261" t="str">
            <v>Sq. Feet</v>
          </cell>
          <cell r="V261" t="str">
            <v>Value-Add</v>
          </cell>
          <cell r="W261" t="str">
            <v>Industrial / Logistics</v>
          </cell>
          <cell r="X261" t="str">
            <v>Common Equity</v>
          </cell>
          <cell r="Y261">
            <v>407076</v>
          </cell>
          <cell r="Z261">
            <v>496630</v>
          </cell>
          <cell r="AA261">
            <v>5509016</v>
          </cell>
          <cell r="AB261">
            <v>7.3892687913776248E-2</v>
          </cell>
          <cell r="AC261">
            <v>324447.11</v>
          </cell>
          <cell r="AD261">
            <v>6.5216771060661885E-2</v>
          </cell>
          <cell r="AE261">
            <v>0.06</v>
          </cell>
          <cell r="AF261">
            <v>0.159</v>
          </cell>
          <cell r="AG261">
            <v>2.14</v>
          </cell>
          <cell r="AH261">
            <v>0.121</v>
          </cell>
          <cell r="AI261">
            <v>2.04</v>
          </cell>
          <cell r="AJ261">
            <v>0.10045363915538585</v>
          </cell>
          <cell r="AK261">
            <v>0.15174855443770374</v>
          </cell>
          <cell r="AL261">
            <v>1.9857997757767212</v>
          </cell>
          <cell r="AM261">
            <v>7.0757513383763904E-2</v>
          </cell>
          <cell r="AN261">
            <v>0.11585704607423186</v>
          </cell>
          <cell r="AO261">
            <v>1.7154843421251649</v>
          </cell>
          <cell r="AP261" t="str">
            <v>Unsolicited \ Off-market</v>
          </cell>
          <cell r="AQ261" t="str">
            <v>Rent Optimization</v>
          </cell>
          <cell r="AR261" t="str">
            <v>Leasing Strategy</v>
          </cell>
          <cell r="AS261">
            <v>44438</v>
          </cell>
          <cell r="AT261">
            <v>4974903</v>
          </cell>
          <cell r="AU261">
            <v>5012386</v>
          </cell>
          <cell r="AV261">
            <v>324960</v>
          </cell>
          <cell r="AW261">
            <v>330006</v>
          </cell>
          <cell r="AX261">
            <v>6.5319866538101345E-2</v>
          </cell>
          <cell r="AY261">
            <v>6.6334157671013888E-2</v>
          </cell>
          <cell r="AZ261">
            <v>6.1895037758234297</v>
          </cell>
          <cell r="BA261">
            <v>1</v>
          </cell>
          <cell r="BB261">
            <v>3.6298936660703101</v>
          </cell>
          <cell r="BC261">
            <v>1</v>
          </cell>
          <cell r="BD261">
            <v>0</v>
          </cell>
          <cell r="BE261">
            <v>117254.92000000001</v>
          </cell>
          <cell r="BF261">
            <v>235246.54</v>
          </cell>
          <cell r="BG261">
            <v>209265.69</v>
          </cell>
          <cell r="BH261">
            <v>209265.69</v>
          </cell>
          <cell r="BI261">
            <v>1095819.4500000002</v>
          </cell>
          <cell r="BJ261">
            <v>5424001.7800000003</v>
          </cell>
        </row>
        <row r="262">
          <cell r="B262" t="str">
            <v>xnj6965</v>
          </cell>
          <cell r="C262" t="str">
            <v>6965 Airport Highway Lane</v>
          </cell>
          <cell r="D262" t="str">
            <v>Unrealized</v>
          </cell>
          <cell r="E262" t="str">
            <v>Logistic Fund II</v>
          </cell>
          <cell r="F262" t="str">
            <v>USD</v>
          </cell>
          <cell r="G262" t="str">
            <v>Last Mile</v>
          </cell>
          <cell r="H262" t="str">
            <v>Philadelphia</v>
          </cell>
          <cell r="I262" t="str">
            <v>Pennsauken</v>
          </cell>
          <cell r="J262" t="str">
            <v>NJ</v>
          </cell>
          <cell r="K262" t="str">
            <v>08109</v>
          </cell>
          <cell r="L262" t="str">
            <v>United States</v>
          </cell>
          <cell r="M262" t="str">
            <v>Philadelphia-Camden-Wilmington, PA-NJ-DE-MD</v>
          </cell>
          <cell r="N262">
            <v>103000</v>
          </cell>
          <cell r="O262">
            <v>1</v>
          </cell>
          <cell r="P262" t="str">
            <v>Single Asset</v>
          </cell>
          <cell r="Q262" t="str">
            <v>Property - Private Equity</v>
          </cell>
          <cell r="R262" t="str">
            <v>Industrial</v>
          </cell>
          <cell r="S262" t="str">
            <v>Warehouse</v>
          </cell>
          <cell r="T262">
            <v>1971</v>
          </cell>
          <cell r="U262" t="str">
            <v>Sq. Feet</v>
          </cell>
          <cell r="V262" t="str">
            <v>Value-Add</v>
          </cell>
          <cell r="W262" t="str">
            <v>Industrial / Logistics</v>
          </cell>
          <cell r="X262" t="str">
            <v>Common Equity</v>
          </cell>
          <cell r="Y262">
            <v>787788</v>
          </cell>
          <cell r="Z262">
            <v>306242</v>
          </cell>
          <cell r="AA262">
            <v>11703107</v>
          </cell>
          <cell r="AB262">
            <v>6.7314431970928748E-2</v>
          </cell>
          <cell r="AC262">
            <v>695250</v>
          </cell>
          <cell r="AD262">
            <v>6.1390728476821192E-2</v>
          </cell>
          <cell r="AE262">
            <v>5.3499999999999999E-2</v>
          </cell>
          <cell r="AF262">
            <v>0.15579999999999999</v>
          </cell>
          <cell r="AG262">
            <v>2.06</v>
          </cell>
          <cell r="AH262">
            <v>0.1177</v>
          </cell>
          <cell r="AI262">
            <v>1.96</v>
          </cell>
          <cell r="AJ262">
            <v>9.6915629217682708E-2</v>
          </cell>
          <cell r="AK262">
            <v>0.1435915911049821</v>
          </cell>
          <cell r="AL262">
            <v>1.9918052562007746</v>
          </cell>
          <cell r="AM262">
            <v>6.7967189887315538E-2</v>
          </cell>
          <cell r="AN262">
            <v>0.10908234147192419</v>
          </cell>
          <cell r="AO262">
            <v>1.717963759090825</v>
          </cell>
          <cell r="AP262" t="str">
            <v>Soft marketed</v>
          </cell>
          <cell r="AQ262" t="str">
            <v>Rent Optimization</v>
          </cell>
          <cell r="AR262" t="str">
            <v>Stabilised</v>
          </cell>
          <cell r="AS262">
            <v>44439</v>
          </cell>
          <cell r="AT262">
            <v>11325000</v>
          </cell>
          <cell r="AU262">
            <v>11396865</v>
          </cell>
          <cell r="AV262">
            <v>640536</v>
          </cell>
          <cell r="AW262">
            <v>642136</v>
          </cell>
          <cell r="AX262">
            <v>5.6559470198675493E-2</v>
          </cell>
          <cell r="AY262">
            <v>5.6700750551876379E-2</v>
          </cell>
          <cell r="AZ262">
            <v>6.25</v>
          </cell>
          <cell r="BA262">
            <v>1</v>
          </cell>
          <cell r="BB262">
            <v>10.1726027397281</v>
          </cell>
          <cell r="BC262">
            <v>1</v>
          </cell>
          <cell r="BD262">
            <v>0</v>
          </cell>
          <cell r="BE262">
            <v>128812.63999999998</v>
          </cell>
          <cell r="BF262">
            <v>580044.13</v>
          </cell>
          <cell r="BG262">
            <v>646561.06999999995</v>
          </cell>
          <cell r="BH262">
            <v>646561.06999999995</v>
          </cell>
          <cell r="BI262">
            <v>660769.39000000013</v>
          </cell>
          <cell r="BJ262">
            <v>11396865</v>
          </cell>
        </row>
        <row r="263">
          <cell r="B263" t="str">
            <v>xnj900k</v>
          </cell>
          <cell r="C263" t="str">
            <v>900 Kennedy Boulevard</v>
          </cell>
          <cell r="D263" t="str">
            <v>Unrealized</v>
          </cell>
          <cell r="E263" t="str">
            <v>Logistic Fund II</v>
          </cell>
          <cell r="F263" t="str">
            <v>USD</v>
          </cell>
          <cell r="G263" t="str">
            <v>Last Mile</v>
          </cell>
          <cell r="H263" t="str">
            <v>Philadelphia</v>
          </cell>
          <cell r="I263" t="str">
            <v>Somerdale</v>
          </cell>
          <cell r="J263" t="str">
            <v>NJ</v>
          </cell>
          <cell r="K263" t="str">
            <v>08083</v>
          </cell>
          <cell r="L263" t="str">
            <v>United States</v>
          </cell>
          <cell r="M263" t="str">
            <v>Philadelphia-Camden-Wilmington, PA-NJ-DE-MD</v>
          </cell>
          <cell r="N263">
            <v>41500</v>
          </cell>
          <cell r="O263">
            <v>1</v>
          </cell>
          <cell r="P263" t="str">
            <v>Single Asset</v>
          </cell>
          <cell r="Q263" t="str">
            <v>Property - Private Equity</v>
          </cell>
          <cell r="R263" t="str">
            <v>Industrial</v>
          </cell>
          <cell r="S263" t="str">
            <v>Warehouse</v>
          </cell>
          <cell r="T263">
            <v>1970</v>
          </cell>
          <cell r="U263" t="str">
            <v>Sq. Feet</v>
          </cell>
          <cell r="V263" t="str">
            <v>Value-Add</v>
          </cell>
          <cell r="W263" t="str">
            <v>Industrial / Logistics</v>
          </cell>
          <cell r="X263" t="str">
            <v>Common Equity</v>
          </cell>
          <cell r="Y263">
            <v>315276</v>
          </cell>
          <cell r="Z263">
            <v>968519</v>
          </cell>
          <cell r="AA263">
            <v>4426217</v>
          </cell>
          <cell r="AB263">
            <v>7.1229223510731618E-2</v>
          </cell>
          <cell r="AC263">
            <v>244809.5</v>
          </cell>
          <cell r="AD263">
            <v>7.3381415079295617E-2</v>
          </cell>
          <cell r="AE263">
            <v>6.5000000000000002E-2</v>
          </cell>
          <cell r="AF263">
            <v>0.1326</v>
          </cell>
          <cell r="AG263">
            <v>2.0499999999999998</v>
          </cell>
          <cell r="AH263">
            <v>9.9500000000000005E-2</v>
          </cell>
          <cell r="AI263">
            <v>1.95</v>
          </cell>
          <cell r="AJ263">
            <v>8.3251084650619589E-2</v>
          </cell>
          <cell r="AK263">
            <v>0.11930381581210225</v>
          </cell>
          <cell r="AL263">
            <v>1.6738660276587618</v>
          </cell>
          <cell r="AM263">
            <v>5.5604535138457534E-2</v>
          </cell>
          <cell r="AN263">
            <v>8.6569595325039606E-2</v>
          </cell>
          <cell r="AO263">
            <v>1.4689038628629585</v>
          </cell>
          <cell r="AP263" t="str">
            <v>Soft marketed</v>
          </cell>
          <cell r="AQ263" t="str">
            <v>Renewal / Re-tenant</v>
          </cell>
          <cell r="AR263" t="str">
            <v>Stabilised</v>
          </cell>
          <cell r="AS263">
            <v>44442</v>
          </cell>
          <cell r="AT263">
            <v>3336124</v>
          </cell>
          <cell r="AU263">
            <v>3457698</v>
          </cell>
          <cell r="AV263">
            <v>260208</v>
          </cell>
          <cell r="AW263">
            <v>266115</v>
          </cell>
          <cell r="AX263">
            <v>7.7997100827187485E-2</v>
          </cell>
          <cell r="AY263">
            <v>7.9767718466100188E-2</v>
          </cell>
          <cell r="AZ263">
            <v>6.2747739759036101</v>
          </cell>
          <cell r="BA263">
            <v>1</v>
          </cell>
          <cell r="BB263">
            <v>5.16</v>
          </cell>
          <cell r="BC263">
            <v>1</v>
          </cell>
          <cell r="BD263">
            <v>0</v>
          </cell>
          <cell r="BE263">
            <v>77780.03</v>
          </cell>
          <cell r="BF263">
            <v>293197.69</v>
          </cell>
          <cell r="BG263">
            <v>392072.13</v>
          </cell>
          <cell r="BH263">
            <v>392072.13</v>
          </cell>
          <cell r="BI263">
            <v>253217.40000000002</v>
          </cell>
          <cell r="BJ263">
            <v>3672180.17</v>
          </cell>
        </row>
        <row r="264">
          <cell r="B264" t="str">
            <v>xnj313c</v>
          </cell>
          <cell r="C264" t="str">
            <v>313 Church Street</v>
          </cell>
          <cell r="D264" t="str">
            <v>Unrealized</v>
          </cell>
          <cell r="E264" t="str">
            <v>Logistic Fund II</v>
          </cell>
          <cell r="F264" t="str">
            <v>USD</v>
          </cell>
          <cell r="G264" t="str">
            <v>Last Mile</v>
          </cell>
          <cell r="H264" t="str">
            <v>Philadelphia</v>
          </cell>
          <cell r="I264" t="str">
            <v>Swedesboro</v>
          </cell>
          <cell r="J264" t="str">
            <v>NJ</v>
          </cell>
          <cell r="K264">
            <v>19130</v>
          </cell>
          <cell r="L264" t="str">
            <v>United States</v>
          </cell>
          <cell r="M264" t="str">
            <v>Philadelphia-Camden-Wilmington, PA-NJ-DE-MD</v>
          </cell>
          <cell r="N264">
            <v>67000</v>
          </cell>
          <cell r="O264">
            <v>1</v>
          </cell>
          <cell r="P264" t="str">
            <v>Single Asset</v>
          </cell>
          <cell r="Q264" t="str">
            <v>Property - Private Equity</v>
          </cell>
          <cell r="R264" t="str">
            <v>Industrial</v>
          </cell>
          <cell r="S264" t="str">
            <v>Warehouse</v>
          </cell>
          <cell r="T264">
            <v>1935</v>
          </cell>
          <cell r="U264" t="str">
            <v>Sq. Feet</v>
          </cell>
          <cell r="V264" t="str">
            <v>Value-Add</v>
          </cell>
          <cell r="W264" t="str">
            <v>Industrial / Logistics</v>
          </cell>
          <cell r="X264" t="str">
            <v>Common Equity</v>
          </cell>
          <cell r="Y264">
            <v>427236</v>
          </cell>
          <cell r="Z264">
            <v>501220</v>
          </cell>
          <cell r="AA264">
            <v>5649634</v>
          </cell>
          <cell r="AB264">
            <v>7.5621889842775653E-2</v>
          </cell>
          <cell r="AC264">
            <v>335000</v>
          </cell>
          <cell r="AD264">
            <v>6.6336646799335999E-2</v>
          </cell>
          <cell r="AE264">
            <v>0.06</v>
          </cell>
          <cell r="AF264">
            <v>0.16969999999999999</v>
          </cell>
          <cell r="AG264">
            <v>2.17</v>
          </cell>
          <cell r="AH264">
            <v>0.1298</v>
          </cell>
          <cell r="AI264">
            <v>2.0699999999999998</v>
          </cell>
          <cell r="AJ264">
            <v>9.9692554095388353E-2</v>
          </cell>
          <cell r="AK264">
            <v>0.1492438647910419</v>
          </cell>
          <cell r="AL264">
            <v>1.9774807274803949</v>
          </cell>
          <cell r="AM264">
            <v>7.0338659734792364E-2</v>
          </cell>
          <cell r="AN264">
            <v>0.1140360752279943</v>
          </cell>
          <cell r="AO264">
            <v>1.7102250338373715</v>
          </cell>
          <cell r="AP264" t="str">
            <v>Unsolicited \ Off-market</v>
          </cell>
          <cell r="AQ264" t="str">
            <v>Renewal / Re-tenant</v>
          </cell>
          <cell r="AR264" t="str">
            <v>Stabilised</v>
          </cell>
          <cell r="AS264">
            <v>44448</v>
          </cell>
          <cell r="AT264">
            <v>5049999</v>
          </cell>
          <cell r="AU264">
            <v>5148414</v>
          </cell>
          <cell r="AV264">
            <v>322068</v>
          </cell>
          <cell r="AW264">
            <v>322595</v>
          </cell>
          <cell r="AX264">
            <v>6.3775854213040439E-2</v>
          </cell>
          <cell r="AY264">
            <v>6.3880210669348653E-2</v>
          </cell>
          <cell r="AZ264">
            <v>5.0000005970149202</v>
          </cell>
          <cell r="BA264">
            <v>1</v>
          </cell>
          <cell r="BB264">
            <v>5.0602739725970096</v>
          </cell>
          <cell r="BC264">
            <v>1</v>
          </cell>
          <cell r="BD264">
            <v>0</v>
          </cell>
          <cell r="BE264">
            <v>122124.54999999999</v>
          </cell>
          <cell r="BF264">
            <v>308893.63999999996</v>
          </cell>
          <cell r="BG264">
            <v>330422.48000000004</v>
          </cell>
          <cell r="BH264">
            <v>330422.48000000004</v>
          </cell>
          <cell r="BI264">
            <v>304408.24</v>
          </cell>
          <cell r="BJ264">
            <v>5158703.3099999996</v>
          </cell>
        </row>
        <row r="265">
          <cell r="B265" t="str">
            <v>xnj52col</v>
          </cell>
          <cell r="C265" t="str">
            <v>52 Coles Road</v>
          </cell>
          <cell r="D265" t="str">
            <v>Unrealized</v>
          </cell>
          <cell r="E265" t="str">
            <v>Logistic Fund II</v>
          </cell>
          <cell r="F265" t="str">
            <v>USD</v>
          </cell>
          <cell r="G265" t="str">
            <v>Last Mile</v>
          </cell>
          <cell r="H265" t="str">
            <v>Philadelphia</v>
          </cell>
          <cell r="I265" t="str">
            <v>Blackwood</v>
          </cell>
          <cell r="J265" t="str">
            <v>NJ</v>
          </cell>
          <cell r="K265">
            <v>19102</v>
          </cell>
          <cell r="L265" t="str">
            <v>United States</v>
          </cell>
          <cell r="M265" t="str">
            <v>Philadelphia-Camden-Wilmington, PA-NJ-DE-MD</v>
          </cell>
          <cell r="N265">
            <v>62000</v>
          </cell>
          <cell r="O265">
            <v>1</v>
          </cell>
          <cell r="P265" t="str">
            <v>Single Asset</v>
          </cell>
          <cell r="Q265" t="str">
            <v>Property - Private Equity</v>
          </cell>
          <cell r="R265" t="str">
            <v>Industrial</v>
          </cell>
          <cell r="S265" t="str">
            <v>Warehouse</v>
          </cell>
          <cell r="T265">
            <v>1960</v>
          </cell>
          <cell r="U265" t="str">
            <v>Sq. Feet</v>
          </cell>
          <cell r="V265" t="str">
            <v>Value-Add</v>
          </cell>
          <cell r="W265" t="str">
            <v>Industrial / Logistics</v>
          </cell>
          <cell r="X265" t="str">
            <v>Common Equity</v>
          </cell>
          <cell r="Y265">
            <v>279852</v>
          </cell>
          <cell r="Z265">
            <v>494812</v>
          </cell>
          <cell r="AA265">
            <v>3658736</v>
          </cell>
          <cell r="AB265">
            <v>7.6488710855333639E-2</v>
          </cell>
          <cell r="AC265">
            <v>282568</v>
          </cell>
          <cell r="AD265">
            <v>9.043695340817258E-2</v>
          </cell>
          <cell r="AE265">
            <v>6.25E-2</v>
          </cell>
          <cell r="AF265">
            <v>0.18479999999999999</v>
          </cell>
          <cell r="AG265">
            <v>2.35</v>
          </cell>
          <cell r="AH265">
            <v>0.1439</v>
          </cell>
          <cell r="AI265">
            <v>2.25</v>
          </cell>
          <cell r="AJ265">
            <v>0.10839118992190189</v>
          </cell>
          <cell r="AK265">
            <v>0.16814367367084837</v>
          </cell>
          <cell r="AL265">
            <v>2.0651150027205376</v>
          </cell>
          <cell r="AM265">
            <v>7.7682021548232116E-2</v>
          </cell>
          <cell r="AN265">
            <v>0.13060105242538089</v>
          </cell>
          <cell r="AO265">
            <v>1.781102670587223</v>
          </cell>
          <cell r="AP265" t="str">
            <v>Unsolicited \ Off-market</v>
          </cell>
          <cell r="AQ265" t="str">
            <v>Rent Optimization</v>
          </cell>
          <cell r="AR265" t="str">
            <v>Stabilised</v>
          </cell>
          <cell r="AS265">
            <v>44449</v>
          </cell>
          <cell r="AT265">
            <v>3124475</v>
          </cell>
          <cell r="AU265">
            <v>3163924</v>
          </cell>
          <cell r="AV265">
            <v>234384</v>
          </cell>
          <cell r="AW265">
            <v>234970</v>
          </cell>
          <cell r="AX265">
            <v>7.5015482601076974E-2</v>
          </cell>
          <cell r="AY265">
            <v>7.5203034109730435E-2</v>
          </cell>
          <cell r="AZ265">
            <v>3.7794193548387098</v>
          </cell>
          <cell r="BA265">
            <v>1</v>
          </cell>
          <cell r="BB265">
            <v>4.6383561643870896</v>
          </cell>
          <cell r="BC265">
            <v>1</v>
          </cell>
          <cell r="BD265">
            <v>0</v>
          </cell>
          <cell r="BE265">
            <v>66310.17</v>
          </cell>
          <cell r="BF265">
            <v>147457.94000000003</v>
          </cell>
          <cell r="BG265">
            <v>210861.86</v>
          </cell>
          <cell r="BH265">
            <v>210861.86</v>
          </cell>
          <cell r="BI265">
            <v>125236.04999999999</v>
          </cell>
          <cell r="BJ265">
            <v>3283526.5</v>
          </cell>
        </row>
        <row r="266">
          <cell r="B266" t="str">
            <v>xnj845l</v>
          </cell>
          <cell r="C266" t="str">
            <v>845 Lancer Drive</v>
          </cell>
          <cell r="D266" t="str">
            <v>Unrealized</v>
          </cell>
          <cell r="E266" t="str">
            <v>Logistic Fund II</v>
          </cell>
          <cell r="F266" t="str">
            <v>USD</v>
          </cell>
          <cell r="G266" t="str">
            <v>Last Mile</v>
          </cell>
          <cell r="H266" t="str">
            <v>Philadelphia</v>
          </cell>
          <cell r="I266" t="str">
            <v>Moorestown</v>
          </cell>
          <cell r="J266" t="str">
            <v>NJ</v>
          </cell>
          <cell r="K266" t="str">
            <v>08057</v>
          </cell>
          <cell r="L266" t="str">
            <v>United States</v>
          </cell>
          <cell r="M266" t="str">
            <v>Philadelphia-Camden-Wilmington, PA-NJ-DE-MD</v>
          </cell>
          <cell r="N266">
            <v>16800</v>
          </cell>
          <cell r="O266">
            <v>1</v>
          </cell>
          <cell r="P266" t="str">
            <v>Single Asset</v>
          </cell>
          <cell r="Q266" t="str">
            <v>Property - Private Equity</v>
          </cell>
          <cell r="R266" t="str">
            <v>Industrial</v>
          </cell>
          <cell r="S266" t="str">
            <v>Warehouse</v>
          </cell>
          <cell r="T266">
            <v>1988</v>
          </cell>
          <cell r="U266" t="str">
            <v>Sq. Feet</v>
          </cell>
          <cell r="V266" t="str">
            <v>Value-Add</v>
          </cell>
          <cell r="W266" t="str">
            <v>Industrial / Logistics</v>
          </cell>
          <cell r="X266" t="str">
            <v>Common Equity</v>
          </cell>
          <cell r="Y266">
            <v>180108</v>
          </cell>
          <cell r="Z266">
            <v>316950</v>
          </cell>
          <cell r="AA266">
            <v>2450669</v>
          </cell>
          <cell r="AB266">
            <v>7.3493401189634336E-2</v>
          </cell>
          <cell r="AC266">
            <v>140250</v>
          </cell>
          <cell r="AD266">
            <v>6.6785682483008341E-2</v>
          </cell>
          <cell r="AE266">
            <v>6.25E-2</v>
          </cell>
          <cell r="AF266">
            <v>0.18</v>
          </cell>
          <cell r="AG266">
            <v>2.11</v>
          </cell>
          <cell r="AH266">
            <v>0.13700000000000001</v>
          </cell>
          <cell r="AI266">
            <v>2.0099999999999998</v>
          </cell>
          <cell r="AJ266">
            <v>0.10616296630101374</v>
          </cell>
          <cell r="AK266">
            <v>0.16736919533695716</v>
          </cell>
          <cell r="AL266">
            <v>1.965786733287556</v>
          </cell>
          <cell r="AM266">
            <v>7.5293965375718308E-2</v>
          </cell>
          <cell r="AN266">
            <v>0.12905044367656737</v>
          </cell>
          <cell r="AO266">
            <v>1.7030000175358229</v>
          </cell>
          <cell r="AP266" t="str">
            <v>Unsolicited \ Off-market</v>
          </cell>
          <cell r="AQ266" t="str">
            <v>Renewal / Re-tenant</v>
          </cell>
          <cell r="AR266" t="str">
            <v>Leasing Strategy</v>
          </cell>
          <cell r="AS266">
            <v>44456</v>
          </cell>
          <cell r="AT266">
            <v>2100001</v>
          </cell>
          <cell r="AU266">
            <v>2133719</v>
          </cell>
          <cell r="AV266">
            <v>168816</v>
          </cell>
          <cell r="AW266">
            <v>178111</v>
          </cell>
          <cell r="AX266">
            <v>8.0388533148317551E-2</v>
          </cell>
          <cell r="AY266">
            <v>8.481472151679928E-2</v>
          </cell>
          <cell r="AZ266">
            <v>10.050000000000001</v>
          </cell>
          <cell r="BA266">
            <v>1</v>
          </cell>
          <cell r="BB266">
            <v>4.2054794520833303</v>
          </cell>
          <cell r="BC266">
            <v>1</v>
          </cell>
          <cell r="BD266">
            <v>0</v>
          </cell>
          <cell r="BE266">
            <v>48489.979999999996</v>
          </cell>
          <cell r="BF266">
            <v>164244.00999999998</v>
          </cell>
          <cell r="BG266">
            <v>172896.11</v>
          </cell>
          <cell r="BH266">
            <v>172896.11</v>
          </cell>
          <cell r="BI266">
            <v>166727.78</v>
          </cell>
          <cell r="BJ266">
            <v>2149352.36</v>
          </cell>
        </row>
        <row r="267">
          <cell r="B267" t="str">
            <v>xga4225</v>
          </cell>
          <cell r="C267" t="str">
            <v>4225 Phil Niekro Parkway</v>
          </cell>
          <cell r="D267" t="str">
            <v>Unrealized</v>
          </cell>
          <cell r="E267" t="str">
            <v>Logistic Fund II</v>
          </cell>
          <cell r="F267" t="str">
            <v>USD</v>
          </cell>
          <cell r="G267" t="str">
            <v>Last Mile</v>
          </cell>
          <cell r="H267" t="str">
            <v>Atlanta</v>
          </cell>
          <cell r="I267" t="str">
            <v>Norcross</v>
          </cell>
          <cell r="J267" t="str">
            <v>GA</v>
          </cell>
          <cell r="K267">
            <v>30319</v>
          </cell>
          <cell r="L267" t="str">
            <v>United States</v>
          </cell>
          <cell r="M267" t="str">
            <v>Atlanta-Sandy Springs-Roswell, GA</v>
          </cell>
          <cell r="N267">
            <v>40195</v>
          </cell>
          <cell r="O267">
            <v>1</v>
          </cell>
          <cell r="P267" t="str">
            <v>Single Asset</v>
          </cell>
          <cell r="Q267" t="str">
            <v>Property - Private Equity</v>
          </cell>
          <cell r="R267" t="str">
            <v>Industrial</v>
          </cell>
          <cell r="S267" t="str">
            <v>Warehouse</v>
          </cell>
          <cell r="T267">
            <v>1986</v>
          </cell>
          <cell r="U267" t="str">
            <v>Sq. Feet</v>
          </cell>
          <cell r="V267" t="str">
            <v>Value-Add</v>
          </cell>
          <cell r="W267" t="str">
            <v>Industrial / Logistics</v>
          </cell>
          <cell r="X267" t="str">
            <v>Common Equity</v>
          </cell>
          <cell r="Y267">
            <v>294768</v>
          </cell>
          <cell r="Z267">
            <v>1085383</v>
          </cell>
          <cell r="AA267">
            <v>3516984</v>
          </cell>
          <cell r="AB267">
            <v>8.3812721354433226E-2</v>
          </cell>
          <cell r="AC267">
            <v>233695.8</v>
          </cell>
          <cell r="AD267">
            <v>9.7373249999999995E-2</v>
          </cell>
          <cell r="AE267">
            <v>6.25E-2</v>
          </cell>
          <cell r="AF267">
            <v>0.184</v>
          </cell>
          <cell r="AG267">
            <v>3.05</v>
          </cell>
          <cell r="AH267">
            <v>0.1474</v>
          </cell>
          <cell r="AI267">
            <v>2.95</v>
          </cell>
          <cell r="AJ267">
            <v>0.12257398274846509</v>
          </cell>
          <cell r="AK267">
            <v>0.19004663298417168</v>
          </cell>
          <cell r="AL267">
            <v>2.2646118939054709</v>
          </cell>
          <cell r="AM267">
            <v>9.0390983162800032E-2</v>
          </cell>
          <cell r="AN267">
            <v>0.15089974307612142</v>
          </cell>
          <cell r="AO267">
            <v>1.9439953633497502</v>
          </cell>
          <cell r="AP267" t="str">
            <v>Soft marketed</v>
          </cell>
          <cell r="AQ267" t="str">
            <v>Rent Optimization</v>
          </cell>
          <cell r="AR267" t="str">
            <v>Leasing Strategy</v>
          </cell>
          <cell r="AS267">
            <v>44461</v>
          </cell>
          <cell r="AT267">
            <v>2400000</v>
          </cell>
          <cell r="AU267">
            <v>2431601</v>
          </cell>
          <cell r="AV267">
            <v>177588</v>
          </cell>
          <cell r="AW267">
            <v>146939</v>
          </cell>
          <cell r="AX267">
            <v>7.3995000000000005E-2</v>
          </cell>
          <cell r="AY267">
            <v>6.1224583333333332E-2</v>
          </cell>
          <cell r="AZ267">
            <v>5.22124642368453</v>
          </cell>
          <cell r="BA267">
            <v>1</v>
          </cell>
          <cell r="BB267">
            <v>1.0448369677074201</v>
          </cell>
          <cell r="BC267">
            <v>1</v>
          </cell>
          <cell r="BD267">
            <v>0</v>
          </cell>
          <cell r="BE267">
            <v>34070.160000000003</v>
          </cell>
          <cell r="BF267">
            <v>133012.37999999998</v>
          </cell>
          <cell r="BG267">
            <v>235056.54</v>
          </cell>
          <cell r="BH267">
            <v>235056.54</v>
          </cell>
          <cell r="BI267">
            <v>228059.62000000005</v>
          </cell>
          <cell r="BJ267">
            <v>2677884.61</v>
          </cell>
        </row>
        <row r="268">
          <cell r="B268" t="str">
            <v>xga265c</v>
          </cell>
          <cell r="C268" t="str">
            <v>265 Castleberry Industrial Drive</v>
          </cell>
          <cell r="D268" t="str">
            <v>Unrealized</v>
          </cell>
          <cell r="E268" t="str">
            <v>Logistic Fund II</v>
          </cell>
          <cell r="F268" t="str">
            <v>USD</v>
          </cell>
          <cell r="G268" t="str">
            <v>Last Mile</v>
          </cell>
          <cell r="H268" t="str">
            <v>Atlanta</v>
          </cell>
          <cell r="I268" t="str">
            <v>Cumming</v>
          </cell>
          <cell r="J268" t="str">
            <v>GA</v>
          </cell>
          <cell r="K268">
            <v>30319</v>
          </cell>
          <cell r="L268" t="str">
            <v>United States</v>
          </cell>
          <cell r="M268" t="str">
            <v>Atlanta-Sandy Springs-Roswell, GA</v>
          </cell>
          <cell r="N268">
            <v>82486</v>
          </cell>
          <cell r="O268">
            <v>1</v>
          </cell>
          <cell r="P268" t="str">
            <v>Single Asset</v>
          </cell>
          <cell r="Q268" t="str">
            <v>Property - Private Equity</v>
          </cell>
          <cell r="R268" t="str">
            <v>Industrial</v>
          </cell>
          <cell r="S268" t="str">
            <v>Warehouse</v>
          </cell>
          <cell r="T268">
            <v>2003</v>
          </cell>
          <cell r="U268" t="str">
            <v>Sq. Feet</v>
          </cell>
          <cell r="V268" t="str">
            <v>Value-Add</v>
          </cell>
          <cell r="W268" t="str">
            <v>Industrial / Logistics</v>
          </cell>
          <cell r="X268" t="str">
            <v>Common Equity</v>
          </cell>
          <cell r="Y268">
            <v>546576</v>
          </cell>
          <cell r="Z268">
            <v>783126</v>
          </cell>
          <cell r="AA268">
            <v>6429508</v>
          </cell>
          <cell r="AB268">
            <v>8.5010548241016268E-2</v>
          </cell>
          <cell r="AC268">
            <v>432915</v>
          </cell>
          <cell r="AD268">
            <v>7.720588235294118E-2</v>
          </cell>
          <cell r="AE268">
            <v>5.7500000000000002E-2</v>
          </cell>
          <cell r="AF268">
            <v>0.21029999999999999</v>
          </cell>
          <cell r="AG268">
            <v>2.84</v>
          </cell>
          <cell r="AH268">
            <v>0.16930000000000001</v>
          </cell>
          <cell r="AI268">
            <v>2.74</v>
          </cell>
          <cell r="AJ268">
            <v>0.12791940658863887</v>
          </cell>
          <cell r="AK268">
            <v>0.19551081686231631</v>
          </cell>
          <cell r="AL268">
            <v>2.5097908278609107</v>
          </cell>
          <cell r="AM268">
            <v>9.59014259445643E-2</v>
          </cell>
          <cell r="AN268">
            <v>0.15714037484144305</v>
          </cell>
          <cell r="AO268">
            <v>2.1372401600191631</v>
          </cell>
          <cell r="AP268" t="str">
            <v>Soft marketed</v>
          </cell>
          <cell r="AQ268" t="str">
            <v>Lease-up</v>
          </cell>
          <cell r="AR268" t="str">
            <v>Leasing Strategy</v>
          </cell>
          <cell r="AS268">
            <v>44473</v>
          </cell>
          <cell r="AT268">
            <v>5607280</v>
          </cell>
          <cell r="AU268">
            <v>5646382</v>
          </cell>
          <cell r="AV268">
            <v>-97008</v>
          </cell>
          <cell r="AW268">
            <v>131392</v>
          </cell>
          <cell r="AX268">
            <v>-1.7300366666191093E-2</v>
          </cell>
          <cell r="AY268">
            <v>2.3432395029319028E-2</v>
          </cell>
          <cell r="AZ268">
            <v>5.76357878912785</v>
          </cell>
          <cell r="BA268">
            <v>1</v>
          </cell>
          <cell r="BB268">
            <v>0.241095890405644</v>
          </cell>
          <cell r="BC268">
            <v>1</v>
          </cell>
          <cell r="BD268">
            <v>0</v>
          </cell>
          <cell r="BE268">
            <v>95691.489999999991</v>
          </cell>
          <cell r="BF268">
            <v>343637.64999999997</v>
          </cell>
          <cell r="BG268">
            <v>485850.32</v>
          </cell>
          <cell r="BH268">
            <v>485850.32</v>
          </cell>
          <cell r="BI268">
            <v>457873.38</v>
          </cell>
          <cell r="BJ268">
            <v>6060255.3300000001</v>
          </cell>
        </row>
        <row r="269">
          <cell r="B269" t="str">
            <v>xnj390n</v>
          </cell>
          <cell r="C269" t="str">
            <v>390 New Albany Road</v>
          </cell>
          <cell r="D269" t="str">
            <v>Unrealized</v>
          </cell>
          <cell r="E269" t="str">
            <v>Logistic Fund II</v>
          </cell>
          <cell r="F269" t="str">
            <v>USD</v>
          </cell>
          <cell r="G269" t="str">
            <v>Last Mile</v>
          </cell>
          <cell r="H269" t="str">
            <v>Philadelphia</v>
          </cell>
          <cell r="I269" t="str">
            <v>Moorestown</v>
          </cell>
          <cell r="J269" t="str">
            <v>NJ</v>
          </cell>
          <cell r="K269">
            <v>19102</v>
          </cell>
          <cell r="L269" t="str">
            <v>United States</v>
          </cell>
          <cell r="M269" t="str">
            <v>Philadelphia-Camden-Wilmington, PA-NJ-DE-MD</v>
          </cell>
          <cell r="N269">
            <v>56600</v>
          </cell>
          <cell r="O269">
            <v>1</v>
          </cell>
          <cell r="P269" t="str">
            <v>Single Asset</v>
          </cell>
          <cell r="Q269" t="str">
            <v>Property - Private Equity</v>
          </cell>
          <cell r="R269" t="str">
            <v>Industrial</v>
          </cell>
          <cell r="S269" t="str">
            <v>Warehouse</v>
          </cell>
          <cell r="T269">
            <v>1960</v>
          </cell>
          <cell r="U269" t="str">
            <v>Sq. Feet</v>
          </cell>
          <cell r="V269" t="str">
            <v>Value-Add</v>
          </cell>
          <cell r="W269" t="str">
            <v>Industrial / Logistics</v>
          </cell>
          <cell r="X269" t="str">
            <v>Common Equity</v>
          </cell>
          <cell r="Y269">
            <v>408756</v>
          </cell>
          <cell r="Z269">
            <v>1147487</v>
          </cell>
          <cell r="AA269">
            <v>5496780</v>
          </cell>
          <cell r="AB269">
            <v>7.4362808771680874E-2</v>
          </cell>
          <cell r="AC269">
            <v>311300</v>
          </cell>
          <cell r="AD269">
            <v>7.23953488372093E-2</v>
          </cell>
          <cell r="AE269">
            <v>0.06</v>
          </cell>
          <cell r="AF269">
            <v>0.14779999999999999</v>
          </cell>
          <cell r="AG269">
            <v>2.2200000000000002</v>
          </cell>
          <cell r="AH269">
            <v>0.11269999999999999</v>
          </cell>
          <cell r="AI269">
            <v>2.12</v>
          </cell>
          <cell r="AJ269">
            <v>9.1547191370462189E-2</v>
          </cell>
          <cell r="AK269">
            <v>0.13102736617171584</v>
          </cell>
          <cell r="AL269">
            <v>1.8348357048847506</v>
          </cell>
          <cell r="AM269">
            <v>6.350115293040548E-2</v>
          </cell>
          <cell r="AN269">
            <v>9.8226172828028924E-2</v>
          </cell>
          <cell r="AO269">
            <v>1.5997470669885829</v>
          </cell>
          <cell r="AP269" t="str">
            <v>Soft marketed</v>
          </cell>
          <cell r="AQ269" t="str">
            <v>Rent Optimization</v>
          </cell>
          <cell r="AR269" t="str">
            <v>Leasing Strategy</v>
          </cell>
          <cell r="AS269">
            <v>44476</v>
          </cell>
          <cell r="AT269">
            <v>4300000</v>
          </cell>
          <cell r="AU269">
            <v>4349293</v>
          </cell>
          <cell r="AV269">
            <v>254712</v>
          </cell>
          <cell r="AW269">
            <v>255348</v>
          </cell>
          <cell r="AX269">
            <v>5.9235348837209302E-2</v>
          </cell>
          <cell r="AY269">
            <v>5.9383255813953491E-2</v>
          </cell>
          <cell r="AZ269">
            <v>3.6290332155476999</v>
          </cell>
          <cell r="BA269">
            <v>1</v>
          </cell>
          <cell r="BB269">
            <v>2.0657534246643099</v>
          </cell>
          <cell r="BC269">
            <v>1</v>
          </cell>
          <cell r="BD269">
            <v>0</v>
          </cell>
          <cell r="BE269">
            <v>62225.110000000008</v>
          </cell>
          <cell r="BF269">
            <v>225078.74999999997</v>
          </cell>
          <cell r="BG269">
            <v>252265.33999999997</v>
          </cell>
          <cell r="BH269">
            <v>252265.33999999997</v>
          </cell>
          <cell r="BI269">
            <v>250752.13000000003</v>
          </cell>
          <cell r="BJ269">
            <v>4715743</v>
          </cell>
        </row>
        <row r="270">
          <cell r="B270" t="str">
            <v>xnj1010</v>
          </cell>
          <cell r="C270" t="str">
            <v>1010 Old Egg Harbor</v>
          </cell>
          <cell r="D270" t="str">
            <v>Unrealized</v>
          </cell>
          <cell r="E270" t="str">
            <v>Logistic Fund II</v>
          </cell>
          <cell r="F270" t="str">
            <v>USD</v>
          </cell>
          <cell r="G270" t="str">
            <v>Last Mile</v>
          </cell>
          <cell r="H270" t="str">
            <v>Philadelphia</v>
          </cell>
          <cell r="I270" t="str">
            <v>Voorhees Township</v>
          </cell>
          <cell r="J270" t="str">
            <v>NJ</v>
          </cell>
          <cell r="K270" t="str">
            <v>08043</v>
          </cell>
          <cell r="L270" t="str">
            <v>United States</v>
          </cell>
          <cell r="M270" t="str">
            <v>Philadelphia-Camden-Wilmington, PA-NJ-DE-MD</v>
          </cell>
          <cell r="N270">
            <v>73489</v>
          </cell>
          <cell r="O270">
            <v>1</v>
          </cell>
          <cell r="P270" t="str">
            <v>Single Asset</v>
          </cell>
          <cell r="Q270" t="str">
            <v>Property - Private Equity</v>
          </cell>
          <cell r="R270" t="str">
            <v>Industrial</v>
          </cell>
          <cell r="S270" t="str">
            <v>Warehouse</v>
          </cell>
          <cell r="T270">
            <v>1960</v>
          </cell>
          <cell r="U270" t="str">
            <v>Sq. Feet</v>
          </cell>
          <cell r="V270" t="str">
            <v>Value-Add</v>
          </cell>
          <cell r="W270" t="str">
            <v>Industrial / Logistics</v>
          </cell>
          <cell r="X270" t="str">
            <v>Common Equity</v>
          </cell>
          <cell r="Y270">
            <v>389052</v>
          </cell>
          <cell r="Z270">
            <v>397947</v>
          </cell>
          <cell r="AA270">
            <v>4186753</v>
          </cell>
          <cell r="AB270">
            <v>9.2924516922780018E-2</v>
          </cell>
          <cell r="AC270">
            <v>314158.5</v>
          </cell>
          <cell r="AD270">
            <v>8.7999579831932767E-2</v>
          </cell>
          <cell r="AE270">
            <v>6.25E-2</v>
          </cell>
          <cell r="AF270">
            <v>0.2097</v>
          </cell>
          <cell r="AG270">
            <v>2.81</v>
          </cell>
          <cell r="AH270">
            <v>0.16719999999999999</v>
          </cell>
          <cell r="AI270">
            <v>2.71</v>
          </cell>
          <cell r="AJ270">
            <v>0.12577733039657568</v>
          </cell>
          <cell r="AK270">
            <v>0.19171695277217915</v>
          </cell>
          <cell r="AL270">
            <v>2.5173491579712644</v>
          </cell>
          <cell r="AM270">
            <v>9.3992611847619978E-2</v>
          </cell>
          <cell r="AN270">
            <v>0.15342553738612108</v>
          </cell>
          <cell r="AO270">
            <v>2.1419449840122655</v>
          </cell>
          <cell r="AP270" t="str">
            <v>Soft marketed</v>
          </cell>
          <cell r="AQ270" t="str">
            <v>Rent Optimization</v>
          </cell>
          <cell r="AR270" t="str">
            <v>Leasing Strategy</v>
          </cell>
          <cell r="AS270">
            <v>44476</v>
          </cell>
          <cell r="AT270">
            <v>3570000</v>
          </cell>
          <cell r="AU270">
            <v>3788806</v>
          </cell>
          <cell r="AV270">
            <v>184992</v>
          </cell>
          <cell r="AW270">
            <v>184996</v>
          </cell>
          <cell r="AX270">
            <v>5.1818487394957986E-2</v>
          </cell>
          <cell r="AY270">
            <v>5.1819607843137258E-2</v>
          </cell>
          <cell r="AZ270">
            <v>2.5963069302888799</v>
          </cell>
          <cell r="BA270">
            <v>1</v>
          </cell>
          <cell r="BB270">
            <v>3.0684931506892101</v>
          </cell>
          <cell r="BC270">
            <v>1</v>
          </cell>
          <cell r="BD270">
            <v>0</v>
          </cell>
          <cell r="BE270">
            <v>47169.530000000006</v>
          </cell>
          <cell r="BF270">
            <v>177634.38</v>
          </cell>
          <cell r="BG270">
            <v>166894.5</v>
          </cell>
          <cell r="BH270">
            <v>166894.5</v>
          </cell>
          <cell r="BI270">
            <v>162465.12</v>
          </cell>
          <cell r="BJ270">
            <v>3796184.45</v>
          </cell>
        </row>
        <row r="271">
          <cell r="B271" t="str">
            <v>xga4601</v>
          </cell>
          <cell r="C271" t="str">
            <v>4601 Welcome All Road</v>
          </cell>
          <cell r="D271" t="str">
            <v>Realized</v>
          </cell>
          <cell r="E271" t="str">
            <v>Logistic Fund II</v>
          </cell>
          <cell r="F271" t="str">
            <v>USD</v>
          </cell>
          <cell r="G271" t="str">
            <v>Last Mile</v>
          </cell>
          <cell r="H271" t="str">
            <v>Atlanta</v>
          </cell>
          <cell r="I271" t="str">
            <v>College Park</v>
          </cell>
          <cell r="J271" t="str">
            <v>GA</v>
          </cell>
          <cell r="K271">
            <v>30349</v>
          </cell>
          <cell r="L271" t="str">
            <v>United States</v>
          </cell>
          <cell r="M271" t="str">
            <v>Atlanta-Sandy Springs-Roswell, GA</v>
          </cell>
          <cell r="N271">
            <v>125723</v>
          </cell>
          <cell r="O271">
            <v>1</v>
          </cell>
          <cell r="P271" t="str">
            <v>Single Asset</v>
          </cell>
          <cell r="Q271" t="str">
            <v>Property - Private Equity</v>
          </cell>
          <cell r="R271" t="str">
            <v>Industrial</v>
          </cell>
          <cell r="S271" t="str">
            <v>Warehouse</v>
          </cell>
          <cell r="T271">
            <v>1973</v>
          </cell>
          <cell r="U271" t="str">
            <v>Sq. Feet</v>
          </cell>
          <cell r="V271" t="str">
            <v>Value-Add</v>
          </cell>
          <cell r="W271" t="str">
            <v>Industrial / Logistics</v>
          </cell>
          <cell r="X271" t="str">
            <v>Common Equity</v>
          </cell>
          <cell r="Y271">
            <v>596820</v>
          </cell>
          <cell r="Z271">
            <v>851874</v>
          </cell>
          <cell r="AA271">
            <v>8403368</v>
          </cell>
          <cell r="AB271">
            <v>7.1021523750953192E-2</v>
          </cell>
          <cell r="AC271">
            <v>596149.54</v>
          </cell>
          <cell r="AD271">
            <v>7.9486605333333335E-2</v>
          </cell>
          <cell r="AE271">
            <v>5.2499999999999998E-2</v>
          </cell>
          <cell r="AF271">
            <v>0.19670000000000001</v>
          </cell>
          <cell r="AG271">
            <v>2.65</v>
          </cell>
          <cell r="AH271">
            <v>0.15629999999999999</v>
          </cell>
          <cell r="AI271">
            <v>2.5499999999999998</v>
          </cell>
          <cell r="AJ271">
            <v>0.11024348487470537</v>
          </cell>
          <cell r="AK271">
            <v>0.16612731663533253</v>
          </cell>
          <cell r="AL271">
            <v>2.2232003087440662</v>
          </cell>
          <cell r="AM271">
            <v>8.0141283744198377E-2</v>
          </cell>
          <cell r="AN271">
            <v>0.1300896495815469</v>
          </cell>
          <cell r="AO271">
            <v>1.9059835159688296</v>
          </cell>
          <cell r="AP271" t="str">
            <v>Soft marketed</v>
          </cell>
          <cell r="AQ271" t="str">
            <v>Rent Optimization</v>
          </cell>
          <cell r="AR271" t="str">
            <v>Leasing Strategy</v>
          </cell>
          <cell r="AS271">
            <v>44477</v>
          </cell>
          <cell r="AT271">
            <v>7500000</v>
          </cell>
          <cell r="AU271">
            <v>7551494</v>
          </cell>
          <cell r="AV271">
            <v>399924</v>
          </cell>
          <cell r="AW271">
            <v>409924</v>
          </cell>
          <cell r="AX271">
            <v>5.3323200000000001E-2</v>
          </cell>
          <cell r="AY271">
            <v>5.4656533333333333E-2</v>
          </cell>
          <cell r="AZ271">
            <v>3.2128269290424099</v>
          </cell>
          <cell r="BA271">
            <v>1</v>
          </cell>
          <cell r="BB271">
            <v>1.2301369863032201</v>
          </cell>
          <cell r="BC271">
            <v>1</v>
          </cell>
          <cell r="BD271">
            <v>0</v>
          </cell>
          <cell r="BE271">
            <v>87483.5</v>
          </cell>
          <cell r="BF271">
            <v>440222.95999999996</v>
          </cell>
          <cell r="BG271">
            <v>128046.99999999999</v>
          </cell>
          <cell r="BH271">
            <v>128046.99999999999</v>
          </cell>
          <cell r="BI271"/>
          <cell r="BJ271">
            <v>7747418.4900000002</v>
          </cell>
        </row>
        <row r="272">
          <cell r="B272" t="str">
            <v>xga5070</v>
          </cell>
          <cell r="C272" t="str">
            <v>5070 Minola Drive</v>
          </cell>
          <cell r="D272" t="str">
            <v>Unrealized</v>
          </cell>
          <cell r="E272" t="str">
            <v>Logistic Fund II</v>
          </cell>
          <cell r="F272" t="str">
            <v>USD</v>
          </cell>
          <cell r="G272" t="str">
            <v>Last Mile</v>
          </cell>
          <cell r="H272" t="str">
            <v>Atlanta</v>
          </cell>
          <cell r="I272" t="str">
            <v>Stonecrest</v>
          </cell>
          <cell r="J272" t="str">
            <v>GA</v>
          </cell>
          <cell r="K272">
            <v>30038</v>
          </cell>
          <cell r="L272" t="str">
            <v>United States</v>
          </cell>
          <cell r="M272" t="str">
            <v>Atlanta-Sandy Springs-Roswell, GA</v>
          </cell>
          <cell r="N272">
            <v>48276</v>
          </cell>
          <cell r="O272">
            <v>1</v>
          </cell>
          <cell r="P272" t="str">
            <v>Single Asset</v>
          </cell>
          <cell r="Q272" t="str">
            <v>Property - Private Equity</v>
          </cell>
          <cell r="R272" t="str">
            <v>Industrial</v>
          </cell>
          <cell r="S272" t="str">
            <v>Warehouse</v>
          </cell>
          <cell r="T272">
            <v>1965</v>
          </cell>
          <cell r="U272" t="str">
            <v>Sq. Feet</v>
          </cell>
          <cell r="V272" t="str">
            <v>Value-Add</v>
          </cell>
          <cell r="W272" t="str">
            <v>Industrial / Logistics</v>
          </cell>
          <cell r="X272" t="str">
            <v>Common Equity</v>
          </cell>
          <cell r="Y272">
            <v>235032</v>
          </cell>
          <cell r="Z272">
            <v>752452</v>
          </cell>
          <cell r="AA272">
            <v>3284707</v>
          </cell>
          <cell r="AB272">
            <v>7.1553414048802527E-2</v>
          </cell>
          <cell r="AC272">
            <v>189600</v>
          </cell>
          <cell r="AD272">
            <v>7.5961538461538455E-2</v>
          </cell>
          <cell r="AE272">
            <v>5.2499999999999998E-2</v>
          </cell>
          <cell r="AF272">
            <v>0.1595</v>
          </cell>
          <cell r="AG272">
            <v>2.66</v>
          </cell>
          <cell r="AH272">
            <v>0.12570000000000001</v>
          </cell>
          <cell r="AI272">
            <v>2.56</v>
          </cell>
          <cell r="AJ272">
            <v>0.10258549225586777</v>
          </cell>
          <cell r="AK272">
            <v>0.14875594261435432</v>
          </cell>
          <cell r="AL272">
            <v>2.0909598947973764</v>
          </cell>
          <cell r="AM272">
            <v>7.3692879084316321E-2</v>
          </cell>
          <cell r="AN272">
            <v>0.11508390728555651</v>
          </cell>
          <cell r="AO272">
            <v>1.8026344044529219</v>
          </cell>
          <cell r="AP272" t="str">
            <v>Soft marketed</v>
          </cell>
          <cell r="AQ272" t="str">
            <v>Lease-up</v>
          </cell>
          <cell r="AR272" t="str">
            <v>Leasing Strategy</v>
          </cell>
          <cell r="AS272">
            <v>44481</v>
          </cell>
          <cell r="AT272">
            <v>2496000</v>
          </cell>
          <cell r="AU272">
            <v>2532255</v>
          </cell>
          <cell r="AV272">
            <v>-64956</v>
          </cell>
          <cell r="AW272">
            <v>387</v>
          </cell>
          <cell r="AX272">
            <v>-2.6024038461538463E-2</v>
          </cell>
          <cell r="AY272">
            <v>1.5504807692307693E-4</v>
          </cell>
          <cell r="AZ272">
            <v>3.7048260135505502</v>
          </cell>
          <cell r="BA272">
            <v>1</v>
          </cell>
          <cell r="BB272">
            <v>0.23200476014646801</v>
          </cell>
          <cell r="BC272">
            <v>1</v>
          </cell>
          <cell r="BD272">
            <v>0</v>
          </cell>
          <cell r="BE272">
            <v>38290.22</v>
          </cell>
          <cell r="BF272">
            <v>185974.18</v>
          </cell>
          <cell r="BG272">
            <v>99130.639999999985</v>
          </cell>
          <cell r="BH272">
            <v>99130.639999999985</v>
          </cell>
          <cell r="BI272">
            <v>232157.51999999996</v>
          </cell>
          <cell r="BJ272">
            <v>3081540.1100000003</v>
          </cell>
        </row>
        <row r="273">
          <cell r="B273" t="str">
            <v>xgadors</v>
          </cell>
          <cell r="C273" t="str">
            <v>2009 Dorsey Road</v>
          </cell>
          <cell r="D273" t="str">
            <v>Unrealized</v>
          </cell>
          <cell r="E273" t="str">
            <v>Logistic Fund II</v>
          </cell>
          <cell r="F273" t="str">
            <v>USD</v>
          </cell>
          <cell r="G273" t="str">
            <v>Last Mile</v>
          </cell>
          <cell r="H273" t="str">
            <v>Atlanta</v>
          </cell>
          <cell r="I273" t="str">
            <v>Marietta</v>
          </cell>
          <cell r="J273" t="str">
            <v>GA</v>
          </cell>
          <cell r="K273">
            <v>30066</v>
          </cell>
          <cell r="L273" t="str">
            <v>United States</v>
          </cell>
          <cell r="M273" t="str">
            <v>Atlanta-Sandy Springs-Roswell, GA</v>
          </cell>
          <cell r="N273">
            <v>132436</v>
          </cell>
          <cell r="O273">
            <v>7</v>
          </cell>
          <cell r="P273" t="str">
            <v>Portfolio</v>
          </cell>
          <cell r="Q273" t="str">
            <v>Property - Private Equity</v>
          </cell>
          <cell r="R273" t="str">
            <v>Industrial</v>
          </cell>
          <cell r="S273" t="str">
            <v>Warehouse</v>
          </cell>
          <cell r="T273">
            <v>1981</v>
          </cell>
          <cell r="U273" t="str">
            <v>Sq. Feet</v>
          </cell>
          <cell r="V273" t="str">
            <v>Value-Add</v>
          </cell>
          <cell r="W273" t="str">
            <v>Industrial / Logistics</v>
          </cell>
          <cell r="X273" t="str">
            <v>Common Equity</v>
          </cell>
          <cell r="Y273">
            <v>1070664</v>
          </cell>
          <cell r="Z273">
            <v>1489774</v>
          </cell>
          <cell r="AA273">
            <v>11555134</v>
          </cell>
          <cell r="AB273">
            <v>9.2656995583088861E-2</v>
          </cell>
          <cell r="AC273">
            <v>881253.4</v>
          </cell>
          <cell r="AD273">
            <v>8.8125339999999996E-2</v>
          </cell>
          <cell r="AE273">
            <v>0.06</v>
          </cell>
          <cell r="AF273">
            <v>0.2233</v>
          </cell>
          <cell r="AG273">
            <v>2.85</v>
          </cell>
          <cell r="AH273">
            <v>0.1797</v>
          </cell>
          <cell r="AI273">
            <v>2.75</v>
          </cell>
          <cell r="AJ273">
            <v>0.13650876160759284</v>
          </cell>
          <cell r="AK273">
            <v>0.21220229300179061</v>
          </cell>
          <cell r="AL273">
            <v>2.6342243169889556</v>
          </cell>
          <cell r="AM273">
            <v>0.10339065917345858</v>
          </cell>
          <cell r="AN273">
            <v>0.17195025771917494</v>
          </cell>
          <cell r="AO273">
            <v>2.2374556237231764</v>
          </cell>
          <cell r="AP273" t="str">
            <v>Unsolicited \ Off-market</v>
          </cell>
          <cell r="AQ273" t="str">
            <v>Rent Optimization</v>
          </cell>
          <cell r="AR273" t="str">
            <v>Leasing Strategy</v>
          </cell>
          <cell r="AS273">
            <v>44481</v>
          </cell>
          <cell r="AT273">
            <v>10000000</v>
          </cell>
          <cell r="AU273">
            <v>10065360</v>
          </cell>
          <cell r="AV273">
            <v>635220</v>
          </cell>
          <cell r="AW273">
            <v>632531</v>
          </cell>
          <cell r="AX273">
            <v>6.3521999999999995E-2</v>
          </cell>
          <cell r="AY273">
            <v>6.3253100000000007E-2</v>
          </cell>
          <cell r="AZ273">
            <v>2.38587302546135</v>
          </cell>
          <cell r="BA273">
            <v>1</v>
          </cell>
          <cell r="BB273">
            <v>1.6805060247289201</v>
          </cell>
          <cell r="BC273">
            <v>1</v>
          </cell>
          <cell r="BD273">
            <v>0</v>
          </cell>
          <cell r="BE273">
            <v>124041.56000000001</v>
          </cell>
          <cell r="BF273">
            <v>647175.01</v>
          </cell>
          <cell r="BG273">
            <v>901147.02000000014</v>
          </cell>
          <cell r="BH273">
            <v>901147.02000000014</v>
          </cell>
          <cell r="BI273">
            <v>871342.61999999988</v>
          </cell>
          <cell r="BJ273">
            <v>10276974.449999999</v>
          </cell>
        </row>
        <row r="274">
          <cell r="B274" t="str">
            <v>xga1157</v>
          </cell>
          <cell r="C274" t="str">
            <v>1157 Battlecreek Road</v>
          </cell>
          <cell r="D274" t="str">
            <v>Unrealized</v>
          </cell>
          <cell r="E274" t="str">
            <v>Logistic Fund II</v>
          </cell>
          <cell r="F274" t="str">
            <v>USD</v>
          </cell>
          <cell r="G274" t="str">
            <v>Last Mile</v>
          </cell>
          <cell r="H274" t="str">
            <v>Atlanta</v>
          </cell>
          <cell r="I274" t="str">
            <v>Jonesboro</v>
          </cell>
          <cell r="J274" t="str">
            <v>GA</v>
          </cell>
          <cell r="K274">
            <v>30236</v>
          </cell>
          <cell r="L274" t="str">
            <v>United States</v>
          </cell>
          <cell r="M274" t="str">
            <v>Atlanta-Sandy Springs-Roswell, GA</v>
          </cell>
          <cell r="N274">
            <v>166493</v>
          </cell>
          <cell r="O274">
            <v>1</v>
          </cell>
          <cell r="P274" t="str">
            <v>Single Asset</v>
          </cell>
          <cell r="Q274" t="str">
            <v>Property - Private Equity</v>
          </cell>
          <cell r="R274" t="str">
            <v>Industrial</v>
          </cell>
          <cell r="S274" t="str">
            <v>Warehouse</v>
          </cell>
          <cell r="T274">
            <v>1988</v>
          </cell>
          <cell r="U274" t="str">
            <v>Sq. Feet</v>
          </cell>
          <cell r="V274" t="str">
            <v>Value-Add</v>
          </cell>
          <cell r="W274" t="str">
            <v>Industrial / Logistics</v>
          </cell>
          <cell r="X274" t="str">
            <v>Common Equity</v>
          </cell>
          <cell r="Y274">
            <v>834324</v>
          </cell>
          <cell r="Z274">
            <v>771101</v>
          </cell>
          <cell r="AA274">
            <v>11077808</v>
          </cell>
          <cell r="AB274">
            <v>7.5314899843001437E-2</v>
          </cell>
          <cell r="AC274">
            <v>624348.75</v>
          </cell>
          <cell r="AD274">
            <v>6.0912073170731711E-2</v>
          </cell>
          <cell r="AE274">
            <v>0.06</v>
          </cell>
          <cell r="AF274">
            <v>0.1888</v>
          </cell>
          <cell r="AG274">
            <v>2.27</v>
          </cell>
          <cell r="AH274">
            <v>0.1469</v>
          </cell>
          <cell r="AI274">
            <v>2.17</v>
          </cell>
          <cell r="AJ274">
            <v>0.10740247439646566</v>
          </cell>
          <cell r="AK274">
            <v>0.16558537817297059</v>
          </cell>
          <cell r="AL274">
            <v>2.1066533762829822</v>
          </cell>
          <cell r="AM274">
            <v>7.7185291227601205E-2</v>
          </cell>
          <cell r="AN274">
            <v>0.12877766815381531</v>
          </cell>
          <cell r="AO274">
            <v>1.8129611018650542</v>
          </cell>
          <cell r="AP274" t="str">
            <v>Market deal</v>
          </cell>
          <cell r="AQ274" t="str">
            <v>Renewal / Re-tenant</v>
          </cell>
          <cell r="AR274" t="str">
            <v>Stabilised</v>
          </cell>
          <cell r="AS274">
            <v>44481</v>
          </cell>
          <cell r="AT274">
            <v>10250000</v>
          </cell>
          <cell r="AU274">
            <v>10306707</v>
          </cell>
          <cell r="AV274">
            <v>726360</v>
          </cell>
          <cell r="AW274">
            <v>727569</v>
          </cell>
          <cell r="AX274">
            <v>7.0864390243902439E-2</v>
          </cell>
          <cell r="AY274">
            <v>7.098234146341463E-2</v>
          </cell>
          <cell r="AZ274">
            <v>4.32</v>
          </cell>
          <cell r="BA274">
            <v>1</v>
          </cell>
          <cell r="BB274">
            <v>10.002739726024499</v>
          </cell>
          <cell r="BC274">
            <v>1</v>
          </cell>
          <cell r="BD274">
            <v>0</v>
          </cell>
          <cell r="BE274">
            <v>164633.53</v>
          </cell>
          <cell r="BF274">
            <v>728350.48</v>
          </cell>
          <cell r="BG274">
            <v>286988.36</v>
          </cell>
          <cell r="BH274">
            <v>286988.36</v>
          </cell>
          <cell r="BI274">
            <v>735004.27999999991</v>
          </cell>
          <cell r="BJ274">
            <v>10450844.5</v>
          </cell>
        </row>
        <row r="275">
          <cell r="B275" t="str">
            <v>xil2101</v>
          </cell>
          <cell r="C275" t="str">
            <v>2101 Arthur Avenue</v>
          </cell>
          <cell r="D275" t="str">
            <v>Unrealized</v>
          </cell>
          <cell r="E275" t="str">
            <v>Logistic Fund II</v>
          </cell>
          <cell r="F275" t="str">
            <v>USD</v>
          </cell>
          <cell r="G275" t="str">
            <v>Last Mile</v>
          </cell>
          <cell r="H275" t="str">
            <v>Chicago</v>
          </cell>
          <cell r="I275" t="str">
            <v>Elk Grove Village</v>
          </cell>
          <cell r="J275" t="str">
            <v>IL</v>
          </cell>
          <cell r="K275">
            <v>60007</v>
          </cell>
          <cell r="L275" t="str">
            <v>United States</v>
          </cell>
          <cell r="M275" t="str">
            <v>Chicago-Naperville-Elgin, IL-IN-WI</v>
          </cell>
          <cell r="N275">
            <v>82529</v>
          </cell>
          <cell r="O275">
            <v>1</v>
          </cell>
          <cell r="P275" t="str">
            <v>Single Asset</v>
          </cell>
          <cell r="Q275" t="str">
            <v>Property - Private Equity</v>
          </cell>
          <cell r="R275" t="str">
            <v>Industrial</v>
          </cell>
          <cell r="S275" t="str">
            <v>Warehouse</v>
          </cell>
          <cell r="T275">
            <v>1965</v>
          </cell>
          <cell r="U275" t="str">
            <v>Sq. Feet</v>
          </cell>
          <cell r="V275" t="str">
            <v>Value-Add</v>
          </cell>
          <cell r="W275" t="str">
            <v>Industrial / Logistics</v>
          </cell>
          <cell r="X275" t="str">
            <v>Common Equity</v>
          </cell>
          <cell r="Y275">
            <v>610620</v>
          </cell>
          <cell r="Z275">
            <v>1136631</v>
          </cell>
          <cell r="AA275">
            <v>7423621</v>
          </cell>
          <cell r="AB275">
            <v>8.2253660309436594E-2</v>
          </cell>
          <cell r="AC275">
            <v>507411.9</v>
          </cell>
          <cell r="AD275">
            <v>8.2008879507635024E-2</v>
          </cell>
          <cell r="AE275">
            <v>6.5000000000000002E-2</v>
          </cell>
          <cell r="AF275">
            <v>0.1789</v>
          </cell>
          <cell r="AG275">
            <v>2.29</v>
          </cell>
          <cell r="AH275">
            <v>0.13850000000000001</v>
          </cell>
          <cell r="AI275">
            <v>2.19</v>
          </cell>
          <cell r="AJ275">
            <v>0.11468034244503644</v>
          </cell>
          <cell r="AK275">
            <v>0.18074639093042588</v>
          </cell>
          <cell r="AL275">
            <v>2.1594397073920226</v>
          </cell>
          <cell r="AM275">
            <v>8.3311115687848103E-2</v>
          </cell>
          <cell r="AN275">
            <v>0.1419798752483814</v>
          </cell>
          <cell r="AO275">
            <v>1.8572903884537508</v>
          </cell>
          <cell r="AP275" t="str">
            <v>Unsolicited \ Off-market</v>
          </cell>
          <cell r="AQ275" t="str">
            <v>Renewal / Re-tenant</v>
          </cell>
          <cell r="AR275" t="str">
            <v>Stabilised</v>
          </cell>
          <cell r="AS275">
            <v>44488</v>
          </cell>
          <cell r="AT275">
            <v>6187280</v>
          </cell>
          <cell r="AU275">
            <v>6286990</v>
          </cell>
          <cell r="AV275">
            <v>520572</v>
          </cell>
          <cell r="AW275">
            <v>526219</v>
          </cell>
          <cell r="AX275">
            <v>8.4135839981381161E-2</v>
          </cell>
          <cell r="AY275">
            <v>8.50485188968335E-2</v>
          </cell>
          <cell r="AZ275">
            <v>6.3462521053205503</v>
          </cell>
          <cell r="BA275">
            <v>1</v>
          </cell>
          <cell r="BB275">
            <v>3.39868038084794</v>
          </cell>
          <cell r="BC275">
            <v>1</v>
          </cell>
          <cell r="BD275">
            <v>0</v>
          </cell>
          <cell r="BE275">
            <v>115779.35</v>
          </cell>
          <cell r="BF275">
            <v>496453.65</v>
          </cell>
          <cell r="BG275">
            <v>549445.06000000006</v>
          </cell>
          <cell r="BH275">
            <v>549445.06000000006</v>
          </cell>
          <cell r="BI275">
            <v>542860.54</v>
          </cell>
          <cell r="BJ275">
            <v>6688282.46</v>
          </cell>
        </row>
        <row r="276">
          <cell r="B276" t="str">
            <v>xnj108n</v>
          </cell>
          <cell r="C276" t="str">
            <v>108 North Gold Drive</v>
          </cell>
          <cell r="D276" t="str">
            <v>Unrealized</v>
          </cell>
          <cell r="E276" t="str">
            <v>Logistic Fund II</v>
          </cell>
          <cell r="F276" t="str">
            <v>USD</v>
          </cell>
          <cell r="G276" t="str">
            <v>Last Mile</v>
          </cell>
          <cell r="H276" t="str">
            <v>Philadelphia</v>
          </cell>
          <cell r="I276" t="str">
            <v>Robbinsville</v>
          </cell>
          <cell r="J276" t="str">
            <v>NJ</v>
          </cell>
          <cell r="K276" t="str">
            <v>08691</v>
          </cell>
          <cell r="L276" t="str">
            <v>United States</v>
          </cell>
          <cell r="M276" t="str">
            <v>Trenton, NJ</v>
          </cell>
          <cell r="N276">
            <v>23912</v>
          </cell>
          <cell r="O276">
            <v>1</v>
          </cell>
          <cell r="P276" t="str">
            <v>Single Asset</v>
          </cell>
          <cell r="Q276" t="str">
            <v>Property - Private Equity</v>
          </cell>
          <cell r="R276" t="str">
            <v>Industrial</v>
          </cell>
          <cell r="S276" t="str">
            <v>Warehouse</v>
          </cell>
          <cell r="T276">
            <v>1980</v>
          </cell>
          <cell r="U276" t="str">
            <v>Sq. Feet</v>
          </cell>
          <cell r="V276" t="str">
            <v>Value-Add</v>
          </cell>
          <cell r="W276" t="str">
            <v>Industrial / Logistics</v>
          </cell>
          <cell r="X276" t="str">
            <v>Common Equity</v>
          </cell>
          <cell r="Y276">
            <v>231924</v>
          </cell>
          <cell r="Z276">
            <v>211440</v>
          </cell>
          <cell r="AA276">
            <v>2999415</v>
          </cell>
          <cell r="AB276">
            <v>7.7323078000210044E-2</v>
          </cell>
          <cell r="AC276">
            <v>169980.75</v>
          </cell>
          <cell r="AD276">
            <v>6.1811181818181821E-2</v>
          </cell>
          <cell r="AE276">
            <v>0.06</v>
          </cell>
          <cell r="AF276">
            <v>0.185</v>
          </cell>
          <cell r="AG276">
            <v>2.3199999999999998</v>
          </cell>
          <cell r="AH276">
            <v>0.14330000000000001</v>
          </cell>
          <cell r="AI276">
            <v>2.21</v>
          </cell>
          <cell r="AJ276">
            <v>0.10717253144163275</v>
          </cell>
          <cell r="AK276">
            <v>0.16398137542249258</v>
          </cell>
          <cell r="AL276">
            <v>2.1240609536273696</v>
          </cell>
          <cell r="AM276">
            <v>7.717865975653404E-2</v>
          </cell>
          <cell r="AN276">
            <v>0.12755604048680169</v>
          </cell>
          <cell r="AO276">
            <v>1.8272093826200009</v>
          </cell>
          <cell r="AP276" t="str">
            <v>Soft marketed</v>
          </cell>
          <cell r="AQ276" t="str">
            <v>Renewal / Re-tenant</v>
          </cell>
          <cell r="AR276" t="str">
            <v>Leasing Strategy</v>
          </cell>
          <cell r="AS276">
            <v>44491</v>
          </cell>
          <cell r="AT276">
            <v>2750000</v>
          </cell>
          <cell r="AU276">
            <v>2787975</v>
          </cell>
          <cell r="AV276">
            <v>179988</v>
          </cell>
          <cell r="AW276">
            <v>180742</v>
          </cell>
          <cell r="AX276">
            <v>6.5450181818181824E-2</v>
          </cell>
          <cell r="AY276">
            <v>6.5724363636363636E-2</v>
          </cell>
          <cell r="AZ276">
            <v>7.3999983271997296</v>
          </cell>
          <cell r="BA276">
            <v>1</v>
          </cell>
          <cell r="BB276">
            <v>3.0273972602877199</v>
          </cell>
          <cell r="BC276">
            <v>1</v>
          </cell>
          <cell r="BD276">
            <v>0</v>
          </cell>
          <cell r="BE276">
            <v>31939.180000000004</v>
          </cell>
          <cell r="BF276">
            <v>166271.86000000002</v>
          </cell>
          <cell r="BG276">
            <v>168301.47</v>
          </cell>
          <cell r="BH276">
            <v>168301.47</v>
          </cell>
          <cell r="BI276">
            <v>170502.13999999998</v>
          </cell>
          <cell r="BJ276">
            <v>2787975</v>
          </cell>
        </row>
        <row r="277">
          <cell r="B277" t="str">
            <v>xoh8655</v>
          </cell>
          <cell r="C277" t="str">
            <v>8655 Seward Road</v>
          </cell>
          <cell r="D277" t="str">
            <v>Unrealized</v>
          </cell>
          <cell r="E277" t="str">
            <v>Logistic Fund II</v>
          </cell>
          <cell r="F277" t="str">
            <v>USD</v>
          </cell>
          <cell r="G277" t="str">
            <v>Last Mile</v>
          </cell>
          <cell r="H277" t="str">
            <v>Cincinnati</v>
          </cell>
          <cell r="I277" t="str">
            <v>Fairfield</v>
          </cell>
          <cell r="J277" t="str">
            <v>OH</v>
          </cell>
          <cell r="K277">
            <v>45011</v>
          </cell>
          <cell r="L277" t="str">
            <v>United States</v>
          </cell>
          <cell r="M277" t="str">
            <v>Cincinnati, OH-KY-IN</v>
          </cell>
          <cell r="N277">
            <v>30512</v>
          </cell>
          <cell r="O277">
            <v>1</v>
          </cell>
          <cell r="P277" t="str">
            <v>Single Asset</v>
          </cell>
          <cell r="Q277" t="str">
            <v>Property - Private Equity</v>
          </cell>
          <cell r="R277" t="str">
            <v>Industrial</v>
          </cell>
          <cell r="S277" t="str">
            <v>Warehouse</v>
          </cell>
          <cell r="T277">
            <v>1990</v>
          </cell>
          <cell r="U277" t="str">
            <v>Sq. Feet</v>
          </cell>
          <cell r="V277" t="str">
            <v>Value-Add</v>
          </cell>
          <cell r="W277" t="str">
            <v>Industrial / Logistics</v>
          </cell>
          <cell r="X277" t="str">
            <v>Common Equity</v>
          </cell>
          <cell r="Y277">
            <v>204924</v>
          </cell>
          <cell r="Z277">
            <v>118636</v>
          </cell>
          <cell r="AA277">
            <v>2465560</v>
          </cell>
          <cell r="AB277">
            <v>8.3114586544233357E-2</v>
          </cell>
          <cell r="AC277">
            <v>167816</v>
          </cell>
          <cell r="AD277">
            <v>7.4584888888888895E-2</v>
          </cell>
          <cell r="AE277">
            <v>6.5000000000000002E-2</v>
          </cell>
          <cell r="AF277">
            <v>0.19089999999999999</v>
          </cell>
          <cell r="AG277">
            <v>2.2400000000000002</v>
          </cell>
          <cell r="AH277">
            <v>0.14829999999999999</v>
          </cell>
          <cell r="AI277">
            <v>2.14</v>
          </cell>
          <cell r="AJ277">
            <v>0.10948509519945571</v>
          </cell>
          <cell r="AK277">
            <v>0.16965662192916309</v>
          </cell>
          <cell r="AL277">
            <v>2.1519317232716846</v>
          </cell>
          <cell r="AM277">
            <v>7.9180275614484597E-2</v>
          </cell>
          <cell r="AN277">
            <v>0.13264289729732415</v>
          </cell>
          <cell r="AO277">
            <v>1.8494079722919183</v>
          </cell>
          <cell r="AP277" t="str">
            <v>Market deal</v>
          </cell>
          <cell r="AQ277" t="str">
            <v>Renewal / Re-tenant</v>
          </cell>
          <cell r="AR277" t="str">
            <v>Leasing Strategy</v>
          </cell>
          <cell r="AS277">
            <v>44495</v>
          </cell>
          <cell r="AT277">
            <v>2250000</v>
          </cell>
          <cell r="AU277">
            <v>2346924</v>
          </cell>
          <cell r="AV277">
            <v>167808</v>
          </cell>
          <cell r="AW277">
            <v>168165</v>
          </cell>
          <cell r="AX277">
            <v>7.4581333333333333E-2</v>
          </cell>
          <cell r="AY277">
            <v>7.4740000000000001E-2</v>
          </cell>
          <cell r="AZ277">
            <v>5.6377818563188198</v>
          </cell>
          <cell r="BA277">
            <v>1</v>
          </cell>
          <cell r="BB277">
            <v>3.9315068493051899</v>
          </cell>
          <cell r="BC277">
            <v>1</v>
          </cell>
          <cell r="BD277">
            <v>0</v>
          </cell>
          <cell r="BE277">
            <v>30414.86</v>
          </cell>
          <cell r="BF277">
            <v>134942.85</v>
          </cell>
          <cell r="BG277">
            <v>169016.41999999998</v>
          </cell>
          <cell r="BH277">
            <v>169016.41999999998</v>
          </cell>
          <cell r="BI277">
            <v>175485.28000000003</v>
          </cell>
          <cell r="BJ277">
            <v>2346924</v>
          </cell>
        </row>
        <row r="278">
          <cell r="B278" t="str">
            <v>xpa12111</v>
          </cell>
          <cell r="C278" t="str">
            <v>1211 Ford Road</v>
          </cell>
          <cell r="D278" t="str">
            <v>Unrealized</v>
          </cell>
          <cell r="E278" t="str">
            <v>Logistic Fund II</v>
          </cell>
          <cell r="F278" t="str">
            <v>USD</v>
          </cell>
          <cell r="G278" t="str">
            <v>Last Mile</v>
          </cell>
          <cell r="H278" t="str">
            <v>Philadelphia</v>
          </cell>
          <cell r="I278" t="str">
            <v>Bensalem</v>
          </cell>
          <cell r="J278" t="str">
            <v>PA</v>
          </cell>
          <cell r="K278">
            <v>19020</v>
          </cell>
          <cell r="L278" t="str">
            <v>United States</v>
          </cell>
          <cell r="M278" t="str">
            <v>Philadelphia-Camden-Wilmington, PA-NJ-DE-MD</v>
          </cell>
          <cell r="N278">
            <v>106045</v>
          </cell>
          <cell r="O278">
            <v>1</v>
          </cell>
          <cell r="P278" t="str">
            <v>Portfolio</v>
          </cell>
          <cell r="Q278" t="str">
            <v>Property - Private Equity</v>
          </cell>
          <cell r="R278" t="str">
            <v>Industrial</v>
          </cell>
          <cell r="S278" t="str">
            <v>Warehouse</v>
          </cell>
          <cell r="T278">
            <v>1927</v>
          </cell>
          <cell r="U278" t="str">
            <v>Sq. Feet</v>
          </cell>
          <cell r="V278" t="str">
            <v>Value-Add</v>
          </cell>
          <cell r="W278" t="str">
            <v>Industrial / Logistics</v>
          </cell>
          <cell r="X278" t="str">
            <v>Common Equity</v>
          </cell>
          <cell r="Y278">
            <v>581712</v>
          </cell>
          <cell r="Z278">
            <v>103650</v>
          </cell>
          <cell r="AA278">
            <v>11292002</v>
          </cell>
          <cell r="AB278">
            <v>5.1515400014984059E-2</v>
          </cell>
          <cell r="AC278">
            <v>572275</v>
          </cell>
          <cell r="AD278">
            <v>5.2025000000000002E-2</v>
          </cell>
          <cell r="AE278">
            <v>0.05</v>
          </cell>
          <cell r="AF278">
            <v>0.17050000000000001</v>
          </cell>
          <cell r="AG278">
            <v>2.15</v>
          </cell>
          <cell r="AH278">
            <v>0.1308</v>
          </cell>
          <cell r="AI278">
            <v>2.0499999999999998</v>
          </cell>
          <cell r="AJ278">
            <v>5.008118118306748E-2</v>
          </cell>
          <cell r="AK278">
            <v>4.8807014557502137E-2</v>
          </cell>
          <cell r="AL278">
            <v>1.2919177270910693</v>
          </cell>
          <cell r="AM278">
            <v>2.8176367288313076E-2</v>
          </cell>
          <cell r="AN278">
            <v>2.7090251079569416E-2</v>
          </cell>
          <cell r="AO278">
            <v>1.1597662279877654</v>
          </cell>
          <cell r="AP278" t="str">
            <v>Soft marketed</v>
          </cell>
          <cell r="AQ278" t="str">
            <v>Rent Optimization</v>
          </cell>
          <cell r="AR278" t="str">
            <v>Leasing Strategy</v>
          </cell>
          <cell r="AS278">
            <v>44497</v>
          </cell>
          <cell r="AT278">
            <v>11000000</v>
          </cell>
          <cell r="AU278">
            <v>11188352</v>
          </cell>
          <cell r="AV278">
            <v>472980</v>
          </cell>
          <cell r="AW278">
            <v>472938</v>
          </cell>
          <cell r="AX278">
            <v>4.2998181818181817E-2</v>
          </cell>
          <cell r="AY278">
            <v>4.2994363636363636E-2</v>
          </cell>
          <cell r="AZ278">
            <v>4.6263451330000596</v>
          </cell>
          <cell r="BA278">
            <v>1</v>
          </cell>
          <cell r="BB278">
            <v>2.0219178082207598</v>
          </cell>
          <cell r="BC278">
            <v>1</v>
          </cell>
          <cell r="BD278">
            <v>0</v>
          </cell>
          <cell r="BE278">
            <v>84104.03</v>
          </cell>
          <cell r="BF278">
            <v>487733.19999999995</v>
          </cell>
          <cell r="BG278">
            <v>517651.38</v>
          </cell>
          <cell r="BH278">
            <v>517651.38</v>
          </cell>
          <cell r="BI278">
            <v>506102.04</v>
          </cell>
          <cell r="BJ278">
            <v>11188352</v>
          </cell>
        </row>
        <row r="279">
          <cell r="B279" t="str">
            <v>xtnawg2</v>
          </cell>
          <cell r="C279" t="str">
            <v>4690 Hungerford Road</v>
          </cell>
          <cell r="D279" t="str">
            <v>Realized</v>
          </cell>
          <cell r="E279" t="str">
            <v>Logistic Fund II</v>
          </cell>
          <cell r="F279" t="str">
            <v>USD</v>
          </cell>
          <cell r="G279" t="str">
            <v>Last Mile</v>
          </cell>
          <cell r="H279" t="str">
            <v>Memphis</v>
          </cell>
          <cell r="I279" t="str">
            <v>Memphis</v>
          </cell>
          <cell r="J279" t="str">
            <v>TN</v>
          </cell>
          <cell r="K279">
            <v>38118</v>
          </cell>
          <cell r="L279" t="str">
            <v>United States</v>
          </cell>
          <cell r="M279" t="str">
            <v>Memphis, TN-MS-AR</v>
          </cell>
          <cell r="N279">
            <v>145758</v>
          </cell>
          <cell r="O279">
            <v>1</v>
          </cell>
          <cell r="P279" t="str">
            <v>Portfolio</v>
          </cell>
          <cell r="Q279" t="str">
            <v>Property - Private Equity</v>
          </cell>
          <cell r="R279" t="str">
            <v>Industrial</v>
          </cell>
          <cell r="S279" t="str">
            <v>Warehouse</v>
          </cell>
          <cell r="T279">
            <v>1977</v>
          </cell>
          <cell r="U279" t="str">
            <v>Sq. Feet</v>
          </cell>
          <cell r="V279" t="str">
            <v>Value-Add</v>
          </cell>
          <cell r="W279" t="str">
            <v>Industrial / Logistics</v>
          </cell>
          <cell r="X279" t="str">
            <v>Common Equity</v>
          </cell>
          <cell r="Y279">
            <v>511740</v>
          </cell>
          <cell r="Z279">
            <v>650838</v>
          </cell>
          <cell r="AA279">
            <v>7370839</v>
          </cell>
          <cell r="AB279">
            <v>6.9427645889429956E-2</v>
          </cell>
          <cell r="AC279">
            <v>408122.39999999898</v>
          </cell>
          <cell r="AD279">
            <v>6.1322823429712361E-2</v>
          </cell>
          <cell r="AE279">
            <v>0.05</v>
          </cell>
          <cell r="AF279">
            <v>0.16850000000000001</v>
          </cell>
          <cell r="AG279">
            <v>2.33</v>
          </cell>
          <cell r="AH279">
            <v>0.1303</v>
          </cell>
          <cell r="AI279">
            <v>2.23</v>
          </cell>
          <cell r="AJ279">
            <v>0.10360607188476534</v>
          </cell>
          <cell r="AK279">
            <v>0.15320831904993648</v>
          </cell>
          <cell r="AL279">
            <v>2.1306025978633119</v>
          </cell>
          <cell r="AM279">
            <v>7.4791448521978943E-2</v>
          </cell>
          <cell r="AN279">
            <v>0.11891836273279588</v>
          </cell>
          <cell r="AO279">
            <v>1.8341804565383166</v>
          </cell>
          <cell r="AP279" t="str">
            <v>Market deal</v>
          </cell>
          <cell r="AQ279" t="str">
            <v>Rent Optimization</v>
          </cell>
          <cell r="AR279" t="str">
            <v>Leasing Strategy</v>
          </cell>
          <cell r="AS279">
            <v>44529</v>
          </cell>
          <cell r="AT279">
            <v>6655310</v>
          </cell>
          <cell r="AU279">
            <v>6720001</v>
          </cell>
          <cell r="AV279">
            <v>364404</v>
          </cell>
          <cell r="AW279">
            <v>364402</v>
          </cell>
          <cell r="AX279">
            <v>5.4753873223035439E-2</v>
          </cell>
          <cell r="AY279">
            <v>5.4753572711113384E-2</v>
          </cell>
          <cell r="AZ279">
            <v>2.5</v>
          </cell>
          <cell r="BA279">
            <v>1</v>
          </cell>
          <cell r="BB279">
            <v>2.08767123287915</v>
          </cell>
          <cell r="BC279">
            <v>1</v>
          </cell>
          <cell r="BD279">
            <v>0</v>
          </cell>
          <cell r="BE279">
            <v>31479.679999999997</v>
          </cell>
          <cell r="BF279">
            <v>355063.93000000005</v>
          </cell>
          <cell r="BG279">
            <v>261258.29</v>
          </cell>
          <cell r="BH279">
            <v>261258.29</v>
          </cell>
          <cell r="BI279"/>
          <cell r="BJ279">
            <v>6720001</v>
          </cell>
        </row>
        <row r="280">
          <cell r="B280" t="str">
            <v>xtx1121</v>
          </cell>
          <cell r="C280" t="str">
            <v>1121 108th Street</v>
          </cell>
          <cell r="D280" t="str">
            <v>Unrealized</v>
          </cell>
          <cell r="E280" t="str">
            <v>Logistic Fund II</v>
          </cell>
          <cell r="F280" t="str">
            <v>USD</v>
          </cell>
          <cell r="G280" t="str">
            <v>Last Mile</v>
          </cell>
          <cell r="H280" t="str">
            <v>Dallas</v>
          </cell>
          <cell r="I280" t="str">
            <v>Dallas</v>
          </cell>
          <cell r="J280" t="str">
            <v>TX</v>
          </cell>
          <cell r="K280">
            <v>76011</v>
          </cell>
          <cell r="L280" t="str">
            <v>United States</v>
          </cell>
          <cell r="M280" t="str">
            <v>Dallas-Fort Worth-Arlington, TX</v>
          </cell>
          <cell r="N280">
            <v>66325</v>
          </cell>
          <cell r="O280">
            <v>1</v>
          </cell>
          <cell r="P280" t="str">
            <v>Single Asset</v>
          </cell>
          <cell r="Q280" t="str">
            <v>Property - Private Equity</v>
          </cell>
          <cell r="R280" t="str">
            <v>Industrial</v>
          </cell>
          <cell r="S280" t="str">
            <v>Warehouse</v>
          </cell>
          <cell r="T280">
            <v>1961</v>
          </cell>
          <cell r="U280" t="str">
            <v>Sq. Feet</v>
          </cell>
          <cell r="V280" t="str">
            <v>Value-Add</v>
          </cell>
          <cell r="W280" t="str">
            <v>Industrial / Logistics</v>
          </cell>
          <cell r="X280" t="str">
            <v>Common Equity</v>
          </cell>
          <cell r="Y280">
            <v>455460</v>
          </cell>
          <cell r="Z280">
            <v>1170846</v>
          </cell>
          <cell r="AA280">
            <v>5461132</v>
          </cell>
          <cell r="AB280">
            <v>8.3400291368163237E-2</v>
          </cell>
          <cell r="AC280">
            <v>351923</v>
          </cell>
          <cell r="AD280">
            <v>8.2805411764705877E-2</v>
          </cell>
          <cell r="AE280">
            <v>5.5E-2</v>
          </cell>
          <cell r="AF280">
            <v>0.1938</v>
          </cell>
          <cell r="AG280">
            <v>3.13</v>
          </cell>
          <cell r="AH280">
            <v>0.15579999999999999</v>
          </cell>
          <cell r="AI280">
            <v>3.02</v>
          </cell>
          <cell r="AJ280">
            <v>0.12515380979739765</v>
          </cell>
          <cell r="AK280">
            <v>0.18819783975051241</v>
          </cell>
          <cell r="AL280">
            <v>2.4971328800256969</v>
          </cell>
          <cell r="AM280">
            <v>9.3679331937458477E-2</v>
          </cell>
          <cell r="AN280">
            <v>0.15077997559324552</v>
          </cell>
          <cell r="AO280">
            <v>2.1274335308259307</v>
          </cell>
          <cell r="AP280" t="str">
            <v>Soft marketed</v>
          </cell>
          <cell r="AQ280" t="str">
            <v>Lease-up</v>
          </cell>
          <cell r="AR280" t="str">
            <v>Leasing Strategy</v>
          </cell>
          <cell r="AS280">
            <v>44502</v>
          </cell>
          <cell r="AT280">
            <v>4250000</v>
          </cell>
          <cell r="AU280">
            <v>4290286</v>
          </cell>
          <cell r="AV280">
            <v>-139404</v>
          </cell>
          <cell r="AW280">
            <v>69821</v>
          </cell>
          <cell r="AX280">
            <v>-3.2800941176470588E-2</v>
          </cell>
          <cell r="AY280">
            <v>1.6428470588235294E-2</v>
          </cell>
          <cell r="AZ280">
            <v>0</v>
          </cell>
          <cell r="BA280">
            <v>0</v>
          </cell>
          <cell r="BB280">
            <v>0</v>
          </cell>
          <cell r="BC280">
            <v>1</v>
          </cell>
          <cell r="BD280">
            <v>0</v>
          </cell>
          <cell r="BE280">
            <v>0</v>
          </cell>
          <cell r="BF280">
            <v>-10248.040000000001</v>
          </cell>
          <cell r="BG280">
            <v>386686.89</v>
          </cell>
          <cell r="BH280">
            <v>386686.89</v>
          </cell>
          <cell r="BI280">
            <v>413151.43000000005</v>
          </cell>
          <cell r="BJ280">
            <v>5261410.5</v>
          </cell>
        </row>
        <row r="281">
          <cell r="B281" t="str">
            <v>xnj14th</v>
          </cell>
          <cell r="C281" t="str">
            <v>14-16 Thomas J Rhodes</v>
          </cell>
          <cell r="D281" t="str">
            <v>Unrealized</v>
          </cell>
          <cell r="E281" t="str">
            <v>Logistic Fund II</v>
          </cell>
          <cell r="F281" t="str">
            <v>USD</v>
          </cell>
          <cell r="G281" t="str">
            <v>Last Mile</v>
          </cell>
          <cell r="H281" t="str">
            <v>Philadelphia</v>
          </cell>
          <cell r="I281" t="str">
            <v>Hamilton</v>
          </cell>
          <cell r="J281" t="str">
            <v>NJ</v>
          </cell>
          <cell r="K281" t="str">
            <v>08619</v>
          </cell>
          <cell r="L281" t="str">
            <v>United States</v>
          </cell>
          <cell r="M281" t="str">
            <v>Trenton, NJ</v>
          </cell>
          <cell r="N281">
            <v>44404</v>
          </cell>
          <cell r="O281">
            <v>1</v>
          </cell>
          <cell r="P281" t="str">
            <v>Single Asset</v>
          </cell>
          <cell r="Q281" t="str">
            <v>Property - Private Equity</v>
          </cell>
          <cell r="R281" t="str">
            <v>Industrial</v>
          </cell>
          <cell r="S281" t="str">
            <v>Warehouse</v>
          </cell>
          <cell r="T281">
            <v>1989</v>
          </cell>
          <cell r="U281" t="str">
            <v>Sq. Feet</v>
          </cell>
          <cell r="V281" t="str">
            <v>Value-Add</v>
          </cell>
          <cell r="W281" t="str">
            <v>Industrial / Logistics</v>
          </cell>
          <cell r="X281" t="str">
            <v>Common Equity</v>
          </cell>
          <cell r="Y281">
            <v>478116</v>
          </cell>
          <cell r="Z281">
            <v>618037</v>
          </cell>
          <cell r="AA281">
            <v>5580325</v>
          </cell>
          <cell r="AB281">
            <v>8.5678880710352887E-2</v>
          </cell>
          <cell r="AC281">
            <v>338410</v>
          </cell>
          <cell r="AD281">
            <v>6.9063265306122446E-2</v>
          </cell>
          <cell r="AE281">
            <v>0.06</v>
          </cell>
          <cell r="AF281">
            <v>0.1958</v>
          </cell>
          <cell r="AG281">
            <v>2.48</v>
          </cell>
          <cell r="AH281">
            <v>0.1542</v>
          </cell>
          <cell r="AI281">
            <v>2.38</v>
          </cell>
          <cell r="AJ281">
            <v>0.11435841070856867</v>
          </cell>
          <cell r="AK281">
            <v>0.17304871190310656</v>
          </cell>
          <cell r="AL281">
            <v>2.2372764476575804</v>
          </cell>
          <cell r="AM281">
            <v>8.4016393762073038E-2</v>
          </cell>
          <cell r="AN281">
            <v>0.13660231340455353</v>
          </cell>
          <cell r="AO281">
            <v>1.9219111667050068</v>
          </cell>
          <cell r="AP281" t="str">
            <v>Unsolicited \ Off-market</v>
          </cell>
          <cell r="AQ281" t="str">
            <v>Rent Optimization</v>
          </cell>
          <cell r="AR281" t="str">
            <v>Leasing Strategy</v>
          </cell>
          <cell r="AS281">
            <v>44504</v>
          </cell>
          <cell r="AT281">
            <v>4900000</v>
          </cell>
          <cell r="AU281">
            <v>4962288</v>
          </cell>
          <cell r="AV281">
            <v>261048</v>
          </cell>
          <cell r="AW281">
            <v>260878</v>
          </cell>
          <cell r="AX281">
            <v>5.3275102040816327E-2</v>
          </cell>
          <cell r="AY281">
            <v>5.3240408163265307E-2</v>
          </cell>
          <cell r="AZ281">
            <v>5.1415422034050904</v>
          </cell>
          <cell r="BA281">
            <v>1</v>
          </cell>
          <cell r="BB281">
            <v>0.47362375103594201</v>
          </cell>
          <cell r="BC281">
            <v>1</v>
          </cell>
          <cell r="BD281">
            <v>0</v>
          </cell>
          <cell r="BE281">
            <v>46282.09</v>
          </cell>
          <cell r="BF281">
            <v>247206.83000000005</v>
          </cell>
          <cell r="BG281">
            <v>300373.98000000004</v>
          </cell>
          <cell r="BH281">
            <v>300373.98000000004</v>
          </cell>
          <cell r="BI281">
            <v>290946.94999999995</v>
          </cell>
          <cell r="BJ281">
            <v>4991365.8899999997</v>
          </cell>
        </row>
        <row r="282">
          <cell r="B282" t="str">
            <v>xoh382c</v>
          </cell>
          <cell r="C282" t="str">
            <v>382 Circle Freeway Drive</v>
          </cell>
          <cell r="D282" t="str">
            <v>Unrealized</v>
          </cell>
          <cell r="E282" t="str">
            <v>Logistic Fund II</v>
          </cell>
          <cell r="F282" t="str">
            <v>USD</v>
          </cell>
          <cell r="G282" t="str">
            <v>Last Mile</v>
          </cell>
          <cell r="H282" t="str">
            <v>Cincinnati</v>
          </cell>
          <cell r="I282" t="str">
            <v>Cincinnati</v>
          </cell>
          <cell r="J282" t="str">
            <v>OH</v>
          </cell>
          <cell r="K282">
            <v>45246</v>
          </cell>
          <cell r="L282" t="str">
            <v>United States</v>
          </cell>
          <cell r="M282" t="str">
            <v>Cincinnati, OH-KY-IN</v>
          </cell>
          <cell r="N282">
            <v>47635</v>
          </cell>
          <cell r="O282">
            <v>1</v>
          </cell>
          <cell r="P282" t="str">
            <v>Single Asset</v>
          </cell>
          <cell r="Q282" t="str">
            <v>Property - Private Equity</v>
          </cell>
          <cell r="R282" t="str">
            <v>Industrial</v>
          </cell>
          <cell r="S282" t="str">
            <v>Warehouse</v>
          </cell>
          <cell r="T282">
            <v>1977</v>
          </cell>
          <cell r="U282" t="str">
            <v>Sq. Feet</v>
          </cell>
          <cell r="V282" t="str">
            <v>Value-Add</v>
          </cell>
          <cell r="W282" t="str">
            <v>Industrial / Logistics</v>
          </cell>
          <cell r="X282" t="str">
            <v>Common Equity</v>
          </cell>
          <cell r="Y282">
            <v>288204</v>
          </cell>
          <cell r="Z282">
            <v>446154</v>
          </cell>
          <cell r="AA282">
            <v>3598862</v>
          </cell>
          <cell r="AB282">
            <v>8.0081981470809388E-2</v>
          </cell>
          <cell r="AC282">
            <v>250083.75</v>
          </cell>
          <cell r="AD282">
            <v>8.0802504038772219E-2</v>
          </cell>
          <cell r="AE282">
            <v>6.5000000000000002E-2</v>
          </cell>
          <cell r="AF282">
            <v>0.17399999999999999</v>
          </cell>
          <cell r="AG282">
            <v>2.21</v>
          </cell>
          <cell r="AH282">
            <v>0.13350000000000001</v>
          </cell>
          <cell r="AI282">
            <v>2.11</v>
          </cell>
          <cell r="AJ282">
            <v>0.10279483609617301</v>
          </cell>
          <cell r="AK282">
            <v>0.15596906960853518</v>
          </cell>
          <cell r="AL282">
            <v>2.0138607118215082</v>
          </cell>
          <cell r="AM282">
            <v>7.3395823214451372E-2</v>
          </cell>
          <cell r="AN282">
            <v>0.12040695723402184</v>
          </cell>
          <cell r="AO282">
            <v>1.7417112275039899</v>
          </cell>
          <cell r="AP282" t="str">
            <v>Unsolicited \ Off-market</v>
          </cell>
          <cell r="AQ282" t="str">
            <v>Rent Optimization</v>
          </cell>
          <cell r="AR282" t="str">
            <v>Leasing Strategy</v>
          </cell>
          <cell r="AS282">
            <v>44516</v>
          </cell>
          <cell r="AT282">
            <v>3095000</v>
          </cell>
          <cell r="AU282">
            <v>3152708</v>
          </cell>
          <cell r="AV282">
            <v>220536</v>
          </cell>
          <cell r="AW282">
            <v>222981</v>
          </cell>
          <cell r="AX282">
            <v>7.1255573505654285E-2</v>
          </cell>
          <cell r="AY282">
            <v>7.2045557350565434E-2</v>
          </cell>
          <cell r="AZ282">
            <v>4.62999979007032</v>
          </cell>
          <cell r="BA282">
            <v>1</v>
          </cell>
          <cell r="BB282">
            <v>2.45479452054161</v>
          </cell>
          <cell r="BC282">
            <v>1</v>
          </cell>
          <cell r="BD282">
            <v>0</v>
          </cell>
          <cell r="BE282">
            <v>29876.969999999998</v>
          </cell>
          <cell r="BF282">
            <v>189804.35</v>
          </cell>
          <cell r="BG282">
            <v>216421.79</v>
          </cell>
          <cell r="BH282">
            <v>216421.79</v>
          </cell>
          <cell r="BI282">
            <v>222988.03</v>
          </cell>
          <cell r="BJ282">
            <v>3204666.12</v>
          </cell>
        </row>
        <row r="283">
          <cell r="B283" t="str">
            <v>xnj220r</v>
          </cell>
          <cell r="C283" t="str">
            <v>220 Route 70</v>
          </cell>
          <cell r="D283" t="str">
            <v>Unrealized</v>
          </cell>
          <cell r="E283" t="str">
            <v>Logistic Fund II</v>
          </cell>
          <cell r="F283" t="str">
            <v>USD</v>
          </cell>
          <cell r="G283" t="str">
            <v>Last Mile</v>
          </cell>
          <cell r="H283" t="str">
            <v>Philadelphia</v>
          </cell>
          <cell r="I283" t="str">
            <v>Medford</v>
          </cell>
          <cell r="J283" t="str">
            <v>NJ</v>
          </cell>
          <cell r="K283" t="str">
            <v>08055</v>
          </cell>
          <cell r="L283" t="str">
            <v>United States</v>
          </cell>
          <cell r="M283" t="str">
            <v>Philadelphia-Camden-Wilmington, PA-NJ-DE-MD</v>
          </cell>
          <cell r="N283">
            <v>84425</v>
          </cell>
          <cell r="O283">
            <v>1</v>
          </cell>
          <cell r="P283" t="str">
            <v>Single Asset</v>
          </cell>
          <cell r="Q283" t="str">
            <v>Property - Private Equity</v>
          </cell>
          <cell r="R283" t="str">
            <v>Industrial</v>
          </cell>
          <cell r="S283" t="str">
            <v>Warehouse</v>
          </cell>
          <cell r="T283">
            <v>1970</v>
          </cell>
          <cell r="U283" t="str">
            <v>Sq. Feet</v>
          </cell>
          <cell r="V283" t="str">
            <v>Value-Add</v>
          </cell>
          <cell r="W283" t="str">
            <v>Industrial / Logistics</v>
          </cell>
          <cell r="X283" t="str">
            <v>Common Equity</v>
          </cell>
          <cell r="Y283">
            <v>621312</v>
          </cell>
          <cell r="Z283">
            <v>1491237</v>
          </cell>
          <cell r="AA283">
            <v>7880786</v>
          </cell>
          <cell r="AB283">
            <v>7.8838836633807849E-2</v>
          </cell>
          <cell r="AC283">
            <v>464337.5</v>
          </cell>
          <cell r="AD283">
            <v>7.3320306331912208E-2</v>
          </cell>
          <cell r="AE283">
            <v>0.06</v>
          </cell>
          <cell r="AF283">
            <v>0.16789999999999999</v>
          </cell>
          <cell r="AG283">
            <v>2.2999999999999998</v>
          </cell>
          <cell r="AH283">
            <v>0.12939999999999999</v>
          </cell>
          <cell r="AI283">
            <v>2.2000000000000002</v>
          </cell>
          <cell r="AJ283">
            <v>0.10657222813459466</v>
          </cell>
          <cell r="AK283">
            <v>0.16082518349207975</v>
          </cell>
          <cell r="AL283">
            <v>2.0643914793138927</v>
          </cell>
          <cell r="AM283">
            <v>7.6836371964411621E-2</v>
          </cell>
          <cell r="AN283">
            <v>0.124982786891225</v>
          </cell>
          <cell r="AO283">
            <v>1.7841491712069977</v>
          </cell>
          <cell r="AP283" t="str">
            <v>Unsolicited \ Off-market</v>
          </cell>
          <cell r="AQ283" t="str">
            <v>Rent Optimization</v>
          </cell>
          <cell r="AR283" t="str">
            <v>Leasing Strategy</v>
          </cell>
          <cell r="AS283">
            <v>44520</v>
          </cell>
          <cell r="AT283">
            <v>6333000</v>
          </cell>
          <cell r="AU283">
            <v>6389549</v>
          </cell>
          <cell r="AV283">
            <v>437292</v>
          </cell>
          <cell r="AW283">
            <v>437019</v>
          </cell>
          <cell r="AX283">
            <v>6.9049739459971574E-2</v>
          </cell>
          <cell r="AY283">
            <v>6.9006631927996206E-2</v>
          </cell>
          <cell r="AZ283">
            <v>6.6807301154871102</v>
          </cell>
          <cell r="BA283">
            <v>1</v>
          </cell>
          <cell r="BB283">
            <v>1.2123690882321501</v>
          </cell>
          <cell r="BC283">
            <v>1</v>
          </cell>
          <cell r="BD283">
            <v>0</v>
          </cell>
          <cell r="BE283">
            <v>42659.670000000006</v>
          </cell>
          <cell r="BF283">
            <v>329423.06999999995</v>
          </cell>
          <cell r="BG283">
            <v>402185.55</v>
          </cell>
          <cell r="BH283">
            <v>402185.55</v>
          </cell>
          <cell r="BI283">
            <v>195611.53999999998</v>
          </cell>
          <cell r="BJ283">
            <v>6934272.6600000001</v>
          </cell>
        </row>
        <row r="284">
          <cell r="B284" t="str">
            <v>xnj10tw</v>
          </cell>
          <cell r="C284" t="str">
            <v>10 Twosome Drive</v>
          </cell>
          <cell r="D284" t="str">
            <v>Unrealized</v>
          </cell>
          <cell r="E284" t="str">
            <v>Logistic Fund II</v>
          </cell>
          <cell r="F284" t="str">
            <v>USD</v>
          </cell>
          <cell r="G284" t="str">
            <v>Last Mile</v>
          </cell>
          <cell r="H284" t="str">
            <v>Philadelphia</v>
          </cell>
          <cell r="I284" t="str">
            <v>Moorestown</v>
          </cell>
          <cell r="J284" t="str">
            <v>NJ</v>
          </cell>
          <cell r="K284" t="str">
            <v>08057</v>
          </cell>
          <cell r="L284" t="str">
            <v>United States</v>
          </cell>
          <cell r="M284" t="str">
            <v>Philadelphia-Camden-Wilmington, PA-NJ-DE-MD</v>
          </cell>
          <cell r="N284">
            <v>45375</v>
          </cell>
          <cell r="O284">
            <v>1</v>
          </cell>
          <cell r="P284" t="str">
            <v>Single Asset</v>
          </cell>
          <cell r="Q284" t="str">
            <v>Property - Private Equity</v>
          </cell>
          <cell r="R284" t="str">
            <v>Industrial</v>
          </cell>
          <cell r="S284" t="str">
            <v>Warehouse</v>
          </cell>
          <cell r="T284">
            <v>1990</v>
          </cell>
          <cell r="U284" t="str">
            <v>Sq. Feet</v>
          </cell>
          <cell r="V284" t="str">
            <v>Value-Add</v>
          </cell>
          <cell r="W284" t="str">
            <v>Industrial / Logistics</v>
          </cell>
          <cell r="X284" t="str">
            <v>Common Equity</v>
          </cell>
          <cell r="Y284">
            <v>354888</v>
          </cell>
          <cell r="Z284">
            <v>387343</v>
          </cell>
          <cell r="AA284">
            <v>5024952</v>
          </cell>
          <cell r="AB284">
            <v>7.0625152240260211E-2</v>
          </cell>
          <cell r="AC284">
            <v>286000</v>
          </cell>
          <cell r="AD284">
            <v>6.3982102908277411E-2</v>
          </cell>
          <cell r="AE284">
            <v>5.5E-2</v>
          </cell>
          <cell r="AF284">
            <v>0.16239999999999999</v>
          </cell>
          <cell r="AG284">
            <v>2.12</v>
          </cell>
          <cell r="AH284">
            <v>0.1235</v>
          </cell>
          <cell r="AI284">
            <v>2.02</v>
          </cell>
          <cell r="AJ284">
            <v>9.4940372129713735E-2</v>
          </cell>
          <cell r="AK284">
            <v>0.13845976114642644</v>
          </cell>
          <cell r="AL284">
            <v>1.9557949554801382</v>
          </cell>
          <cell r="AM284">
            <v>6.7053661538081011E-2</v>
          </cell>
          <cell r="AN284">
            <v>0.10554527333117436</v>
          </cell>
          <cell r="AO284">
            <v>1.6947945285059907</v>
          </cell>
          <cell r="AP284" t="str">
            <v>Unsolicited \ Off-market</v>
          </cell>
          <cell r="AQ284" t="str">
            <v>Rent Optimization</v>
          </cell>
          <cell r="AR284" t="str">
            <v>Leasing Strategy</v>
          </cell>
          <cell r="AS284">
            <v>44523</v>
          </cell>
          <cell r="AT284">
            <v>4470000</v>
          </cell>
          <cell r="AU284">
            <v>4637609</v>
          </cell>
          <cell r="AV284">
            <v>256536</v>
          </cell>
          <cell r="AW284">
            <v>257176</v>
          </cell>
          <cell r="AX284">
            <v>5.7390604026845635E-2</v>
          </cell>
          <cell r="AY284">
            <v>5.7533780760626395E-2</v>
          </cell>
          <cell r="AZ284">
            <v>5.8349509090909004</v>
          </cell>
          <cell r="BA284">
            <v>1</v>
          </cell>
          <cell r="BB284">
            <v>0.104109589045454</v>
          </cell>
          <cell r="BC284">
            <v>1</v>
          </cell>
          <cell r="BD284">
            <v>0</v>
          </cell>
          <cell r="BE284">
            <v>26038.44</v>
          </cell>
          <cell r="BF284">
            <v>-146349.18</v>
          </cell>
          <cell r="BG284">
            <v>340800.59</v>
          </cell>
          <cell r="BH284">
            <v>340800.59</v>
          </cell>
          <cell r="BI284">
            <v>346551.13000000006</v>
          </cell>
          <cell r="BJ284">
            <v>5251898.1900000004</v>
          </cell>
        </row>
        <row r="285">
          <cell r="B285" t="str">
            <v>xil250n</v>
          </cell>
          <cell r="C285" t="str">
            <v>250 North Washtenaw Avenue</v>
          </cell>
          <cell r="D285" t="str">
            <v>Unrealized</v>
          </cell>
          <cell r="E285" t="str">
            <v>Logistic Fund II</v>
          </cell>
          <cell r="F285" t="str">
            <v>USD</v>
          </cell>
          <cell r="G285" t="str">
            <v>Last Mile</v>
          </cell>
          <cell r="H285" t="str">
            <v>Chicago</v>
          </cell>
          <cell r="I285" t="str">
            <v>Chicago</v>
          </cell>
          <cell r="J285" t="str">
            <v>IL</v>
          </cell>
          <cell r="K285">
            <v>60612</v>
          </cell>
          <cell r="L285" t="str">
            <v>United States</v>
          </cell>
          <cell r="M285" t="str">
            <v>Chicago-Naperville-Elgin, IL-IN-WI</v>
          </cell>
          <cell r="N285">
            <v>46000</v>
          </cell>
          <cell r="O285">
            <v>1</v>
          </cell>
          <cell r="P285" t="str">
            <v>Single Asset</v>
          </cell>
          <cell r="Q285" t="str">
            <v>Property - Private Equity</v>
          </cell>
          <cell r="R285" t="str">
            <v>Industrial</v>
          </cell>
          <cell r="S285" t="str">
            <v>Warehouse</v>
          </cell>
          <cell r="T285">
            <v>1966</v>
          </cell>
          <cell r="U285" t="str">
            <v>Sq. Feet</v>
          </cell>
          <cell r="V285" t="str">
            <v>Value-Add</v>
          </cell>
          <cell r="W285" t="str">
            <v>Industrial / Logistics</v>
          </cell>
          <cell r="X285" t="str">
            <v>Common Equity</v>
          </cell>
          <cell r="Y285">
            <v>468408</v>
          </cell>
          <cell r="Z285">
            <v>195954</v>
          </cell>
          <cell r="AA285">
            <v>6395142</v>
          </cell>
          <cell r="AB285">
            <v>7.3244347037172905E-2</v>
          </cell>
          <cell r="AC285">
            <v>414000</v>
          </cell>
          <cell r="AD285">
            <v>6.7647058823529407E-2</v>
          </cell>
          <cell r="AE285">
            <v>5.5E-2</v>
          </cell>
          <cell r="AF285">
            <v>0.17510000000000001</v>
          </cell>
          <cell r="AG285">
            <v>2.2000000000000002</v>
          </cell>
          <cell r="AH285">
            <v>0.1348</v>
          </cell>
          <cell r="AI285">
            <v>2.1</v>
          </cell>
          <cell r="AJ285">
            <v>0.10451015757395954</v>
          </cell>
          <cell r="AK285">
            <v>0.15673407140788664</v>
          </cell>
          <cell r="AL285">
            <v>2.1545421779385423</v>
          </cell>
          <cell r="AM285">
            <v>7.5473863297203847E-2</v>
          </cell>
          <cell r="AN285">
            <v>0.12202087231092817</v>
          </cell>
          <cell r="AO285">
            <v>1.8510964778451386</v>
          </cell>
          <cell r="AP285" t="str">
            <v>Unsolicited \ Off-market</v>
          </cell>
          <cell r="AQ285" t="str">
            <v>Rent Optimization</v>
          </cell>
          <cell r="AR285" t="str">
            <v>Leasing Strategy</v>
          </cell>
          <cell r="AS285">
            <v>44523</v>
          </cell>
          <cell r="AT285">
            <v>6120000</v>
          </cell>
          <cell r="AU285">
            <v>6199188</v>
          </cell>
          <cell r="AV285">
            <v>321996</v>
          </cell>
          <cell r="AW285">
            <v>321996</v>
          </cell>
          <cell r="AX285">
            <v>5.2613725490196078E-2</v>
          </cell>
          <cell r="AY285">
            <v>5.2613725490196078E-2</v>
          </cell>
          <cell r="AZ285">
            <v>6.9999991304347802</v>
          </cell>
          <cell r="BA285">
            <v>1</v>
          </cell>
          <cell r="BB285">
            <v>2.1041095890434698</v>
          </cell>
          <cell r="BC285">
            <v>1</v>
          </cell>
          <cell r="BD285">
            <v>0</v>
          </cell>
          <cell r="BE285">
            <v>31212.95</v>
          </cell>
          <cell r="BF285">
            <v>359968.85</v>
          </cell>
          <cell r="BG285">
            <v>328794.94</v>
          </cell>
          <cell r="BH285">
            <v>328794.94</v>
          </cell>
          <cell r="BI285">
            <v>335556.02</v>
          </cell>
          <cell r="BJ285">
            <v>6212688</v>
          </cell>
        </row>
        <row r="286">
          <cell r="B286" t="str">
            <v>xil2710l</v>
          </cell>
          <cell r="C286" t="str">
            <v>2710 W Lake St</v>
          </cell>
          <cell r="D286" t="str">
            <v>Realized</v>
          </cell>
          <cell r="E286" t="str">
            <v>Logistic Fund II</v>
          </cell>
          <cell r="F286" t="str">
            <v>USD</v>
          </cell>
          <cell r="G286" t="str">
            <v>Last Mile</v>
          </cell>
          <cell r="H286" t="str">
            <v>Chicago</v>
          </cell>
          <cell r="I286" t="str">
            <v>Chicago</v>
          </cell>
          <cell r="J286" t="str">
            <v>IL</v>
          </cell>
          <cell r="K286">
            <v>60612</v>
          </cell>
          <cell r="L286" t="str">
            <v>United States</v>
          </cell>
          <cell r="M286" t="str">
            <v>Chicago-Naperville-Elgin, IL-IN-WI</v>
          </cell>
          <cell r="N286">
            <v>24000</v>
          </cell>
          <cell r="O286">
            <v>1</v>
          </cell>
          <cell r="P286" t="str">
            <v>Single Asset</v>
          </cell>
          <cell r="Q286" t="str">
            <v>Property - Private Equity</v>
          </cell>
          <cell r="R286" t="str">
            <v>Industrial</v>
          </cell>
          <cell r="S286" t="str">
            <v>Warehouse</v>
          </cell>
          <cell r="T286">
            <v>1977</v>
          </cell>
          <cell r="U286" t="str">
            <v>Sq. Feet</v>
          </cell>
          <cell r="V286" t="str">
            <v>Value-Add</v>
          </cell>
          <cell r="W286" t="str">
            <v>Industrial / Logistics</v>
          </cell>
          <cell r="X286" t="str">
            <v>Common Equity</v>
          </cell>
          <cell r="Y286">
            <v>254280</v>
          </cell>
          <cell r="Z286">
            <v>583006</v>
          </cell>
          <cell r="AA286">
            <v>3140204</v>
          </cell>
          <cell r="AB286">
            <v>8.09756308825796E-2</v>
          </cell>
          <cell r="AC286">
            <v>192000</v>
          </cell>
          <cell r="AD286">
            <v>7.6799999999999993E-2</v>
          </cell>
          <cell r="AE286">
            <v>5.7500000000000002E-2</v>
          </cell>
          <cell r="AF286">
            <v>0.15459999999999999</v>
          </cell>
          <cell r="AG286">
            <v>2.4</v>
          </cell>
          <cell r="AH286">
            <v>0.1202</v>
          </cell>
          <cell r="AI286">
            <v>2.31</v>
          </cell>
          <cell r="AJ286">
            <v>0.11666461678536955</v>
          </cell>
          <cell r="AK286">
            <v>0.16760271539261273</v>
          </cell>
          <cell r="AL286">
            <v>2.0959991025922879</v>
          </cell>
          <cell r="AM286">
            <v>8.446109272888136E-2</v>
          </cell>
          <cell r="AN286">
            <v>0.12997642458123582</v>
          </cell>
          <cell r="AO286">
            <v>1.8131364334792108</v>
          </cell>
          <cell r="AP286" t="str">
            <v>Unsolicited \ Off-market</v>
          </cell>
          <cell r="AQ286" t="str">
            <v>Rent Optimization</v>
          </cell>
          <cell r="AR286" t="str">
            <v>Leasing Strategy</v>
          </cell>
          <cell r="AS286">
            <v>44720</v>
          </cell>
          <cell r="AT286">
            <v>2500000</v>
          </cell>
          <cell r="AU286">
            <v>2557198</v>
          </cell>
          <cell r="AV286">
            <v>28500</v>
          </cell>
          <cell r="AW286">
            <v>-85609</v>
          </cell>
          <cell r="AX286">
            <v>1.14E-2</v>
          </cell>
          <cell r="AY286">
            <v>-3.4243599999999999E-2</v>
          </cell>
          <cell r="AZ286">
            <v>6</v>
          </cell>
          <cell r="BA286">
            <v>1</v>
          </cell>
          <cell r="BB286">
            <v>0.23013698629166601</v>
          </cell>
          <cell r="BC286">
            <v>1</v>
          </cell>
          <cell r="BD286">
            <v>0</v>
          </cell>
          <cell r="BE286">
            <v>0</v>
          </cell>
          <cell r="BF286">
            <v>-42767.070000000007</v>
          </cell>
          <cell r="BG286">
            <v>-341175.15</v>
          </cell>
          <cell r="BH286">
            <v>-341175.15</v>
          </cell>
          <cell r="BI286"/>
          <cell r="BJ286">
            <v>2685605.37</v>
          </cell>
        </row>
        <row r="287">
          <cell r="B287" t="str">
            <v>xpastate</v>
          </cell>
          <cell r="C287" t="str">
            <v>8800 State Road</v>
          </cell>
          <cell r="D287" t="str">
            <v>Realized</v>
          </cell>
          <cell r="E287" t="str">
            <v>Logistic Fund II</v>
          </cell>
          <cell r="F287" t="str">
            <v>USD</v>
          </cell>
          <cell r="G287" t="str">
            <v>Last Mile</v>
          </cell>
          <cell r="H287" t="str">
            <v>Philadelphia</v>
          </cell>
          <cell r="I287" t="str">
            <v>Philadelphia</v>
          </cell>
          <cell r="J287" t="str">
            <v>PA</v>
          </cell>
          <cell r="K287">
            <v>19136</v>
          </cell>
          <cell r="L287" t="str">
            <v>United States</v>
          </cell>
          <cell r="M287" t="str">
            <v>Philadelphia-Camden-Wilmington, PA-NJ-DE-MD</v>
          </cell>
          <cell r="N287">
            <v>17063</v>
          </cell>
          <cell r="O287">
            <v>1</v>
          </cell>
          <cell r="P287" t="str">
            <v>Single Asset</v>
          </cell>
          <cell r="Q287" t="str">
            <v>Property - Private Equity</v>
          </cell>
          <cell r="R287" t="str">
            <v>Industrial</v>
          </cell>
          <cell r="S287" t="str">
            <v>Warehouse</v>
          </cell>
          <cell r="T287">
            <v>1975</v>
          </cell>
          <cell r="U287" t="str">
            <v>Sq. Feet</v>
          </cell>
          <cell r="V287" t="str">
            <v>Value-Add</v>
          </cell>
          <cell r="W287" t="str">
            <v>Industrial / Logistics</v>
          </cell>
          <cell r="X287" t="str">
            <v>Common Equity</v>
          </cell>
          <cell r="Y287">
            <v>215976</v>
          </cell>
          <cell r="Z287">
            <v>115466</v>
          </cell>
          <cell r="AA287">
            <v>2966648</v>
          </cell>
          <cell r="AB287">
            <v>7.2801356952358356E-2</v>
          </cell>
          <cell r="AC287">
            <v>172714.06</v>
          </cell>
          <cell r="AD287">
            <v>6.2805112727272724E-2</v>
          </cell>
          <cell r="AE287">
            <v>0.06</v>
          </cell>
          <cell r="AF287">
            <v>0.14799999999999999</v>
          </cell>
          <cell r="AG287">
            <v>1.95</v>
          </cell>
          <cell r="AH287">
            <v>0.1103</v>
          </cell>
          <cell r="AI287">
            <v>1.85</v>
          </cell>
          <cell r="AJ287">
            <v>9.4870302941273854E-2</v>
          </cell>
          <cell r="AK287">
            <v>0.14072519927255556</v>
          </cell>
          <cell r="AL287">
            <v>1.9001958859336008</v>
          </cell>
          <cell r="AM287">
            <v>6.5550454174581718E-2</v>
          </cell>
          <cell r="AN287">
            <v>0.10561376790067567</v>
          </cell>
          <cell r="AO287">
            <v>1.6450598192986985</v>
          </cell>
          <cell r="AP287" t="str">
            <v>Unsolicited \ Off-market</v>
          </cell>
          <cell r="AQ287" t="str">
            <v>Renewal / Re-tenant</v>
          </cell>
          <cell r="AR287" t="str">
            <v>Stabilised</v>
          </cell>
          <cell r="AS287">
            <v>44393</v>
          </cell>
          <cell r="AT287">
            <v>2750000</v>
          </cell>
          <cell r="AU287">
            <v>2851182</v>
          </cell>
          <cell r="AV287">
            <v>172716</v>
          </cell>
          <cell r="AW287">
            <v>174444</v>
          </cell>
          <cell r="AX287">
            <v>6.2805818181818185E-2</v>
          </cell>
          <cell r="AY287">
            <v>6.343418181818182E-2</v>
          </cell>
          <cell r="AZ287">
            <v>10.0568481509699</v>
          </cell>
          <cell r="BA287">
            <v>1</v>
          </cell>
          <cell r="BB287">
            <v>4.7095890410830403</v>
          </cell>
          <cell r="BC287">
            <v>1</v>
          </cell>
          <cell r="BD287">
            <v>0</v>
          </cell>
          <cell r="BE287">
            <v>75707.540000000008</v>
          </cell>
          <cell r="BF287">
            <v>214437.81999999998</v>
          </cell>
          <cell r="BG287">
            <v>125262.67000000001</v>
          </cell>
          <cell r="BH287">
            <v>125262.67000000001</v>
          </cell>
          <cell r="BI287"/>
          <cell r="BJ287">
            <v>2851182</v>
          </cell>
        </row>
        <row r="288">
          <cell r="B288" t="str">
            <v>xil529t</v>
          </cell>
          <cell r="C288" t="str">
            <v>529 Thomas Drive</v>
          </cell>
          <cell r="D288" t="str">
            <v>Unrealized</v>
          </cell>
          <cell r="E288" t="str">
            <v>Logistic Fund II</v>
          </cell>
          <cell r="F288" t="str">
            <v>USD</v>
          </cell>
          <cell r="G288" t="str">
            <v>Last Mile</v>
          </cell>
          <cell r="H288" t="str">
            <v>Chicago</v>
          </cell>
          <cell r="I288" t="str">
            <v>Bensenville</v>
          </cell>
          <cell r="J288" t="str">
            <v>IL</v>
          </cell>
          <cell r="K288">
            <v>60106</v>
          </cell>
          <cell r="L288" t="str">
            <v>United States</v>
          </cell>
          <cell r="M288" t="str">
            <v>Chicago-Naperville-Elgin, IL-IN-WI</v>
          </cell>
          <cell r="N288">
            <v>62000</v>
          </cell>
          <cell r="O288">
            <v>1</v>
          </cell>
          <cell r="P288" t="str">
            <v>Single Asset</v>
          </cell>
          <cell r="Q288" t="str">
            <v>Property - Private Equity</v>
          </cell>
          <cell r="R288" t="str">
            <v>Industrial</v>
          </cell>
          <cell r="S288" t="str">
            <v>Warehouse</v>
          </cell>
          <cell r="T288">
            <v>1971</v>
          </cell>
          <cell r="U288" t="str">
            <v>Sq. Feet</v>
          </cell>
          <cell r="V288" t="str">
            <v>Value-Add</v>
          </cell>
          <cell r="W288" t="str">
            <v>Industrial / Logistics</v>
          </cell>
          <cell r="X288" t="str">
            <v>Common Equity</v>
          </cell>
          <cell r="Y288">
            <v>409716</v>
          </cell>
          <cell r="Z288">
            <v>61685</v>
          </cell>
          <cell r="AA288">
            <v>6235215</v>
          </cell>
          <cell r="AB288">
            <v>6.571000358447944E-2</v>
          </cell>
          <cell r="AC288">
            <v>372000</v>
          </cell>
          <cell r="AD288">
            <v>6.1487603305785121E-2</v>
          </cell>
          <cell r="AE288">
            <v>5.5E-2</v>
          </cell>
          <cell r="AF288">
            <v>0.15970000000000001</v>
          </cell>
          <cell r="AG288">
            <v>1.98</v>
          </cell>
          <cell r="AH288">
            <v>0.1197</v>
          </cell>
          <cell r="AI288">
            <v>1.88</v>
          </cell>
          <cell r="AJ288">
            <v>8.5680308505211578E-2</v>
          </cell>
          <cell r="AK288">
            <v>0.12255775863534213</v>
          </cell>
          <cell r="AL288">
            <v>1.829981527542005</v>
          </cell>
          <cell r="AM288">
            <v>5.8958769656713095E-2</v>
          </cell>
          <cell r="AN288">
            <v>9.1298132614099581E-2</v>
          </cell>
          <cell r="AO288">
            <v>1.5913924343674299</v>
          </cell>
          <cell r="AP288" t="str">
            <v>Unsolicited \ Off-market</v>
          </cell>
          <cell r="AQ288" t="str">
            <v>Rent Optimization</v>
          </cell>
          <cell r="AR288" t="str">
            <v>Stabilised</v>
          </cell>
          <cell r="AS288">
            <v>44532</v>
          </cell>
          <cell r="AT288">
            <v>6050000</v>
          </cell>
          <cell r="AU288">
            <v>6173530</v>
          </cell>
          <cell r="AV288">
            <v>353496</v>
          </cell>
          <cell r="AW288">
            <v>353478</v>
          </cell>
          <cell r="AX288">
            <v>5.842909090909091E-2</v>
          </cell>
          <cell r="AY288">
            <v>5.8426115702479339E-2</v>
          </cell>
          <cell r="AZ288">
            <v>5.6655735483870897</v>
          </cell>
          <cell r="BA288">
            <v>1</v>
          </cell>
          <cell r="BB288">
            <v>7.3315068493225803</v>
          </cell>
          <cell r="BC288">
            <v>1</v>
          </cell>
          <cell r="BD288">
            <v>0</v>
          </cell>
          <cell r="BE288">
            <v>28225.859999999997</v>
          </cell>
          <cell r="BF288">
            <v>333436.74</v>
          </cell>
          <cell r="BG288">
            <v>347203.18</v>
          </cell>
          <cell r="BH288">
            <v>347203.18</v>
          </cell>
          <cell r="BI288">
            <v>352508.94</v>
          </cell>
          <cell r="BJ288">
            <v>6176703.0800000001</v>
          </cell>
        </row>
        <row r="289">
          <cell r="B289" t="str">
            <v>xil700h</v>
          </cell>
          <cell r="C289" t="str">
            <v>700 High Grove Boulevard</v>
          </cell>
          <cell r="D289" t="str">
            <v>Unrealized</v>
          </cell>
          <cell r="E289" t="str">
            <v>Logistic Fund II</v>
          </cell>
          <cell r="F289" t="str">
            <v>USD</v>
          </cell>
          <cell r="G289" t="str">
            <v>Last Mile</v>
          </cell>
          <cell r="H289" t="str">
            <v>Chicago</v>
          </cell>
          <cell r="I289" t="str">
            <v>Glendale Heights</v>
          </cell>
          <cell r="J289" t="str">
            <v>IL</v>
          </cell>
          <cell r="K289">
            <v>60139</v>
          </cell>
          <cell r="L289" t="str">
            <v>United States</v>
          </cell>
          <cell r="M289" t="str">
            <v>Chicago-Naperville-Elgin, IL-IN-WI</v>
          </cell>
          <cell r="N289">
            <v>43519</v>
          </cell>
          <cell r="O289">
            <v>1</v>
          </cell>
          <cell r="P289" t="str">
            <v>Single Asset</v>
          </cell>
          <cell r="Q289" t="str">
            <v>Property - Private Equity</v>
          </cell>
          <cell r="R289" t="str">
            <v>Industrial</v>
          </cell>
          <cell r="S289" t="str">
            <v>Warehouse</v>
          </cell>
          <cell r="T289">
            <v>1987</v>
          </cell>
          <cell r="U289" t="str">
            <v>Sq. Feet</v>
          </cell>
          <cell r="V289" t="str">
            <v>Value-Add</v>
          </cell>
          <cell r="W289" t="str">
            <v>Industrial / Logistics</v>
          </cell>
          <cell r="X289" t="str">
            <v>Common Equity</v>
          </cell>
          <cell r="Y289">
            <v>314592</v>
          </cell>
          <cell r="Z289">
            <v>577720</v>
          </cell>
          <cell r="AA289">
            <v>3616400</v>
          </cell>
          <cell r="AB289">
            <v>8.699037717066696E-2</v>
          </cell>
          <cell r="AC289">
            <v>254006.25</v>
          </cell>
          <cell r="AD289">
            <v>8.4668750000000001E-2</v>
          </cell>
          <cell r="AE289">
            <v>0.06</v>
          </cell>
          <cell r="AF289">
            <v>0.18390000000000001</v>
          </cell>
          <cell r="AG289">
            <v>2.74</v>
          </cell>
          <cell r="AH289">
            <v>0.1457</v>
          </cell>
          <cell r="AI289">
            <v>2.64</v>
          </cell>
          <cell r="AJ289">
            <v>0.1158596330727395</v>
          </cell>
          <cell r="AK289">
            <v>0.17029751125635895</v>
          </cell>
          <cell r="AL289">
            <v>2.3713827317574099</v>
          </cell>
          <cell r="AM289">
            <v>8.5980113067511077E-2</v>
          </cell>
          <cell r="AN289">
            <v>0.13527774190886288</v>
          </cell>
          <cell r="AO289">
            <v>2.0281453256574151</v>
          </cell>
          <cell r="AP289" t="str">
            <v>Unsolicited \ Off-market</v>
          </cell>
          <cell r="AQ289" t="str">
            <v>Lease-up</v>
          </cell>
          <cell r="AR289" t="str">
            <v>Leasing Strategy</v>
          </cell>
          <cell r="AS289">
            <v>44538</v>
          </cell>
          <cell r="AT289">
            <v>3000000</v>
          </cell>
          <cell r="AU289">
            <v>3038680</v>
          </cell>
          <cell r="AV289">
            <v>-129084</v>
          </cell>
          <cell r="AW289">
            <v>-129407</v>
          </cell>
          <cell r="AX289">
            <v>-4.3027999999999997E-2</v>
          </cell>
          <cell r="AY289">
            <v>-4.3135666666666669E-2</v>
          </cell>
          <cell r="AZ289">
            <v>0</v>
          </cell>
          <cell r="BA289">
            <v>0</v>
          </cell>
          <cell r="BB289">
            <v>0</v>
          </cell>
          <cell r="BC289">
            <v>1</v>
          </cell>
          <cell r="BD289">
            <v>0</v>
          </cell>
          <cell r="BE289">
            <v>-4883.37</v>
          </cell>
          <cell r="BF289">
            <v>104523.90999999999</v>
          </cell>
          <cell r="BG289">
            <v>278527.78999999998</v>
          </cell>
          <cell r="BH289">
            <v>278527.78999999998</v>
          </cell>
          <cell r="BI289">
            <v>198195.17</v>
          </cell>
          <cell r="BJ289">
            <v>3237390.5</v>
          </cell>
        </row>
        <row r="290">
          <cell r="B290" t="str">
            <v>xga4507m</v>
          </cell>
          <cell r="C290" t="str">
            <v>4507 Mills Place</v>
          </cell>
          <cell r="D290" t="str">
            <v>Unrealized</v>
          </cell>
          <cell r="E290" t="str">
            <v>Logistic Fund II</v>
          </cell>
          <cell r="F290" t="str">
            <v>USD</v>
          </cell>
          <cell r="G290" t="str">
            <v>Last Mile</v>
          </cell>
          <cell r="H290" t="str">
            <v>Atlanta</v>
          </cell>
          <cell r="I290" t="str">
            <v>Atlanta</v>
          </cell>
          <cell r="J290" t="str">
            <v>GA</v>
          </cell>
          <cell r="K290">
            <v>30319</v>
          </cell>
          <cell r="L290" t="str">
            <v>United States</v>
          </cell>
          <cell r="M290" t="str">
            <v>Atlanta-Sandy Springs-Roswell, GA</v>
          </cell>
          <cell r="N290">
            <v>104105</v>
          </cell>
          <cell r="O290">
            <v>1</v>
          </cell>
          <cell r="P290" t="str">
            <v>Single Asset</v>
          </cell>
          <cell r="Q290" t="str">
            <v>Property - Private Equity</v>
          </cell>
          <cell r="R290" t="str">
            <v>Industrial</v>
          </cell>
          <cell r="S290" t="str">
            <v>Warehouse</v>
          </cell>
          <cell r="T290">
            <v>1968</v>
          </cell>
          <cell r="U290" t="str">
            <v>Sq. Feet</v>
          </cell>
          <cell r="V290" t="str">
            <v>Value-Add</v>
          </cell>
          <cell r="W290" t="str">
            <v>Industrial / Logistics</v>
          </cell>
          <cell r="X290" t="str">
            <v>Common Equity</v>
          </cell>
          <cell r="Y290">
            <v>566376</v>
          </cell>
          <cell r="Z290">
            <v>503405</v>
          </cell>
          <cell r="AA290">
            <v>8693596</v>
          </cell>
          <cell r="AB290">
            <v>6.5148645048608192E-2</v>
          </cell>
          <cell r="AC290">
            <v>488461.6</v>
          </cell>
          <cell r="AD290">
            <v>6.0007567567567567E-2</v>
          </cell>
          <cell r="AE290">
            <v>0.05</v>
          </cell>
          <cell r="AF290">
            <v>0.1641</v>
          </cell>
          <cell r="AG290">
            <v>2.1</v>
          </cell>
          <cell r="AH290">
            <v>0.1245</v>
          </cell>
          <cell r="AI290">
            <v>2</v>
          </cell>
          <cell r="AJ290">
            <v>9.6841017227306869E-2</v>
          </cell>
          <cell r="AK290">
            <v>0.14239293640928996</v>
          </cell>
          <cell r="AL290">
            <v>2.006376942995967</v>
          </cell>
          <cell r="AM290">
            <v>6.8879761247902183E-2</v>
          </cell>
          <cell r="AN290">
            <v>0.10926639082247647</v>
          </cell>
          <cell r="AO290">
            <v>1.734665962814377</v>
          </cell>
          <cell r="AP290" t="str">
            <v>Unsolicited \ Off-market</v>
          </cell>
          <cell r="AQ290" t="str">
            <v>Rent Optimization</v>
          </cell>
          <cell r="AR290" t="str">
            <v>Leasing Strategy</v>
          </cell>
          <cell r="AS290">
            <v>44543</v>
          </cell>
          <cell r="AT290">
            <v>8140000</v>
          </cell>
          <cell r="AU290">
            <v>8190191</v>
          </cell>
          <cell r="AV290">
            <v>443436</v>
          </cell>
          <cell r="AW290">
            <v>447036</v>
          </cell>
          <cell r="AX290">
            <v>5.4476167076167079E-2</v>
          </cell>
          <cell r="AY290">
            <v>5.4918427518427515E-2</v>
          </cell>
          <cell r="AZ290">
            <v>4.4803947368420998</v>
          </cell>
          <cell r="BA290">
            <v>1</v>
          </cell>
          <cell r="BB290">
            <v>3.2526349519563702</v>
          </cell>
          <cell r="BC290">
            <v>1</v>
          </cell>
          <cell r="BD290">
            <v>0</v>
          </cell>
          <cell r="BE290">
            <v>34494.350000000006</v>
          </cell>
          <cell r="BF290">
            <v>437358.05</v>
          </cell>
          <cell r="BG290">
            <v>453599.99999999994</v>
          </cell>
          <cell r="BH290">
            <v>453599.99999999994</v>
          </cell>
          <cell r="BI290">
            <v>410023.98</v>
          </cell>
          <cell r="BJ290">
            <v>8213136.3600000003</v>
          </cell>
        </row>
        <row r="291">
          <cell r="B291" t="str">
            <v>xnj740co</v>
          </cell>
          <cell r="C291" t="str">
            <v>740 Coopertown Road</v>
          </cell>
          <cell r="D291" t="str">
            <v>Unrealized</v>
          </cell>
          <cell r="E291" t="str">
            <v>Logistic Fund II</v>
          </cell>
          <cell r="F291" t="str">
            <v>USD</v>
          </cell>
          <cell r="G291" t="str">
            <v>Last Mile</v>
          </cell>
          <cell r="H291" t="str">
            <v>Philadelphia</v>
          </cell>
          <cell r="I291" t="str">
            <v>Delanco</v>
          </cell>
          <cell r="J291" t="str">
            <v>NJ</v>
          </cell>
          <cell r="K291" t="str">
            <v>08075</v>
          </cell>
          <cell r="L291" t="str">
            <v>United States</v>
          </cell>
          <cell r="M291" t="str">
            <v>Philadelphia-Camden-Wilmington, PA-NJ-DE-MD</v>
          </cell>
          <cell r="N291">
            <v>133283</v>
          </cell>
          <cell r="O291">
            <v>1</v>
          </cell>
          <cell r="P291" t="str">
            <v>Single Asset</v>
          </cell>
          <cell r="Q291" t="str">
            <v>Property - Private Equity</v>
          </cell>
          <cell r="R291" t="str">
            <v>Industrial</v>
          </cell>
          <cell r="S291" t="str">
            <v>Warehouse</v>
          </cell>
          <cell r="T291">
            <v>1978</v>
          </cell>
          <cell r="U291" t="str">
            <v>Sq. Feet</v>
          </cell>
          <cell r="V291" t="str">
            <v>Value-Add</v>
          </cell>
          <cell r="W291" t="str">
            <v>Industrial / Logistics</v>
          </cell>
          <cell r="X291" t="str">
            <v>Common Equity</v>
          </cell>
          <cell r="Y291">
            <v>1181916</v>
          </cell>
          <cell r="Z291">
            <v>717705</v>
          </cell>
          <cell r="AA291">
            <v>15734552</v>
          </cell>
          <cell r="AB291">
            <v>7.5115961356891511E-2</v>
          </cell>
          <cell r="AC291">
            <v>866404.5</v>
          </cell>
          <cell r="AD291">
            <v>5.8035714285714288E-2</v>
          </cell>
          <cell r="AE291">
            <v>5.2499999999999998E-2</v>
          </cell>
          <cell r="AF291">
            <v>0.18279999999999999</v>
          </cell>
          <cell r="AG291">
            <v>2.2799999999999998</v>
          </cell>
          <cell r="AH291">
            <v>0.1414</v>
          </cell>
          <cell r="AI291">
            <v>2.1800000000000002</v>
          </cell>
          <cell r="AJ291">
            <v>0.10655419239661157</v>
          </cell>
          <cell r="AK291">
            <v>0.15835715367917635</v>
          </cell>
          <cell r="AL291">
            <v>2.2075061469046022</v>
          </cell>
          <cell r="AM291">
            <v>7.7661598373681251E-2</v>
          </cell>
          <cell r="AN291">
            <v>0.12398742776676674</v>
          </cell>
          <cell r="AO291">
            <v>1.8956260812183832</v>
          </cell>
          <cell r="AP291" t="str">
            <v>Unsolicited \ Off-market</v>
          </cell>
          <cell r="AQ291" t="str">
            <v>Rent Optimization</v>
          </cell>
          <cell r="AR291" t="str">
            <v>Stabilised</v>
          </cell>
          <cell r="AS291">
            <v>44544</v>
          </cell>
          <cell r="AT291">
            <v>14928816</v>
          </cell>
          <cell r="AU291">
            <v>15016847</v>
          </cell>
          <cell r="AV291">
            <v>719148</v>
          </cell>
          <cell r="AW291">
            <v>720945</v>
          </cell>
          <cell r="AX291">
            <v>4.8171804113601509E-2</v>
          </cell>
          <cell r="AY291">
            <v>4.8292175347328284E-2</v>
          </cell>
          <cell r="AZ291">
            <v>5.62</v>
          </cell>
          <cell r="BA291">
            <v>1</v>
          </cell>
          <cell r="BB291">
            <v>5.0493150684933497</v>
          </cell>
          <cell r="BC291">
            <v>1</v>
          </cell>
          <cell r="BD291">
            <v>0</v>
          </cell>
          <cell r="BE291">
            <v>35926.42</v>
          </cell>
          <cell r="BF291">
            <v>721319.54999999993</v>
          </cell>
          <cell r="BG291">
            <v>737789.85000000009</v>
          </cell>
          <cell r="BH291">
            <v>737789.85000000009</v>
          </cell>
          <cell r="BI291">
            <v>773227.37000000011</v>
          </cell>
          <cell r="BJ291">
            <v>15410741.609999999</v>
          </cell>
        </row>
        <row r="292">
          <cell r="B292" t="str">
            <v>xky4175a</v>
          </cell>
          <cell r="C292" t="str">
            <v>4175 Aero ParkWay</v>
          </cell>
          <cell r="D292" t="str">
            <v>Unrealized</v>
          </cell>
          <cell r="E292" t="str">
            <v>Logistic Fund II</v>
          </cell>
          <cell r="F292" t="str">
            <v>USD</v>
          </cell>
          <cell r="G292" t="str">
            <v>Last Mile</v>
          </cell>
          <cell r="H292" t="str">
            <v>Cincinnati</v>
          </cell>
          <cell r="I292" t="str">
            <v>Florence</v>
          </cell>
          <cell r="J292" t="str">
            <v>KY</v>
          </cell>
          <cell r="K292">
            <v>41042</v>
          </cell>
          <cell r="L292" t="str">
            <v>United States</v>
          </cell>
          <cell r="M292" t="str">
            <v>Cincinnati, OH-KY-IN</v>
          </cell>
          <cell r="N292">
            <v>180000</v>
          </cell>
          <cell r="O292">
            <v>1</v>
          </cell>
          <cell r="P292" t="str">
            <v>Single Asset</v>
          </cell>
          <cell r="Q292" t="str">
            <v>Property - Private Equity</v>
          </cell>
          <cell r="R292" t="str">
            <v>Industrial</v>
          </cell>
          <cell r="S292" t="str">
            <v>Warehouse</v>
          </cell>
          <cell r="T292">
            <v>2017</v>
          </cell>
          <cell r="U292" t="str">
            <v>Sq. Feet</v>
          </cell>
          <cell r="V292" t="str">
            <v>Value-Add</v>
          </cell>
          <cell r="W292" t="str">
            <v>Industrial / Logistics</v>
          </cell>
          <cell r="X292" t="str">
            <v>Common Equity</v>
          </cell>
          <cell r="Y292">
            <v>1045572</v>
          </cell>
          <cell r="Z292">
            <v>179215</v>
          </cell>
          <cell r="AA292">
            <v>18177629</v>
          </cell>
          <cell r="AB292">
            <v>5.7519712829434466E-2</v>
          </cell>
          <cell r="AC292">
            <v>990000</v>
          </cell>
          <cell r="AD292">
            <v>5.5462184873949577E-2</v>
          </cell>
          <cell r="AE292">
            <v>4.4999999999999998E-2</v>
          </cell>
          <cell r="AF292">
            <v>0.15540000000000001</v>
          </cell>
          <cell r="AG292">
            <v>1.99</v>
          </cell>
          <cell r="AH292">
            <v>0.1164</v>
          </cell>
          <cell r="AI292">
            <v>1.89</v>
          </cell>
          <cell r="AJ292">
            <v>8.9010919703785607E-2</v>
          </cell>
          <cell r="AK292">
            <v>0.12774628709104396</v>
          </cell>
          <cell r="AL292">
            <v>1.9113657330287563</v>
          </cell>
          <cell r="AM292">
            <v>6.2162294401251872E-2</v>
          </cell>
          <cell r="AN292">
            <v>9.6362280506116171E-2</v>
          </cell>
          <cell r="AO292">
            <v>1.6569217751158831</v>
          </cell>
          <cell r="AP292" t="str">
            <v>Market deal</v>
          </cell>
          <cell r="AQ292" t="str">
            <v>Rent Optimization</v>
          </cell>
          <cell r="AR292" t="str">
            <v>Stabilised</v>
          </cell>
          <cell r="AS292">
            <v>44545</v>
          </cell>
          <cell r="AT292">
            <v>17850000</v>
          </cell>
          <cell r="AU292">
            <v>17998414</v>
          </cell>
          <cell r="AV292">
            <v>936144</v>
          </cell>
          <cell r="AW292">
            <v>925317</v>
          </cell>
          <cell r="AX292">
            <v>5.244504201680672E-2</v>
          </cell>
          <cell r="AY292">
            <v>5.1838487394957986E-2</v>
          </cell>
          <cell r="AZ292">
            <v>5.2590833333333302</v>
          </cell>
          <cell r="BA292">
            <v>1</v>
          </cell>
          <cell r="BB292">
            <v>5.5424657534222197</v>
          </cell>
          <cell r="BC292">
            <v>1</v>
          </cell>
          <cell r="BD292">
            <v>0</v>
          </cell>
          <cell r="BE292">
            <v>25782</v>
          </cell>
          <cell r="BF292">
            <v>894169.53</v>
          </cell>
          <cell r="BG292">
            <v>896138.7300000001</v>
          </cell>
          <cell r="BH292">
            <v>896138.7300000001</v>
          </cell>
          <cell r="BI292">
            <v>931086.27999999991</v>
          </cell>
          <cell r="BJ292">
            <v>17998414</v>
          </cell>
        </row>
        <row r="293">
          <cell r="B293" t="str">
            <v>xtx4201n</v>
          </cell>
          <cell r="C293" t="str">
            <v>4201 N Beach Street</v>
          </cell>
          <cell r="D293" t="str">
            <v>Unrealized</v>
          </cell>
          <cell r="E293" t="str">
            <v>Logistic Fund II</v>
          </cell>
          <cell r="F293" t="str">
            <v>USD</v>
          </cell>
          <cell r="G293" t="str">
            <v>Last Mile</v>
          </cell>
          <cell r="H293" t="str">
            <v>Dallas</v>
          </cell>
          <cell r="I293" t="str">
            <v>Fort Worth</v>
          </cell>
          <cell r="J293" t="str">
            <v>TX</v>
          </cell>
          <cell r="K293">
            <v>76137</v>
          </cell>
          <cell r="L293" t="str">
            <v>United States</v>
          </cell>
          <cell r="M293" t="str">
            <v>Dallas-Fort Worth-Arlington, TX</v>
          </cell>
          <cell r="N293">
            <v>182500</v>
          </cell>
          <cell r="O293">
            <v>1</v>
          </cell>
          <cell r="P293" t="str">
            <v>Single Asset</v>
          </cell>
          <cell r="Q293" t="str">
            <v>Property - Private Equity</v>
          </cell>
          <cell r="R293" t="str">
            <v>Industrial</v>
          </cell>
          <cell r="S293" t="str">
            <v>Warehouse</v>
          </cell>
          <cell r="T293">
            <v>2006</v>
          </cell>
          <cell r="U293" t="str">
            <v>Sq. Feet</v>
          </cell>
          <cell r="V293" t="str">
            <v>Value-Add</v>
          </cell>
          <cell r="W293" t="str">
            <v>Industrial / Logistics</v>
          </cell>
          <cell r="X293" t="str">
            <v>Common Equity</v>
          </cell>
          <cell r="Y293">
            <v>1466280</v>
          </cell>
          <cell r="Z293">
            <v>452077</v>
          </cell>
          <cell r="AA293">
            <v>24485906</v>
          </cell>
          <cell r="AB293">
            <v>5.9882611654230804E-2</v>
          </cell>
          <cell r="AC293">
            <v>1140625</v>
          </cell>
          <cell r="AD293">
            <v>4.7526041666666664E-2</v>
          </cell>
          <cell r="AE293">
            <v>4.4999999999999998E-2</v>
          </cell>
          <cell r="AF293">
            <v>0.1479</v>
          </cell>
          <cell r="AG293">
            <v>1.99</v>
          </cell>
          <cell r="AH293">
            <v>0.1105</v>
          </cell>
          <cell r="AI293">
            <v>1.89</v>
          </cell>
          <cell r="AJ293">
            <v>8.6375349580139149E-2</v>
          </cell>
          <cell r="AK293">
            <v>0.12103584720512206</v>
          </cell>
          <cell r="AL293">
            <v>1.8909791816144847</v>
          </cell>
          <cell r="AM293">
            <v>6.0132230245204976E-2</v>
          </cell>
          <cell r="AN293">
            <v>9.0866854588889101E-2</v>
          </cell>
          <cell r="AO293">
            <v>1.6413261661634735</v>
          </cell>
          <cell r="AP293" t="str">
            <v>Market deal</v>
          </cell>
          <cell r="AQ293" t="str">
            <v>Rent Optimization</v>
          </cell>
          <cell r="AR293" t="str">
            <v>Stabilised</v>
          </cell>
          <cell r="AS293">
            <v>44545</v>
          </cell>
          <cell r="AT293">
            <v>24000000</v>
          </cell>
          <cell r="AU293">
            <v>24033829</v>
          </cell>
          <cell r="AV293">
            <v>919788</v>
          </cell>
          <cell r="AW293">
            <v>919789</v>
          </cell>
          <cell r="AX293">
            <v>3.8324499999999997E-2</v>
          </cell>
          <cell r="AY293">
            <v>3.832454166666667E-2</v>
          </cell>
          <cell r="AZ293">
            <v>4.59</v>
          </cell>
          <cell r="BA293">
            <v>1</v>
          </cell>
          <cell r="BB293">
            <v>0.87671232876712302</v>
          </cell>
          <cell r="BC293">
            <v>1</v>
          </cell>
          <cell r="BD293">
            <v>0</v>
          </cell>
          <cell r="BE293">
            <v>42033.87</v>
          </cell>
          <cell r="BF293">
            <v>668712.37</v>
          </cell>
          <cell r="BG293">
            <v>1220713.3500000001</v>
          </cell>
          <cell r="BH293">
            <v>1220713.3500000001</v>
          </cell>
          <cell r="BI293">
            <v>1047861.3499999999</v>
          </cell>
          <cell r="BJ293">
            <v>26472043.489999998</v>
          </cell>
        </row>
        <row r="294">
          <cell r="B294" t="str">
            <v>xil2500w</v>
          </cell>
          <cell r="C294" t="str">
            <v>2500 West Lake</v>
          </cell>
          <cell r="D294" t="str">
            <v>Unrealized</v>
          </cell>
          <cell r="E294" t="str">
            <v>Logistic Fund II</v>
          </cell>
          <cell r="F294" t="str">
            <v>USD</v>
          </cell>
          <cell r="G294" t="str">
            <v>Last Mile</v>
          </cell>
          <cell r="H294" t="str">
            <v>Chicago</v>
          </cell>
          <cell r="I294" t="str">
            <v>Chicago</v>
          </cell>
          <cell r="J294" t="str">
            <v>IL</v>
          </cell>
          <cell r="K294">
            <v>60612</v>
          </cell>
          <cell r="L294" t="str">
            <v>United States</v>
          </cell>
          <cell r="M294" t="str">
            <v>Chicago-Naperville-Elgin, IL-IN-WI</v>
          </cell>
          <cell r="N294">
            <v>13000</v>
          </cell>
          <cell r="O294">
            <v>1</v>
          </cell>
          <cell r="P294" t="str">
            <v>Single Asset</v>
          </cell>
          <cell r="Q294" t="str">
            <v>Property - Private Equity</v>
          </cell>
          <cell r="R294" t="str">
            <v>Industrial</v>
          </cell>
          <cell r="S294" t="str">
            <v>Warehouse</v>
          </cell>
          <cell r="T294">
            <v>1962</v>
          </cell>
          <cell r="U294" t="str">
            <v>Sq. Feet</v>
          </cell>
          <cell r="V294" t="str">
            <v>Value-Add</v>
          </cell>
          <cell r="W294" t="str">
            <v>Industrial / Logistics</v>
          </cell>
          <cell r="X294" t="str">
            <v>Common Equity</v>
          </cell>
          <cell r="Y294">
            <v>138048</v>
          </cell>
          <cell r="Z294">
            <v>109223</v>
          </cell>
          <cell r="AA294">
            <v>1799098</v>
          </cell>
          <cell r="AB294">
            <v>7.67317844831132E-2</v>
          </cell>
          <cell r="AC294">
            <v>117000</v>
          </cell>
          <cell r="AD294">
            <v>7.0909090909090908E-2</v>
          </cell>
          <cell r="AE294">
            <v>5.7500000000000002E-2</v>
          </cell>
          <cell r="AF294">
            <v>0.16889999999999999</v>
          </cell>
          <cell r="AG294">
            <v>2.25</v>
          </cell>
          <cell r="AH294">
            <v>0.1298</v>
          </cell>
          <cell r="AI294">
            <v>2.15</v>
          </cell>
          <cell r="AJ294">
            <v>9.8802974675700206E-2</v>
          </cell>
          <cell r="AK294">
            <v>0.14390031773642575</v>
          </cell>
          <cell r="AL294">
            <v>2.0803434575260766</v>
          </cell>
          <cell r="AM294">
            <v>7.087444967581491E-2</v>
          </cell>
          <cell r="AN294">
            <v>0.11111174560594894</v>
          </cell>
          <cell r="AO294">
            <v>1.7934722757409909</v>
          </cell>
          <cell r="AP294" t="str">
            <v>Unsolicited \ Off-market</v>
          </cell>
          <cell r="AQ294" t="str">
            <v>Rent Optimization</v>
          </cell>
          <cell r="AR294" t="str">
            <v>Leasing Strategy</v>
          </cell>
          <cell r="AS294">
            <v>44546</v>
          </cell>
          <cell r="AT294">
            <v>1650000</v>
          </cell>
          <cell r="AU294">
            <v>1689875</v>
          </cell>
          <cell r="AV294">
            <v>62388</v>
          </cell>
          <cell r="AW294">
            <v>62519</v>
          </cell>
          <cell r="AX294">
            <v>3.7810909090909089E-2</v>
          </cell>
          <cell r="AY294">
            <v>3.7890303030303031E-2</v>
          </cell>
          <cell r="AZ294">
            <v>6</v>
          </cell>
          <cell r="BA294">
            <v>1</v>
          </cell>
          <cell r="BB294">
            <v>2.0410958903846099</v>
          </cell>
          <cell r="BC294">
            <v>1</v>
          </cell>
          <cell r="BD294">
            <v>0</v>
          </cell>
          <cell r="BE294">
            <v>-142.51000000000022</v>
          </cell>
          <cell r="BF294">
            <v>-32252.75</v>
          </cell>
          <cell r="BG294">
            <v>32593.97</v>
          </cell>
          <cell r="BH294">
            <v>32593.97</v>
          </cell>
          <cell r="BI294">
            <v>32384.75</v>
          </cell>
          <cell r="BJ294">
            <v>1689875</v>
          </cell>
        </row>
        <row r="295">
          <cell r="B295" t="str">
            <v>xga5121b</v>
          </cell>
          <cell r="C295" t="str">
            <v>5121 Buford Highway</v>
          </cell>
          <cell r="D295" t="str">
            <v>Unrealized</v>
          </cell>
          <cell r="E295" t="str">
            <v>Logistic Fund II</v>
          </cell>
          <cell r="F295" t="str">
            <v>USD</v>
          </cell>
          <cell r="G295" t="str">
            <v>Last Mile</v>
          </cell>
          <cell r="H295" t="str">
            <v>Atlanta</v>
          </cell>
          <cell r="I295" t="str">
            <v>Norcross</v>
          </cell>
          <cell r="J295" t="str">
            <v>GA</v>
          </cell>
          <cell r="K295">
            <v>30071</v>
          </cell>
          <cell r="L295" t="str">
            <v>United States</v>
          </cell>
          <cell r="M295" t="str">
            <v>Atlanta-Sandy Springs-Roswell, GA</v>
          </cell>
          <cell r="N295">
            <v>31000</v>
          </cell>
          <cell r="O295">
            <v>1</v>
          </cell>
          <cell r="P295" t="str">
            <v>Portfolio</v>
          </cell>
          <cell r="Q295" t="str">
            <v>Property - Private Equity</v>
          </cell>
          <cell r="R295" t="str">
            <v>Industrial</v>
          </cell>
          <cell r="S295" t="str">
            <v>Warehouse</v>
          </cell>
          <cell r="T295">
            <v>1990</v>
          </cell>
          <cell r="U295" t="str">
            <v>Sq. Feet</v>
          </cell>
          <cell r="V295" t="str">
            <v>Value-Add</v>
          </cell>
          <cell r="W295" t="str">
            <v>Industrial / Logistics</v>
          </cell>
          <cell r="X295" t="str">
            <v>Common Equity</v>
          </cell>
          <cell r="Y295">
            <v>177288</v>
          </cell>
          <cell r="Z295">
            <v>74879</v>
          </cell>
          <cell r="AA295">
            <v>2879366</v>
          </cell>
          <cell r="AB295">
            <v>6.1571887700278466E-2</v>
          </cell>
          <cell r="AC295">
            <v>162750</v>
          </cell>
          <cell r="AD295">
            <v>5.9322033898305086E-2</v>
          </cell>
          <cell r="AE295">
            <v>4.7500000000000001E-2</v>
          </cell>
          <cell r="AF295">
            <v>0.15529999999999999</v>
          </cell>
          <cell r="AG295">
            <v>2.0099999999999998</v>
          </cell>
          <cell r="AH295">
            <v>0.11650000000000001</v>
          </cell>
          <cell r="AI295">
            <v>1.91</v>
          </cell>
          <cell r="AJ295">
            <v>9.4197101196061617E-2</v>
          </cell>
          <cell r="AK295">
            <v>0.13761193679006012</v>
          </cell>
          <cell r="AL295">
            <v>1.9864118339802714</v>
          </cell>
          <cell r="AM295">
            <v>6.6647051109552491E-2</v>
          </cell>
          <cell r="AN295">
            <v>0.10509610351733523</v>
          </cell>
          <cell r="AO295">
            <v>1.7174633174185041</v>
          </cell>
          <cell r="AP295" t="str">
            <v>Market deal</v>
          </cell>
          <cell r="AQ295" t="str">
            <v>Rent Optimization</v>
          </cell>
          <cell r="AR295" t="str">
            <v>Stabilised</v>
          </cell>
          <cell r="AS295">
            <v>44546</v>
          </cell>
          <cell r="AT295">
            <v>2743500</v>
          </cell>
          <cell r="AU295">
            <v>2804487</v>
          </cell>
          <cell r="AV295">
            <v>144156</v>
          </cell>
          <cell r="AW295">
            <v>148117</v>
          </cell>
          <cell r="AX295">
            <v>5.2544559868780753E-2</v>
          </cell>
          <cell r="AY295">
            <v>5.3988336067067613E-2</v>
          </cell>
          <cell r="AZ295">
            <v>4.6451612903225801</v>
          </cell>
          <cell r="BA295">
            <v>1</v>
          </cell>
          <cell r="BB295">
            <v>8.1315068493225802</v>
          </cell>
          <cell r="BC295">
            <v>1</v>
          </cell>
          <cell r="BD295">
            <v>0</v>
          </cell>
          <cell r="BE295">
            <v>5128.93</v>
          </cell>
          <cell r="BF295">
            <v>134533.22</v>
          </cell>
          <cell r="BG295">
            <v>135245.64000000001</v>
          </cell>
          <cell r="BH295">
            <v>135245.64000000001</v>
          </cell>
          <cell r="BI295">
            <v>135498.54</v>
          </cell>
          <cell r="BJ295">
            <v>2804487</v>
          </cell>
        </row>
        <row r="296">
          <cell r="B296" t="str">
            <v>xga4680n</v>
          </cell>
          <cell r="C296" t="str">
            <v>4680 North Royal Atlanta Drive</v>
          </cell>
          <cell r="D296" t="str">
            <v>Unrealized</v>
          </cell>
          <cell r="E296" t="str">
            <v>Logistic Fund II</v>
          </cell>
          <cell r="F296" t="str">
            <v>USD</v>
          </cell>
          <cell r="G296" t="str">
            <v>Last Mile</v>
          </cell>
          <cell r="H296" t="str">
            <v>Atlanta</v>
          </cell>
          <cell r="I296" t="str">
            <v>Tucker</v>
          </cell>
          <cell r="J296" t="str">
            <v>GA</v>
          </cell>
          <cell r="K296">
            <v>30084</v>
          </cell>
          <cell r="L296" t="str">
            <v>United States</v>
          </cell>
          <cell r="M296" t="str">
            <v>Atlanta-Sandy Springs-Roswell, GA</v>
          </cell>
          <cell r="N296">
            <v>60669</v>
          </cell>
          <cell r="O296">
            <v>1</v>
          </cell>
          <cell r="P296" t="str">
            <v>Portfolio</v>
          </cell>
          <cell r="Q296" t="str">
            <v>Property - Private Equity</v>
          </cell>
          <cell r="R296" t="str">
            <v>Industrial</v>
          </cell>
          <cell r="S296" t="str">
            <v>Warehouse</v>
          </cell>
          <cell r="T296">
            <v>1980</v>
          </cell>
          <cell r="U296" t="str">
            <v>Sq. Feet</v>
          </cell>
          <cell r="V296" t="str">
            <v>Value-Add</v>
          </cell>
          <cell r="W296" t="str">
            <v>Industrial / Logistics</v>
          </cell>
          <cell r="X296" t="str">
            <v>Common Equity</v>
          </cell>
          <cell r="Y296">
            <v>345468</v>
          </cell>
          <cell r="Z296">
            <v>371216</v>
          </cell>
          <cell r="AA296">
            <v>5788278</v>
          </cell>
          <cell r="AB296">
            <v>5.9684071843128475E-2</v>
          </cell>
          <cell r="AC296">
            <v>318512.25</v>
          </cell>
          <cell r="AD296">
            <v>5.8988764044943819E-2</v>
          </cell>
          <cell r="AE296">
            <v>4.7500000000000001E-2</v>
          </cell>
          <cell r="AF296">
            <v>0.15529999999999999</v>
          </cell>
          <cell r="AG296">
            <v>2.0099999999999998</v>
          </cell>
          <cell r="AH296">
            <v>0.11650000000000001</v>
          </cell>
          <cell r="AI296">
            <v>1.91</v>
          </cell>
          <cell r="AJ296">
            <v>8.8928625496283553E-2</v>
          </cell>
          <cell r="AK296">
            <v>0.12766339581060437</v>
          </cell>
          <cell r="AL296">
            <v>1.8752741153725916</v>
          </cell>
          <cell r="AM296">
            <v>6.194839472331326E-2</v>
          </cell>
          <cell r="AN296">
            <v>9.608115452625543E-2</v>
          </cell>
          <cell r="AO296">
            <v>1.6297080428809883</v>
          </cell>
          <cell r="AP296" t="str">
            <v>Market deal</v>
          </cell>
          <cell r="AQ296" t="str">
            <v>Rent Optimization</v>
          </cell>
          <cell r="AR296" t="str">
            <v>Stabilised</v>
          </cell>
          <cell r="AS296">
            <v>44546</v>
          </cell>
          <cell r="AT296">
            <v>5399541</v>
          </cell>
          <cell r="AU296">
            <v>5417062</v>
          </cell>
          <cell r="AV296">
            <v>280896</v>
          </cell>
          <cell r="AW296">
            <v>285108</v>
          </cell>
          <cell r="AX296">
            <v>5.2022199664749282E-2</v>
          </cell>
          <cell r="AY296">
            <v>5.2802265970385259E-2</v>
          </cell>
          <cell r="AZ296">
            <v>4.6349997527567597</v>
          </cell>
          <cell r="BA296">
            <v>1</v>
          </cell>
          <cell r="BB296">
            <v>8.5424657534325608</v>
          </cell>
          <cell r="BC296">
            <v>1</v>
          </cell>
          <cell r="BD296">
            <v>0</v>
          </cell>
          <cell r="BE296">
            <v>12733.54</v>
          </cell>
          <cell r="BF296">
            <v>295664.30000000005</v>
          </cell>
          <cell r="BG296">
            <v>257642.08000000002</v>
          </cell>
          <cell r="BH296">
            <v>257642.08000000002</v>
          </cell>
          <cell r="BI296">
            <v>261421.49</v>
          </cell>
          <cell r="BJ296">
            <v>5417062</v>
          </cell>
        </row>
        <row r="297">
          <cell r="B297" t="str">
            <v>xga2100b</v>
          </cell>
          <cell r="C297" t="str">
            <v>2100 Boggs Road</v>
          </cell>
          <cell r="D297" t="str">
            <v>Unrealized</v>
          </cell>
          <cell r="E297" t="str">
            <v>Logistic Fund II</v>
          </cell>
          <cell r="F297" t="str">
            <v>USD</v>
          </cell>
          <cell r="G297" t="str">
            <v>Last Mile</v>
          </cell>
          <cell r="H297" t="str">
            <v>Atlanta</v>
          </cell>
          <cell r="I297" t="str">
            <v>Duluth</v>
          </cell>
          <cell r="J297" t="str">
            <v>GA</v>
          </cell>
          <cell r="K297">
            <v>30096</v>
          </cell>
          <cell r="L297" t="str">
            <v>United States</v>
          </cell>
          <cell r="M297" t="str">
            <v>Atlanta-Sandy Springs-Roswell, GA</v>
          </cell>
          <cell r="N297">
            <v>103289</v>
          </cell>
          <cell r="O297">
            <v>1</v>
          </cell>
          <cell r="P297" t="str">
            <v>Portfolio</v>
          </cell>
          <cell r="Q297" t="str">
            <v>Property - Private Equity</v>
          </cell>
          <cell r="R297" t="str">
            <v>Industrial</v>
          </cell>
          <cell r="S297" t="str">
            <v>Warehouse</v>
          </cell>
          <cell r="T297">
            <v>1991</v>
          </cell>
          <cell r="U297" t="str">
            <v>Sq. Feet</v>
          </cell>
          <cell r="V297" t="str">
            <v>Value-Add</v>
          </cell>
          <cell r="W297" t="str">
            <v>Industrial / Logistics</v>
          </cell>
          <cell r="X297" t="str">
            <v>Common Equity</v>
          </cell>
          <cell r="Y297">
            <v>809196</v>
          </cell>
          <cell r="Z297">
            <v>679729</v>
          </cell>
          <cell r="AA297">
            <v>13351121</v>
          </cell>
          <cell r="AB297">
            <v>6.0608843257431343E-2</v>
          </cell>
          <cell r="AC297">
            <v>661049.59999999998</v>
          </cell>
          <cell r="AD297">
            <v>5.2244895894641728E-2</v>
          </cell>
          <cell r="AE297">
            <v>4.7500000000000001E-2</v>
          </cell>
          <cell r="AF297">
            <v>0.15529999999999999</v>
          </cell>
          <cell r="AG297">
            <v>2.0099999999999998</v>
          </cell>
          <cell r="AH297">
            <v>0.11650000000000001</v>
          </cell>
          <cell r="AI297">
            <v>1.91</v>
          </cell>
          <cell r="AJ297">
            <v>9.1680353040219487E-2</v>
          </cell>
          <cell r="AK297">
            <v>0.13284448665396043</v>
          </cell>
          <cell r="AL297">
            <v>1.9233369846634052</v>
          </cell>
          <cell r="AM297">
            <v>6.4397358159035134E-2</v>
          </cell>
          <cell r="AN297">
            <v>0.10077001467497548</v>
          </cell>
          <cell r="AO297">
            <v>1.6682260093359274</v>
          </cell>
          <cell r="AP297" t="str">
            <v>Market deal</v>
          </cell>
          <cell r="AQ297" t="str">
            <v>Renewal / Re-tenant</v>
          </cell>
          <cell r="AR297" t="str">
            <v>Stabilised</v>
          </cell>
          <cell r="AS297">
            <v>44546</v>
          </cell>
          <cell r="AT297">
            <v>12652903</v>
          </cell>
          <cell r="AU297">
            <v>12671392</v>
          </cell>
          <cell r="AV297">
            <v>657948</v>
          </cell>
          <cell r="AW297">
            <v>662883</v>
          </cell>
          <cell r="AX297">
            <v>5.1999766377723751E-2</v>
          </cell>
          <cell r="AY297">
            <v>5.2389795448522763E-2</v>
          </cell>
          <cell r="AZ297">
            <v>6.37</v>
          </cell>
          <cell r="BA297">
            <v>1</v>
          </cell>
          <cell r="BB297">
            <v>7.0465753424657533</v>
          </cell>
          <cell r="BC297">
            <v>1</v>
          </cell>
          <cell r="BD297">
            <v>0</v>
          </cell>
          <cell r="BE297">
            <v>26199.68</v>
          </cell>
          <cell r="BF297">
            <v>650688.20000000007</v>
          </cell>
          <cell r="BG297">
            <v>677032.23</v>
          </cell>
          <cell r="BH297">
            <v>677032.23</v>
          </cell>
          <cell r="BI297">
            <v>653332.75000000012</v>
          </cell>
          <cell r="BJ297">
            <v>12671392</v>
          </cell>
        </row>
        <row r="298">
          <cell r="B298" t="str">
            <v>xnj95bau</v>
          </cell>
          <cell r="C298" t="str">
            <v>95 Bauer Drive</v>
          </cell>
          <cell r="D298" t="str">
            <v>Unrealized</v>
          </cell>
          <cell r="E298" t="str">
            <v>Logistic Fund II</v>
          </cell>
          <cell r="F298" t="str">
            <v>USD</v>
          </cell>
          <cell r="G298" t="str">
            <v>Last Mile</v>
          </cell>
          <cell r="H298" t="str">
            <v>Northern NJ/New York</v>
          </cell>
          <cell r="I298" t="str">
            <v>Oakland</v>
          </cell>
          <cell r="J298" t="str">
            <v>NJ</v>
          </cell>
          <cell r="K298" t="str">
            <v>07436</v>
          </cell>
          <cell r="L298" t="str">
            <v>United States</v>
          </cell>
          <cell r="M298" t="str">
            <v>New York-Newark-Jersey City, NY-NJ-PA</v>
          </cell>
          <cell r="N298">
            <v>6792</v>
          </cell>
          <cell r="O298">
            <v>1</v>
          </cell>
          <cell r="P298" t="str">
            <v>Portfolio</v>
          </cell>
          <cell r="Q298" t="str">
            <v>Property - Private Equity</v>
          </cell>
          <cell r="R298" t="str">
            <v>Industrial</v>
          </cell>
          <cell r="S298" t="str">
            <v>Warehouse</v>
          </cell>
          <cell r="T298">
            <v>1969</v>
          </cell>
          <cell r="U298" t="str">
            <v>Sq. Feet</v>
          </cell>
          <cell r="V298" t="str">
            <v>Value-Add</v>
          </cell>
          <cell r="W298" t="str">
            <v>Industrial / Logistics</v>
          </cell>
          <cell r="X298" t="str">
            <v>Common Equity</v>
          </cell>
          <cell r="Y298">
            <v>126204</v>
          </cell>
          <cell r="Z298">
            <v>54851</v>
          </cell>
          <cell r="AA298">
            <v>2354287</v>
          </cell>
          <cell r="AB298">
            <v>5.360603868602256E-2</v>
          </cell>
          <cell r="AC298">
            <v>105276</v>
          </cell>
          <cell r="AD298">
            <v>4.6479470198675495E-2</v>
          </cell>
          <cell r="AE298">
            <v>8.2500000000000004E-2</v>
          </cell>
          <cell r="AF298">
            <v>0.17599999999999999</v>
          </cell>
          <cell r="AG298">
            <v>2.27</v>
          </cell>
          <cell r="AH298">
            <v>0.1358</v>
          </cell>
          <cell r="AI298">
            <v>2.17</v>
          </cell>
          <cell r="AJ298">
            <v>2.8868912987357831E-2</v>
          </cell>
          <cell r="AK298">
            <v>-3.923741424460836E-5</v>
          </cell>
          <cell r="AL298">
            <v>0.99979345993768076</v>
          </cell>
          <cell r="AM298">
            <v>1.0487348187468326E-2</v>
          </cell>
          <cell r="AN298">
            <v>-1.7103352186378706E-2</v>
          </cell>
          <cell r="AO298">
            <v>0.91013144822812964</v>
          </cell>
          <cell r="AP298" t="str">
            <v>Market deal</v>
          </cell>
          <cell r="AQ298" t="str">
            <v>Renewal / Re-tenant</v>
          </cell>
          <cell r="AR298" t="str">
            <v>Leasing Strategy</v>
          </cell>
          <cell r="AS298">
            <v>44547</v>
          </cell>
          <cell r="AT298">
            <v>2265000</v>
          </cell>
          <cell r="AU298">
            <v>2299436</v>
          </cell>
          <cell r="AV298">
            <v>104940</v>
          </cell>
          <cell r="AW298">
            <v>104940</v>
          </cell>
          <cell r="AX298">
            <v>4.6331125827814568E-2</v>
          </cell>
          <cell r="AY298">
            <v>4.6331125827814568E-2</v>
          </cell>
          <cell r="AZ298">
            <v>15.45</v>
          </cell>
          <cell r="BA298">
            <v>1</v>
          </cell>
          <cell r="BB298">
            <v>2.5369863013839802</v>
          </cell>
          <cell r="BC298">
            <v>1</v>
          </cell>
          <cell r="BD298">
            <v>0</v>
          </cell>
          <cell r="BE298">
            <v>4482.6100000000006</v>
          </cell>
          <cell r="BF298">
            <v>101513.23</v>
          </cell>
          <cell r="BG298">
            <v>104481.68000000001</v>
          </cell>
          <cell r="BH298">
            <v>104481.68000000001</v>
          </cell>
          <cell r="BI298">
            <v>105717.58</v>
          </cell>
          <cell r="BJ298">
            <v>2299436</v>
          </cell>
        </row>
        <row r="299">
          <cell r="B299" t="str">
            <v>xohcolu3</v>
          </cell>
          <cell r="C299" t="str">
            <v>3040 - 3050 E 14th Avenue</v>
          </cell>
          <cell r="D299" t="str">
            <v>Unrealized</v>
          </cell>
          <cell r="E299" t="str">
            <v>Logistic Fund II</v>
          </cell>
          <cell r="F299" t="str">
            <v>USD</v>
          </cell>
          <cell r="G299" t="str">
            <v>Last Mile</v>
          </cell>
          <cell r="H299" t="str">
            <v>Columbus</v>
          </cell>
          <cell r="I299" t="str">
            <v>Columbus</v>
          </cell>
          <cell r="J299" t="str">
            <v>OH</v>
          </cell>
          <cell r="K299">
            <v>43219</v>
          </cell>
          <cell r="L299" t="str">
            <v>United States</v>
          </cell>
          <cell r="M299" t="str">
            <v>Columbus, OH</v>
          </cell>
          <cell r="N299">
            <v>11500</v>
          </cell>
          <cell r="O299">
            <v>1</v>
          </cell>
          <cell r="P299" t="str">
            <v>Portfolio</v>
          </cell>
          <cell r="Q299" t="str">
            <v>Property - Private Equity</v>
          </cell>
          <cell r="R299" t="str">
            <v>Industrial</v>
          </cell>
          <cell r="S299" t="str">
            <v>Warehouse</v>
          </cell>
          <cell r="T299">
            <v>1986</v>
          </cell>
          <cell r="U299" t="str">
            <v>Sq. Feet</v>
          </cell>
          <cell r="V299" t="str">
            <v>Value-Add</v>
          </cell>
          <cell r="W299" t="str">
            <v>Industrial / Logistics</v>
          </cell>
          <cell r="X299" t="str">
            <v>Common Equity</v>
          </cell>
          <cell r="Y299">
            <v>89220</v>
          </cell>
          <cell r="Z299">
            <v>120870</v>
          </cell>
          <cell r="AA299">
            <v>1030865</v>
          </cell>
          <cell r="AB299">
            <v>8.6548675141749895E-2</v>
          </cell>
          <cell r="AC299">
            <v>78000</v>
          </cell>
          <cell r="AD299">
            <v>8.666666666666667E-2</v>
          </cell>
          <cell r="AE299">
            <v>7.0000000000000007E-2</v>
          </cell>
          <cell r="AF299">
            <v>0.23230000000000001</v>
          </cell>
          <cell r="AG299">
            <v>2.63</v>
          </cell>
          <cell r="AH299">
            <v>0.18559999999999999</v>
          </cell>
          <cell r="AI299">
            <v>2.5299999999999998</v>
          </cell>
          <cell r="AJ299">
            <v>8.8154753844503331E-2</v>
          </cell>
          <cell r="AK299">
            <v>0.12507920376930559</v>
          </cell>
          <cell r="AL299">
            <v>1.8351162710467306</v>
          </cell>
          <cell r="AM299">
            <v>6.1332167393703729E-2</v>
          </cell>
          <cell r="AN299">
            <v>9.392271885393555E-2</v>
          </cell>
          <cell r="AO299">
            <v>1.6005358092921051</v>
          </cell>
          <cell r="AP299" t="str">
            <v>Market deal</v>
          </cell>
          <cell r="AQ299" t="str">
            <v>Rent Optimization</v>
          </cell>
          <cell r="AR299" t="str">
            <v>Leasing Strategy</v>
          </cell>
          <cell r="AS299">
            <v>44547</v>
          </cell>
          <cell r="AT299">
            <v>900000</v>
          </cell>
          <cell r="AU299">
            <v>909995</v>
          </cell>
          <cell r="AV299">
            <v>44208</v>
          </cell>
          <cell r="AW299">
            <v>44150</v>
          </cell>
          <cell r="AX299">
            <v>4.9119999999999997E-2</v>
          </cell>
          <cell r="AY299">
            <v>4.9055555555555554E-2</v>
          </cell>
          <cell r="AZ299">
            <v>6.0490434782608604</v>
          </cell>
          <cell r="BA299">
            <v>1</v>
          </cell>
          <cell r="BB299">
            <v>2.9380583680000001</v>
          </cell>
          <cell r="BC299">
            <v>1</v>
          </cell>
          <cell r="BD299">
            <v>0</v>
          </cell>
          <cell r="BE299">
            <v>1107.17</v>
          </cell>
          <cell r="BF299">
            <v>38776.880000000005</v>
          </cell>
          <cell r="BG299">
            <v>36909.440000000002</v>
          </cell>
          <cell r="BH299">
            <v>36909.440000000002</v>
          </cell>
          <cell r="BI299">
            <v>47878.380000000005</v>
          </cell>
          <cell r="BJ299">
            <v>909995</v>
          </cell>
        </row>
        <row r="300">
          <cell r="B300" t="str">
            <v>xnj156al</v>
          </cell>
          <cell r="C300" t="str">
            <v>156 Algonquin Parkway</v>
          </cell>
          <cell r="D300" t="str">
            <v>Unrealized</v>
          </cell>
          <cell r="E300" t="str">
            <v>Logistic Fund II</v>
          </cell>
          <cell r="F300" t="str">
            <v>USD</v>
          </cell>
          <cell r="G300" t="str">
            <v>Last Mile</v>
          </cell>
          <cell r="H300" t="str">
            <v>Northern NJ/New York</v>
          </cell>
          <cell r="I300" t="str">
            <v>Whippany</v>
          </cell>
          <cell r="J300" t="str">
            <v>NJ</v>
          </cell>
          <cell r="K300" t="str">
            <v>07981</v>
          </cell>
          <cell r="L300" t="str">
            <v>United States</v>
          </cell>
          <cell r="M300" t="str">
            <v>New York-Newark-Jersey City, NY-NJ-PA</v>
          </cell>
          <cell r="N300">
            <v>17782</v>
          </cell>
          <cell r="O300">
            <v>1</v>
          </cell>
          <cell r="P300" t="str">
            <v>Portfolio</v>
          </cell>
          <cell r="Q300" t="str">
            <v>Property - Private Equity</v>
          </cell>
          <cell r="R300" t="str">
            <v>Industrial</v>
          </cell>
          <cell r="S300" t="str">
            <v>Warehouse</v>
          </cell>
          <cell r="T300">
            <v>1972</v>
          </cell>
          <cell r="U300" t="str">
            <v>Sq. Feet</v>
          </cell>
          <cell r="V300" t="str">
            <v>Value-Add</v>
          </cell>
          <cell r="W300" t="str">
            <v>Industrial / Logistics</v>
          </cell>
          <cell r="X300" t="str">
            <v>Common Equity</v>
          </cell>
          <cell r="Y300">
            <v>260148</v>
          </cell>
          <cell r="Z300">
            <v>333744</v>
          </cell>
          <cell r="AA300">
            <v>3275376</v>
          </cell>
          <cell r="AB300">
            <v>7.9425385055028802E-2</v>
          </cell>
          <cell r="AC300">
            <v>231556.36</v>
          </cell>
          <cell r="AD300">
            <v>7.9245845311430516E-2</v>
          </cell>
          <cell r="AE300">
            <v>4.4999999999999998E-2</v>
          </cell>
          <cell r="AF300">
            <v>0.23230000000000001</v>
          </cell>
          <cell r="AG300">
            <v>2.63</v>
          </cell>
          <cell r="AH300">
            <v>0.18559999999999999</v>
          </cell>
          <cell r="AI300">
            <v>2.5299999999999998</v>
          </cell>
          <cell r="AJ300">
            <v>0.15003371735689774</v>
          </cell>
          <cell r="AK300">
            <v>0.23008900266651899</v>
          </cell>
          <cell r="AL300">
            <v>3.059976495119892</v>
          </cell>
          <cell r="AM300">
            <v>0.11642264004449943</v>
          </cell>
          <cell r="AN300">
            <v>0.1895816424805139</v>
          </cell>
          <cell r="AO300">
            <v>2.5779346179379181</v>
          </cell>
          <cell r="AP300" t="str">
            <v>Market deal</v>
          </cell>
          <cell r="AQ300" t="str">
            <v>Rent Optimization</v>
          </cell>
          <cell r="AR300" t="str">
            <v>Leasing Strategy</v>
          </cell>
          <cell r="AS300">
            <v>44547</v>
          </cell>
          <cell r="AT300">
            <v>2922000</v>
          </cell>
          <cell r="AU300">
            <v>2941632</v>
          </cell>
          <cell r="AV300">
            <v>118584</v>
          </cell>
          <cell r="AW300">
            <v>104568</v>
          </cell>
          <cell r="AX300">
            <v>4.058316221765914E-2</v>
          </cell>
          <cell r="AY300">
            <v>3.5786447638603697E-2</v>
          </cell>
          <cell r="AZ300">
            <v>7.9513800472387803</v>
          </cell>
          <cell r="BA300">
            <v>1</v>
          </cell>
          <cell r="BB300">
            <v>0.52491622280958194</v>
          </cell>
          <cell r="BC300">
            <v>1</v>
          </cell>
          <cell r="BD300">
            <v>0</v>
          </cell>
          <cell r="BE300">
            <v>7566.77</v>
          </cell>
          <cell r="BF300">
            <v>183680.13</v>
          </cell>
          <cell r="BG300">
            <v>168231.13999999998</v>
          </cell>
          <cell r="BH300">
            <v>168231.13999999998</v>
          </cell>
          <cell r="BI300">
            <v>173384.51</v>
          </cell>
          <cell r="BJ300">
            <v>2992455.74</v>
          </cell>
        </row>
        <row r="301">
          <cell r="B301" t="str">
            <v>xohcolu2</v>
          </cell>
          <cell r="C301" t="str">
            <v>3045 - 3065 Switzer Avenue</v>
          </cell>
          <cell r="D301" t="str">
            <v>Unrealized</v>
          </cell>
          <cell r="E301" t="str">
            <v>Logistic Fund II</v>
          </cell>
          <cell r="F301" t="str">
            <v>USD</v>
          </cell>
          <cell r="G301" t="str">
            <v>Last Mile</v>
          </cell>
          <cell r="H301" t="str">
            <v>Columbus</v>
          </cell>
          <cell r="I301" t="str">
            <v>Columbus</v>
          </cell>
          <cell r="J301" t="str">
            <v>OH</v>
          </cell>
          <cell r="K301">
            <v>43219</v>
          </cell>
          <cell r="L301" t="str">
            <v>United States</v>
          </cell>
          <cell r="M301" t="str">
            <v>Columbus, OH</v>
          </cell>
          <cell r="N301">
            <v>17930</v>
          </cell>
          <cell r="O301">
            <v>1</v>
          </cell>
          <cell r="P301" t="str">
            <v>Portfolio</v>
          </cell>
          <cell r="Q301" t="str">
            <v>Property - Private Equity</v>
          </cell>
          <cell r="R301" t="str">
            <v>Industrial</v>
          </cell>
          <cell r="S301" t="str">
            <v>Warehouse</v>
          </cell>
          <cell r="T301">
            <v>1988</v>
          </cell>
          <cell r="U301" t="str">
            <v>Sq. Feet</v>
          </cell>
          <cell r="V301" t="str">
            <v>Value-Add</v>
          </cell>
          <cell r="W301" t="str">
            <v>Industrial / Logistics</v>
          </cell>
          <cell r="X301" t="str">
            <v>Common Equity</v>
          </cell>
          <cell r="Y301">
            <v>133920</v>
          </cell>
          <cell r="Z301">
            <v>167913</v>
          </cell>
          <cell r="AA301">
            <v>1330685</v>
          </cell>
          <cell r="AB301">
            <v>0.10063989599341693</v>
          </cell>
          <cell r="AC301">
            <v>111312.5</v>
          </cell>
          <cell r="AD301">
            <v>9.6793478260869564E-2</v>
          </cell>
          <cell r="AE301">
            <v>7.0000000000000007E-2</v>
          </cell>
          <cell r="AF301">
            <v>0.23230000000000001</v>
          </cell>
          <cell r="AG301">
            <v>2.63</v>
          </cell>
          <cell r="AH301">
            <v>0.18559999999999999</v>
          </cell>
          <cell r="AI301">
            <v>2.5299999999999998</v>
          </cell>
          <cell r="AJ301">
            <v>0.12820527604362342</v>
          </cell>
          <cell r="AK301">
            <v>0.19606306815732433</v>
          </cell>
          <cell r="AL301">
            <v>2.5375350093157891</v>
          </cell>
          <cell r="AM301">
            <v>9.6764039377168931E-2</v>
          </cell>
          <cell r="AN301">
            <v>0.15848230121939233</v>
          </cell>
          <cell r="AO301">
            <v>2.1610954099259994</v>
          </cell>
          <cell r="AP301" t="str">
            <v>Market deal</v>
          </cell>
          <cell r="AQ301" t="str">
            <v>Rent Optimization</v>
          </cell>
          <cell r="AR301" t="str">
            <v>Leasing Strategy</v>
          </cell>
          <cell r="AS301">
            <v>44547</v>
          </cell>
          <cell r="AT301">
            <v>1150000</v>
          </cell>
          <cell r="AU301">
            <v>1162772</v>
          </cell>
          <cell r="AV301">
            <v>-33216</v>
          </cell>
          <cell r="AW301">
            <v>3754</v>
          </cell>
          <cell r="AX301">
            <v>-2.8883478260869566E-2</v>
          </cell>
          <cell r="AY301">
            <v>3.2643478260869566E-3</v>
          </cell>
          <cell r="AZ301">
            <v>6.6</v>
          </cell>
          <cell r="BA301">
            <v>1</v>
          </cell>
          <cell r="BB301">
            <v>3.0136986277372199E-2</v>
          </cell>
          <cell r="BC301">
            <v>1</v>
          </cell>
          <cell r="BD301">
            <v>0</v>
          </cell>
          <cell r="BE301">
            <v>0</v>
          </cell>
          <cell r="BF301">
            <v>-17785.789999999997</v>
          </cell>
          <cell r="BG301">
            <v>149484.16000000003</v>
          </cell>
          <cell r="BH301">
            <v>149484.16000000003</v>
          </cell>
          <cell r="BI301">
            <v>157637.41000000003</v>
          </cell>
          <cell r="BJ301">
            <v>1473691.9300000002</v>
          </cell>
        </row>
        <row r="302">
          <cell r="B302" t="str">
            <v>xnj145al</v>
          </cell>
          <cell r="C302" t="str">
            <v>145 Algonquin Parkway</v>
          </cell>
          <cell r="D302" t="str">
            <v>Unrealized</v>
          </cell>
          <cell r="E302" t="str">
            <v>Logistic Fund II</v>
          </cell>
          <cell r="F302" t="str">
            <v>USD</v>
          </cell>
          <cell r="G302" t="str">
            <v>Last Mile</v>
          </cell>
          <cell r="H302" t="str">
            <v>Northern NJ/New York</v>
          </cell>
          <cell r="I302" t="str">
            <v>Whippany</v>
          </cell>
          <cell r="J302" t="str">
            <v>NJ</v>
          </cell>
          <cell r="K302" t="str">
            <v>07981</v>
          </cell>
          <cell r="L302" t="str">
            <v>United States</v>
          </cell>
          <cell r="M302" t="str">
            <v>New York-Newark-Jersey City, NY-NJ-PA</v>
          </cell>
          <cell r="N302">
            <v>23554</v>
          </cell>
          <cell r="O302">
            <v>1</v>
          </cell>
          <cell r="P302" t="str">
            <v>Portfolio</v>
          </cell>
          <cell r="Q302" t="str">
            <v>Property - Private Equity</v>
          </cell>
          <cell r="R302" t="str">
            <v>Industrial</v>
          </cell>
          <cell r="S302" t="str">
            <v>Warehouse</v>
          </cell>
          <cell r="T302">
            <v>1972</v>
          </cell>
          <cell r="U302" t="str">
            <v>Sq. Feet</v>
          </cell>
          <cell r="V302" t="str">
            <v>Value-Add</v>
          </cell>
          <cell r="W302" t="str">
            <v>Industrial / Logistics</v>
          </cell>
          <cell r="X302" t="str">
            <v>Common Equity</v>
          </cell>
          <cell r="Y302">
            <v>348492</v>
          </cell>
          <cell r="Z302">
            <v>523935</v>
          </cell>
          <cell r="AA302">
            <v>4189942</v>
          </cell>
          <cell r="AB302">
            <v>8.3173466363018866E-2</v>
          </cell>
          <cell r="AC302">
            <v>270882.5</v>
          </cell>
          <cell r="AD302">
            <v>7.4356986000548991E-2</v>
          </cell>
          <cell r="AE302">
            <v>4.4999999999999998E-2</v>
          </cell>
          <cell r="AF302">
            <v>0.23230000000000001</v>
          </cell>
          <cell r="AG302">
            <v>2.63</v>
          </cell>
          <cell r="AH302">
            <v>0.18559999999999999</v>
          </cell>
          <cell r="AI302">
            <v>2.5299999999999998</v>
          </cell>
          <cell r="AJ302">
            <v>0.1644380851731575</v>
          </cell>
          <cell r="AK302">
            <v>0.25536775438042913</v>
          </cell>
          <cell r="AL302">
            <v>3.2665575592228717</v>
          </cell>
          <cell r="AM302">
            <v>0.12920554186977951</v>
          </cell>
          <cell r="AN302">
            <v>0.21266163053334042</v>
          </cell>
          <cell r="AO302">
            <v>2.7449163234575105</v>
          </cell>
          <cell r="AP302" t="str">
            <v>Market deal</v>
          </cell>
          <cell r="AQ302" t="str">
            <v>Rent Optimization</v>
          </cell>
          <cell r="AR302" t="str">
            <v>Leasing Strategy</v>
          </cell>
          <cell r="AS302">
            <v>44547</v>
          </cell>
          <cell r="AT302">
            <v>3643000</v>
          </cell>
          <cell r="AU302">
            <v>3666007</v>
          </cell>
          <cell r="AV302">
            <v>172548</v>
          </cell>
          <cell r="AW302">
            <v>206906</v>
          </cell>
          <cell r="AX302">
            <v>4.7364260225089209E-2</v>
          </cell>
          <cell r="AY302">
            <v>5.6795498215756246E-2</v>
          </cell>
          <cell r="AZ302">
            <v>9.9933145106978198</v>
          </cell>
          <cell r="BA302">
            <v>1</v>
          </cell>
          <cell r="BB302">
            <v>3.813788047709243</v>
          </cell>
          <cell r="BC302">
            <v>1</v>
          </cell>
          <cell r="BD302">
            <v>0</v>
          </cell>
          <cell r="BE302">
            <v>10639.65</v>
          </cell>
          <cell r="BF302">
            <v>162160.50999999998</v>
          </cell>
          <cell r="BG302">
            <v>175419.16</v>
          </cell>
          <cell r="BH302">
            <v>175419.16</v>
          </cell>
          <cell r="BI302">
            <v>198106.22999999998</v>
          </cell>
          <cell r="BJ302">
            <v>3670507</v>
          </cell>
        </row>
        <row r="303">
          <cell r="B303" t="str">
            <v>xohcolu4</v>
          </cell>
          <cell r="C303" t="str">
            <v>1149 - 1161 Rarig Avenue</v>
          </cell>
          <cell r="D303" t="str">
            <v>Unrealized</v>
          </cell>
          <cell r="E303" t="str">
            <v>Logistic Fund II</v>
          </cell>
          <cell r="F303" t="str">
            <v>USD</v>
          </cell>
          <cell r="G303" t="str">
            <v>Last Mile</v>
          </cell>
          <cell r="H303" t="str">
            <v>Columbus</v>
          </cell>
          <cell r="I303" t="str">
            <v>Columbus</v>
          </cell>
          <cell r="J303" t="str">
            <v>OH</v>
          </cell>
          <cell r="K303">
            <v>43219</v>
          </cell>
          <cell r="L303" t="str">
            <v>United States</v>
          </cell>
          <cell r="M303" t="str">
            <v>Columbus, OH</v>
          </cell>
          <cell r="N303">
            <v>28808</v>
          </cell>
          <cell r="O303">
            <v>1</v>
          </cell>
          <cell r="P303" t="str">
            <v>Portfolio</v>
          </cell>
          <cell r="Q303" t="str">
            <v>Property - Private Equity</v>
          </cell>
          <cell r="R303" t="str">
            <v>Industrial</v>
          </cell>
          <cell r="S303" t="str">
            <v>Warehouse</v>
          </cell>
          <cell r="T303">
            <v>1991</v>
          </cell>
          <cell r="U303" t="str">
            <v>Sq. Feet</v>
          </cell>
          <cell r="V303" t="str">
            <v>Value-Add</v>
          </cell>
          <cell r="W303" t="str">
            <v>Industrial / Logistics</v>
          </cell>
          <cell r="X303" t="str">
            <v>Common Equity</v>
          </cell>
          <cell r="Y303">
            <v>150504</v>
          </cell>
          <cell r="Z303">
            <v>28689</v>
          </cell>
          <cell r="AA303">
            <v>1949790</v>
          </cell>
          <cell r="AB303">
            <v>7.7189851214746197E-2</v>
          </cell>
          <cell r="AC303">
            <v>187252</v>
          </cell>
          <cell r="AD303">
            <v>9.8553684210526321E-2</v>
          </cell>
          <cell r="AE303">
            <v>7.0000000000000007E-2</v>
          </cell>
          <cell r="AF303">
            <v>0.23230000000000001</v>
          </cell>
          <cell r="AG303">
            <v>2.63</v>
          </cell>
          <cell r="AH303">
            <v>0.18559999999999999</v>
          </cell>
          <cell r="AI303">
            <v>2.5299999999999998</v>
          </cell>
          <cell r="AJ303">
            <v>8.1985064034623356E-2</v>
          </cell>
          <cell r="AK303">
            <v>0.11724760746690266</v>
          </cell>
          <cell r="AL303">
            <v>1.7399798180396744</v>
          </cell>
          <cell r="AM303">
            <v>5.5557984019696471E-2</v>
          </cell>
          <cell r="AN303">
            <v>8.6144251845868158E-2</v>
          </cell>
          <cell r="AO303">
            <v>1.5200527504498351</v>
          </cell>
          <cell r="AP303" t="str">
            <v>Market deal</v>
          </cell>
          <cell r="AQ303" t="str">
            <v>Rent Optimization</v>
          </cell>
          <cell r="AR303" t="str">
            <v>Leasing Strategy</v>
          </cell>
          <cell r="AS303">
            <v>44547</v>
          </cell>
          <cell r="AT303">
            <v>1900000</v>
          </cell>
          <cell r="AU303">
            <v>1921101</v>
          </cell>
          <cell r="AV303">
            <v>125736</v>
          </cell>
          <cell r="AW303">
            <v>126956</v>
          </cell>
          <cell r="AX303">
            <v>6.6176842105263159E-2</v>
          </cell>
          <cell r="AY303">
            <v>6.6818947368421047E-2</v>
          </cell>
          <cell r="AZ303">
            <v>6.6</v>
          </cell>
          <cell r="BA303">
            <v>1</v>
          </cell>
          <cell r="BB303">
            <v>6.7095890410996901</v>
          </cell>
          <cell r="BC303">
            <v>1</v>
          </cell>
          <cell r="BD303">
            <v>0</v>
          </cell>
          <cell r="BE303">
            <v>1533.33</v>
          </cell>
          <cell r="BF303">
            <v>102673.14000000001</v>
          </cell>
          <cell r="BG303">
            <v>135090.66999999998</v>
          </cell>
          <cell r="BH303">
            <v>135090.66999999998</v>
          </cell>
          <cell r="BI303">
            <v>137703.72000000003</v>
          </cell>
          <cell r="BJ303">
            <v>1921101</v>
          </cell>
        </row>
        <row r="304">
          <cell r="B304" t="str">
            <v>xnj30les</v>
          </cell>
          <cell r="C304" t="str">
            <v>30 Leslie Court</v>
          </cell>
          <cell r="D304" t="str">
            <v>Unrealized</v>
          </cell>
          <cell r="E304" t="str">
            <v>Logistic Fund II</v>
          </cell>
          <cell r="F304" t="str">
            <v>USD</v>
          </cell>
          <cell r="G304" t="str">
            <v>Last Mile</v>
          </cell>
          <cell r="H304" t="str">
            <v>Northern NJ/New York</v>
          </cell>
          <cell r="I304" t="str">
            <v>Whippany</v>
          </cell>
          <cell r="J304" t="str">
            <v>NJ</v>
          </cell>
          <cell r="K304" t="str">
            <v>07981</v>
          </cell>
          <cell r="L304" t="str">
            <v>United States</v>
          </cell>
          <cell r="M304" t="str">
            <v>New York-Newark-Jersey City, NY-NJ-PA</v>
          </cell>
          <cell r="N304">
            <v>25250</v>
          </cell>
          <cell r="O304">
            <v>1</v>
          </cell>
          <cell r="P304" t="str">
            <v>Portfolio</v>
          </cell>
          <cell r="Q304" t="str">
            <v>Property - Private Equity</v>
          </cell>
          <cell r="R304" t="str">
            <v>Industrial</v>
          </cell>
          <cell r="S304" t="str">
            <v>Warehouse</v>
          </cell>
          <cell r="T304">
            <v>1972</v>
          </cell>
          <cell r="U304" t="str">
            <v>Sq. Feet</v>
          </cell>
          <cell r="V304" t="str">
            <v>Value-Add</v>
          </cell>
          <cell r="W304" t="str">
            <v>Industrial / Logistics</v>
          </cell>
          <cell r="X304" t="str">
            <v>Common Equity</v>
          </cell>
          <cell r="Y304">
            <v>399372</v>
          </cell>
          <cell r="Z304">
            <v>815470</v>
          </cell>
          <cell r="AA304">
            <v>5051129</v>
          </cell>
          <cell r="AB304">
            <v>7.9065888042059509E-2</v>
          </cell>
          <cell r="AC304">
            <v>303000</v>
          </cell>
          <cell r="AD304">
            <v>7.1971496437054638E-2</v>
          </cell>
          <cell r="AE304">
            <v>4.4999999999999998E-2</v>
          </cell>
          <cell r="AF304">
            <v>0.23230000000000001</v>
          </cell>
          <cell r="AG304">
            <v>2.63</v>
          </cell>
          <cell r="AH304">
            <v>0.18559999999999999</v>
          </cell>
          <cell r="AI304">
            <v>2.5299999999999998</v>
          </cell>
          <cell r="AJ304">
            <v>0.15238100552589939</v>
          </cell>
          <cell r="AK304">
            <v>0.2345414808702142</v>
          </cell>
          <cell r="AL304">
            <v>3.0181937961393128</v>
          </cell>
          <cell r="AM304">
            <v>0.11832562361903576</v>
          </cell>
          <cell r="AN304">
            <v>0.19339276888543933</v>
          </cell>
          <cell r="AO304">
            <v>2.5464304450223674</v>
          </cell>
          <cell r="AP304" t="str">
            <v>Market deal</v>
          </cell>
          <cell r="AQ304" t="str">
            <v>Rent Optimization</v>
          </cell>
          <cell r="AR304" t="str">
            <v>Leasing Strategy</v>
          </cell>
          <cell r="AS304">
            <v>44547</v>
          </cell>
          <cell r="AT304">
            <v>4210000</v>
          </cell>
          <cell r="AU304">
            <v>4235659</v>
          </cell>
          <cell r="AV304">
            <v>174120</v>
          </cell>
          <cell r="AW304">
            <v>177627</v>
          </cell>
          <cell r="AX304">
            <v>4.1358669833729218E-2</v>
          </cell>
          <cell r="AY304">
            <v>4.2191686460807599E-2</v>
          </cell>
          <cell r="AZ304">
            <v>7.5</v>
          </cell>
          <cell r="BA304">
            <v>1</v>
          </cell>
          <cell r="BB304">
            <v>0.95342465752966699</v>
          </cell>
          <cell r="BC304">
            <v>1</v>
          </cell>
          <cell r="BD304">
            <v>0</v>
          </cell>
          <cell r="BE304">
            <v>9411.5499999999993</v>
          </cell>
          <cell r="BF304">
            <v>148927.74</v>
          </cell>
          <cell r="BG304">
            <v>112523.31</v>
          </cell>
          <cell r="BH304">
            <v>112523.31</v>
          </cell>
          <cell r="BI304">
            <v>376164.79</v>
          </cell>
          <cell r="BJ304">
            <v>4625202.43</v>
          </cell>
        </row>
        <row r="305">
          <cell r="B305" t="str">
            <v>xtx3662m</v>
          </cell>
          <cell r="C305" t="str">
            <v>3662-3670 Miller Park Drive</v>
          </cell>
          <cell r="D305" t="str">
            <v>Unrealized</v>
          </cell>
          <cell r="E305" t="str">
            <v>Logistic Fund II</v>
          </cell>
          <cell r="F305" t="str">
            <v>USD</v>
          </cell>
          <cell r="G305" t="str">
            <v>Last Mile</v>
          </cell>
          <cell r="H305" t="str">
            <v>Dallas</v>
          </cell>
          <cell r="I305" t="str">
            <v>Garland</v>
          </cell>
          <cell r="J305" t="str">
            <v>TX</v>
          </cell>
          <cell r="K305">
            <v>75042</v>
          </cell>
          <cell r="L305" t="str">
            <v>United States</v>
          </cell>
          <cell r="M305" t="str">
            <v>Dallas-Fort Worth-Arlington, TX</v>
          </cell>
          <cell r="N305">
            <v>41026</v>
          </cell>
          <cell r="O305">
            <v>1</v>
          </cell>
          <cell r="P305" t="str">
            <v>Portfolio</v>
          </cell>
          <cell r="Q305" t="str">
            <v>Property - Private Equity</v>
          </cell>
          <cell r="R305" t="str">
            <v>Industrial</v>
          </cell>
          <cell r="S305" t="str">
            <v>Warehouse</v>
          </cell>
          <cell r="T305">
            <v>1980</v>
          </cell>
          <cell r="U305" t="str">
            <v>Sq. Feet</v>
          </cell>
          <cell r="V305" t="str">
            <v>Value-Add</v>
          </cell>
          <cell r="W305" t="str">
            <v>Industrial / Logistics</v>
          </cell>
          <cell r="X305" t="str">
            <v>Common Equity</v>
          </cell>
          <cell r="Y305">
            <v>278832</v>
          </cell>
          <cell r="Z305">
            <v>187425</v>
          </cell>
          <cell r="AA305">
            <v>4060622</v>
          </cell>
          <cell r="AB305">
            <v>6.8667312544728368E-2</v>
          </cell>
          <cell r="AC305">
            <v>213675</v>
          </cell>
          <cell r="AD305">
            <v>5.5428964542583607E-2</v>
          </cell>
          <cell r="AE305">
            <v>0.05</v>
          </cell>
          <cell r="AF305">
            <v>0.16070000000000001</v>
          </cell>
          <cell r="AG305">
            <v>2.15</v>
          </cell>
          <cell r="AH305">
            <v>0.1222</v>
          </cell>
          <cell r="AI305">
            <v>2.0499999999999998</v>
          </cell>
          <cell r="AJ305">
            <v>9.5575438299832394E-2</v>
          </cell>
          <cell r="AK305">
            <v>0.13760411711866616</v>
          </cell>
          <cell r="AL305">
            <v>2.0416366938778623</v>
          </cell>
          <cell r="AM305">
            <v>6.816245638065821E-2</v>
          </cell>
          <cell r="AN305">
            <v>0.10562990472347233</v>
          </cell>
          <cell r="AO305">
            <v>1.7623695233875953</v>
          </cell>
          <cell r="AP305" t="str">
            <v>Market deal</v>
          </cell>
          <cell r="AQ305" t="str">
            <v>Rent Optimization</v>
          </cell>
          <cell r="AR305" t="str">
            <v>Leasing Strategy</v>
          </cell>
          <cell r="AS305">
            <v>44547</v>
          </cell>
          <cell r="AT305">
            <v>3854934</v>
          </cell>
          <cell r="AU305">
            <v>3873197</v>
          </cell>
          <cell r="AV305">
            <v>131700</v>
          </cell>
          <cell r="AW305">
            <v>134190</v>
          </cell>
          <cell r="AX305">
            <v>3.4164009033617694E-2</v>
          </cell>
          <cell r="AY305">
            <v>3.480993448915079E-2</v>
          </cell>
          <cell r="AZ305">
            <v>3.1926196363636299</v>
          </cell>
          <cell r="BA305">
            <v>1</v>
          </cell>
          <cell r="BB305">
            <v>2.7604582814302998</v>
          </cell>
          <cell r="BC305">
            <v>1</v>
          </cell>
          <cell r="BD305">
            <v>0</v>
          </cell>
          <cell r="BE305">
            <v>8693.5300000000007</v>
          </cell>
          <cell r="BF305">
            <v>112495.51999999999</v>
          </cell>
          <cell r="BG305">
            <v>201308.19</v>
          </cell>
          <cell r="BH305">
            <v>201308.19</v>
          </cell>
          <cell r="BI305">
            <v>243781.48000000004</v>
          </cell>
          <cell r="BJ305">
            <v>3948732.16</v>
          </cell>
        </row>
        <row r="306">
          <cell r="B306" t="str">
            <v>xnj128ba</v>
          </cell>
          <cell r="C306" t="str">
            <v>128 Bauer Drive</v>
          </cell>
          <cell r="D306" t="str">
            <v>Unrealized</v>
          </cell>
          <cell r="E306" t="str">
            <v>Logistic Fund II</v>
          </cell>
          <cell r="F306" t="str">
            <v>USD</v>
          </cell>
          <cell r="G306" t="str">
            <v>Last Mile</v>
          </cell>
          <cell r="H306" t="str">
            <v>Northern NJ/New York</v>
          </cell>
          <cell r="I306" t="str">
            <v>Oakland</v>
          </cell>
          <cell r="J306" t="str">
            <v>NJ</v>
          </cell>
          <cell r="K306" t="str">
            <v>07436</v>
          </cell>
          <cell r="L306" t="str">
            <v>United States</v>
          </cell>
          <cell r="M306" t="str">
            <v>New York-Newark-Jersey City, NY-NJ-PA</v>
          </cell>
          <cell r="N306">
            <v>42182</v>
          </cell>
          <cell r="O306">
            <v>1</v>
          </cell>
          <cell r="P306" t="str">
            <v>Portfolio</v>
          </cell>
          <cell r="Q306" t="str">
            <v>Property - Private Equity</v>
          </cell>
          <cell r="R306" t="str">
            <v>Industrial</v>
          </cell>
          <cell r="S306" t="str">
            <v>Warehouse</v>
          </cell>
          <cell r="T306">
            <v>1979</v>
          </cell>
          <cell r="U306" t="str">
            <v>Sq. Feet</v>
          </cell>
          <cell r="V306" t="str">
            <v>Value-Add</v>
          </cell>
          <cell r="W306" t="str">
            <v>Industrial / Logistics</v>
          </cell>
          <cell r="X306" t="str">
            <v>Common Equity</v>
          </cell>
          <cell r="Y306">
            <v>677388</v>
          </cell>
          <cell r="Z306">
            <v>901042</v>
          </cell>
          <cell r="AA306">
            <v>10362483</v>
          </cell>
          <cell r="AB306">
            <v>6.5369274912200098E-2</v>
          </cell>
          <cell r="AC306">
            <v>511585.19999999902</v>
          </cell>
          <cell r="AD306">
            <v>5.4791174895576632E-2</v>
          </cell>
          <cell r="AE306">
            <v>4.4999999999999998E-2</v>
          </cell>
          <cell r="AF306">
            <v>0.23230000000000001</v>
          </cell>
          <cell r="AG306">
            <v>2.63</v>
          </cell>
          <cell r="AH306">
            <v>0.18559999999999999</v>
          </cell>
          <cell r="AI306">
            <v>2.5299999999999998</v>
          </cell>
          <cell r="AJ306">
            <v>0.10864235905891784</v>
          </cell>
          <cell r="AK306">
            <v>0.16109967008418868</v>
          </cell>
          <cell r="AL306">
            <v>2.2411034700163719</v>
          </cell>
          <cell r="AM306">
            <v>7.9530247951508759E-2</v>
          </cell>
          <cell r="AN306">
            <v>0.12654981416083366</v>
          </cell>
          <cell r="AO306">
            <v>1.9230726779575671</v>
          </cell>
          <cell r="AP306" t="str">
            <v>Market deal</v>
          </cell>
          <cell r="AQ306" t="str">
            <v>Rent Optimization</v>
          </cell>
          <cell r="AR306" t="str">
            <v>Leasing Strategy</v>
          </cell>
          <cell r="AS306">
            <v>44547</v>
          </cell>
          <cell r="AT306">
            <v>9337000</v>
          </cell>
          <cell r="AU306">
            <v>9461441</v>
          </cell>
          <cell r="AV306">
            <v>356844</v>
          </cell>
          <cell r="AW306">
            <v>351556</v>
          </cell>
          <cell r="AX306">
            <v>3.8218271393381173E-2</v>
          </cell>
          <cell r="AY306">
            <v>3.7651922459033954E-2</v>
          </cell>
          <cell r="AZ306">
            <v>8.7952041408668702</v>
          </cell>
          <cell r="BA306">
            <v>1</v>
          </cell>
          <cell r="BB306">
            <v>0.74483180214783196</v>
          </cell>
          <cell r="BC306">
            <v>1</v>
          </cell>
          <cell r="BD306">
            <v>0</v>
          </cell>
          <cell r="BE306">
            <v>23357.37</v>
          </cell>
          <cell r="BF306">
            <v>279950.77</v>
          </cell>
          <cell r="BG306">
            <v>155617.13</v>
          </cell>
          <cell r="BH306">
            <v>155617.13</v>
          </cell>
          <cell r="BI306">
            <v>540302.73</v>
          </cell>
          <cell r="BJ306">
            <v>9955803.9900000002</v>
          </cell>
        </row>
        <row r="307">
          <cell r="B307" t="str">
            <v>xtx12150</v>
          </cell>
          <cell r="C307" t="str">
            <v>12150 Shiloh Road</v>
          </cell>
          <cell r="D307" t="str">
            <v>Unrealized</v>
          </cell>
          <cell r="E307" t="str">
            <v>Logistic Fund II</v>
          </cell>
          <cell r="F307" t="str">
            <v>USD</v>
          </cell>
          <cell r="G307" t="str">
            <v>Last Mile</v>
          </cell>
          <cell r="H307" t="str">
            <v>Dallas</v>
          </cell>
          <cell r="I307" t="str">
            <v>Dallas</v>
          </cell>
          <cell r="J307" t="str">
            <v>TX</v>
          </cell>
          <cell r="K307">
            <v>75228</v>
          </cell>
          <cell r="L307" t="str">
            <v>United States</v>
          </cell>
          <cell r="M307" t="str">
            <v>Dallas-Fort Worth-Arlington, TX</v>
          </cell>
          <cell r="N307">
            <v>42519</v>
          </cell>
          <cell r="O307">
            <v>1</v>
          </cell>
          <cell r="P307" t="str">
            <v>Portfolio</v>
          </cell>
          <cell r="Q307" t="str">
            <v>Property - Private Equity</v>
          </cell>
          <cell r="R307" t="str">
            <v>Industrial</v>
          </cell>
          <cell r="S307" t="str">
            <v>Warehouse</v>
          </cell>
          <cell r="T307">
            <v>1984</v>
          </cell>
          <cell r="U307" t="str">
            <v>Sq. Feet</v>
          </cell>
          <cell r="V307" t="str">
            <v>Value-Add</v>
          </cell>
          <cell r="W307" t="str">
            <v>Industrial / Logistics</v>
          </cell>
          <cell r="X307" t="str">
            <v>Common Equity</v>
          </cell>
          <cell r="Y307">
            <v>297588</v>
          </cell>
          <cell r="Z307">
            <v>483629</v>
          </cell>
          <cell r="AA307">
            <v>4522740</v>
          </cell>
          <cell r="AB307">
            <v>6.5798166598124153E-2</v>
          </cell>
          <cell r="AC307">
            <v>247777.91999999899</v>
          </cell>
          <cell r="AD307">
            <v>6.1635286584846863E-2</v>
          </cell>
          <cell r="AE307">
            <v>0.05</v>
          </cell>
          <cell r="AF307">
            <v>0.16070000000000001</v>
          </cell>
          <cell r="AG307">
            <v>2.15</v>
          </cell>
          <cell r="AH307">
            <v>0.1222</v>
          </cell>
          <cell r="AI307">
            <v>2.0499999999999998</v>
          </cell>
          <cell r="AJ307">
            <v>9.7520375933952907E-2</v>
          </cell>
          <cell r="AK307">
            <v>0.14254705376261478</v>
          </cell>
          <cell r="AL307">
            <v>1.9984204863761319</v>
          </cell>
          <cell r="AM307">
            <v>6.9527909826550216E-2</v>
          </cell>
          <cell r="AN307">
            <v>0.1095218038938075</v>
          </cell>
          <cell r="AO307">
            <v>1.7302434691549959</v>
          </cell>
          <cell r="AP307" t="str">
            <v>Market deal</v>
          </cell>
          <cell r="AQ307" t="str">
            <v>Rent Optimization</v>
          </cell>
          <cell r="AR307" t="str">
            <v>Leasing Strategy</v>
          </cell>
          <cell r="AS307">
            <v>44547</v>
          </cell>
          <cell r="AT307">
            <v>4020066</v>
          </cell>
          <cell r="AU307">
            <v>4039111</v>
          </cell>
          <cell r="AV307">
            <v>192372</v>
          </cell>
          <cell r="AW307">
            <v>194280</v>
          </cell>
          <cell r="AX307">
            <v>4.7852945697906456E-2</v>
          </cell>
          <cell r="AY307">
            <v>4.8327564771324646E-2</v>
          </cell>
          <cell r="AZ307">
            <v>4.4711569844480001</v>
          </cell>
          <cell r="BA307">
            <v>1</v>
          </cell>
          <cell r="BB307">
            <v>2.5926860390775701</v>
          </cell>
          <cell r="BC307">
            <v>1</v>
          </cell>
          <cell r="BD307">
            <v>0</v>
          </cell>
          <cell r="BE307">
            <v>9831.7999999999993</v>
          </cell>
          <cell r="BF307">
            <v>150612.13000000003</v>
          </cell>
          <cell r="BG307">
            <v>245975.13</v>
          </cell>
          <cell r="BH307">
            <v>245975.13</v>
          </cell>
          <cell r="BI307">
            <v>240901.88999999996</v>
          </cell>
          <cell r="BJ307">
            <v>4094917.42</v>
          </cell>
        </row>
        <row r="308">
          <cell r="B308" t="str">
            <v>xnj40pot</v>
          </cell>
          <cell r="C308" t="str">
            <v>40 Potash Road</v>
          </cell>
          <cell r="D308" t="str">
            <v>Unrealized</v>
          </cell>
          <cell r="E308" t="str">
            <v>Logistic Fund II</v>
          </cell>
          <cell r="F308" t="str">
            <v>USD</v>
          </cell>
          <cell r="G308" t="str">
            <v>Last Mile</v>
          </cell>
          <cell r="H308" t="str">
            <v>Northern NJ/New York</v>
          </cell>
          <cell r="I308" t="str">
            <v>Oakland</v>
          </cell>
          <cell r="J308" t="str">
            <v>NJ</v>
          </cell>
          <cell r="K308" t="str">
            <v>07436</v>
          </cell>
          <cell r="L308" t="str">
            <v>United States</v>
          </cell>
          <cell r="M308" t="str">
            <v>New York-Newark-Jersey City, NY-NJ-PA</v>
          </cell>
          <cell r="N308">
            <v>60994</v>
          </cell>
          <cell r="O308">
            <v>1</v>
          </cell>
          <cell r="P308" t="str">
            <v>Portfolio</v>
          </cell>
          <cell r="Q308" t="str">
            <v>Property - Private Equity</v>
          </cell>
          <cell r="R308" t="str">
            <v>Industrial</v>
          </cell>
          <cell r="S308" t="str">
            <v>Warehouse</v>
          </cell>
          <cell r="T308">
            <v>1992</v>
          </cell>
          <cell r="U308" t="str">
            <v>Sq. Feet</v>
          </cell>
          <cell r="V308" t="str">
            <v>Value-Add</v>
          </cell>
          <cell r="W308" t="str">
            <v>Industrial / Logistics</v>
          </cell>
          <cell r="X308" t="str">
            <v>Common Equity</v>
          </cell>
          <cell r="Y308">
            <v>1099428</v>
          </cell>
          <cell r="Z308">
            <v>322340</v>
          </cell>
          <cell r="AA308">
            <v>22902793</v>
          </cell>
          <cell r="AB308">
            <v>4.8004101508492873E-2</v>
          </cell>
          <cell r="AC308">
            <v>1089305</v>
          </cell>
          <cell r="AD308">
            <v>4.8961929162171881E-2</v>
          </cell>
          <cell r="AE308">
            <v>8.2500000000000004E-2</v>
          </cell>
          <cell r="AF308">
            <v>0.17599999999999999</v>
          </cell>
          <cell r="AG308">
            <v>2.27</v>
          </cell>
          <cell r="AH308">
            <v>0.1358</v>
          </cell>
          <cell r="AI308">
            <v>2.17</v>
          </cell>
          <cell r="AJ308">
            <v>1.2728880336226878E-2</v>
          </cell>
          <cell r="AK308">
            <v>-4.3899691355563375E-2</v>
          </cell>
          <cell r="AL308">
            <v>0.79513475421083557</v>
          </cell>
          <cell r="AM308">
            <v>-3.8383656387305232E-3</v>
          </cell>
          <cell r="AN308">
            <v>-6.3432888974061297E-2</v>
          </cell>
          <cell r="AO308">
            <v>0.70559388794905509</v>
          </cell>
          <cell r="AP308" t="str">
            <v>Market deal</v>
          </cell>
          <cell r="AQ308" t="str">
            <v>Rent Optimization</v>
          </cell>
          <cell r="AR308" t="str">
            <v>Leasing Strategy</v>
          </cell>
          <cell r="AS308">
            <v>44547</v>
          </cell>
          <cell r="AT308">
            <v>22248000</v>
          </cell>
          <cell r="AU308">
            <v>22580453</v>
          </cell>
          <cell r="AV308">
            <v>945420</v>
          </cell>
          <cell r="AW308">
            <v>965751</v>
          </cell>
          <cell r="AX308">
            <v>4.249460625674218E-2</v>
          </cell>
          <cell r="AY308">
            <v>4.3408441208198492E-2</v>
          </cell>
          <cell r="AZ308">
            <v>15.5000006558022</v>
          </cell>
          <cell r="BA308">
            <v>1</v>
          </cell>
          <cell r="BB308">
            <v>0.87123287670918403</v>
          </cell>
          <cell r="BC308">
            <v>1</v>
          </cell>
          <cell r="BD308">
            <v>0</v>
          </cell>
          <cell r="BE308">
            <v>41307.08</v>
          </cell>
          <cell r="BF308">
            <v>936766.2</v>
          </cell>
          <cell r="BG308">
            <v>1047295.11</v>
          </cell>
          <cell r="BH308">
            <v>1047295.11</v>
          </cell>
          <cell r="BI308">
            <v>1036934.37</v>
          </cell>
          <cell r="BJ308">
            <v>22847301.149999999</v>
          </cell>
        </row>
        <row r="309">
          <cell r="B309" t="str">
            <v>xohcolu1</v>
          </cell>
          <cell r="C309" t="str">
            <v>3000 - 3004 E 14th Avenue</v>
          </cell>
          <cell r="D309" t="str">
            <v>Unrealized</v>
          </cell>
          <cell r="E309" t="str">
            <v>Logistic Fund II</v>
          </cell>
          <cell r="F309" t="str">
            <v>USD</v>
          </cell>
          <cell r="G309" t="str">
            <v>Last Mile</v>
          </cell>
          <cell r="H309" t="str">
            <v>Columbus</v>
          </cell>
          <cell r="I309" t="str">
            <v>Columbus</v>
          </cell>
          <cell r="J309" t="str">
            <v>OH</v>
          </cell>
          <cell r="K309">
            <v>43219</v>
          </cell>
          <cell r="L309" t="str">
            <v>United States</v>
          </cell>
          <cell r="M309" t="str">
            <v>Columbus, OH</v>
          </cell>
          <cell r="N309">
            <v>61850</v>
          </cell>
          <cell r="O309">
            <v>1</v>
          </cell>
          <cell r="P309" t="str">
            <v>Portfolio</v>
          </cell>
          <cell r="Q309" t="str">
            <v>Property - Private Equity</v>
          </cell>
          <cell r="R309" t="str">
            <v>Industrial</v>
          </cell>
          <cell r="S309" t="str">
            <v>Warehouse</v>
          </cell>
          <cell r="T309">
            <v>1994</v>
          </cell>
          <cell r="U309" t="str">
            <v>Sq. Feet</v>
          </cell>
          <cell r="V309" t="str">
            <v>Value-Add</v>
          </cell>
          <cell r="W309" t="str">
            <v>Industrial / Logistics</v>
          </cell>
          <cell r="X309" t="str">
            <v>Common Equity</v>
          </cell>
          <cell r="Y309">
            <v>500424</v>
          </cell>
          <cell r="Z309">
            <v>251689</v>
          </cell>
          <cell r="AA309">
            <v>4599445</v>
          </cell>
          <cell r="AB309">
            <v>0.1088009531584789</v>
          </cell>
          <cell r="AC309">
            <v>402025</v>
          </cell>
          <cell r="AD309">
            <v>9.3494186046511635E-2</v>
          </cell>
          <cell r="AE309">
            <v>7.0000000000000007E-2</v>
          </cell>
          <cell r="AF309">
            <v>0.23230000000000001</v>
          </cell>
          <cell r="AG309">
            <v>2.63</v>
          </cell>
          <cell r="AH309">
            <v>0.18559999999999999</v>
          </cell>
          <cell r="AI309">
            <v>2.5299999999999998</v>
          </cell>
          <cell r="AJ309">
            <v>0.15146614715020235</v>
          </cell>
          <cell r="AK309">
            <v>0.24335505712521366</v>
          </cell>
          <cell r="AL309">
            <v>2.9156680391203924</v>
          </cell>
          <cell r="AM309">
            <v>0.11720573314911875</v>
          </cell>
          <cell r="AN309">
            <v>0.20128778574468398</v>
          </cell>
          <cell r="AO309">
            <v>2.4626966434905579</v>
          </cell>
          <cell r="AP309" t="str">
            <v>Market deal</v>
          </cell>
          <cell r="AQ309" t="str">
            <v>Rent Optimization</v>
          </cell>
          <cell r="AR309" t="str">
            <v>Leasing Strategy</v>
          </cell>
          <cell r="AS309">
            <v>44547</v>
          </cell>
          <cell r="AT309">
            <v>4300000</v>
          </cell>
          <cell r="AU309">
            <v>4347756</v>
          </cell>
          <cell r="AV309">
            <v>370704</v>
          </cell>
          <cell r="AW309">
            <v>370662</v>
          </cell>
          <cell r="AX309">
            <v>8.6210232558139532E-2</v>
          </cell>
          <cell r="AY309">
            <v>8.6200465116279074E-2</v>
          </cell>
          <cell r="AZ309">
            <v>6.3128168148746902</v>
          </cell>
          <cell r="BA309">
            <v>1</v>
          </cell>
          <cell r="BB309">
            <v>4.1437658497817296</v>
          </cell>
          <cell r="BC309">
            <v>1</v>
          </cell>
          <cell r="BD309">
            <v>0</v>
          </cell>
          <cell r="BE309">
            <v>3190.43</v>
          </cell>
          <cell r="BF309">
            <v>348229.54</v>
          </cell>
          <cell r="BG309">
            <v>352384.37000000005</v>
          </cell>
          <cell r="BH309">
            <v>352384.37000000005</v>
          </cell>
          <cell r="BI309">
            <v>341235.98</v>
          </cell>
          <cell r="BJ309">
            <v>4370184</v>
          </cell>
        </row>
        <row r="310">
          <cell r="B310" t="str">
            <v>xnj125al</v>
          </cell>
          <cell r="C310" t="str">
            <v>125 Algonquin Parkway</v>
          </cell>
          <cell r="D310" t="str">
            <v>Unrealized</v>
          </cell>
          <cell r="E310" t="str">
            <v>Logistic Fund II</v>
          </cell>
          <cell r="F310" t="str">
            <v>USD</v>
          </cell>
          <cell r="G310" t="str">
            <v>Last Mile</v>
          </cell>
          <cell r="H310" t="str">
            <v>Northern NJ/New York</v>
          </cell>
          <cell r="I310" t="str">
            <v>Whippany</v>
          </cell>
          <cell r="J310" t="str">
            <v>NJ</v>
          </cell>
          <cell r="K310" t="str">
            <v>07981</v>
          </cell>
          <cell r="L310" t="str">
            <v>United States</v>
          </cell>
          <cell r="M310" t="str">
            <v>New York-Newark-Jersey City, NY-NJ-PA</v>
          </cell>
          <cell r="N310">
            <v>71000</v>
          </cell>
          <cell r="O310">
            <v>1</v>
          </cell>
          <cell r="P310" t="str">
            <v>Portfolio</v>
          </cell>
          <cell r="Q310" t="str">
            <v>Property - Private Equity</v>
          </cell>
          <cell r="R310" t="str">
            <v>Industrial</v>
          </cell>
          <cell r="S310" t="str">
            <v>Warehouse</v>
          </cell>
          <cell r="T310">
            <v>1972</v>
          </cell>
          <cell r="U310" t="str">
            <v>Sq. Feet</v>
          </cell>
          <cell r="V310" t="str">
            <v>Value-Add</v>
          </cell>
          <cell r="W310" t="str">
            <v>Industrial / Logistics</v>
          </cell>
          <cell r="X310" t="str">
            <v>Common Equity</v>
          </cell>
          <cell r="Y310">
            <v>990228</v>
          </cell>
          <cell r="Z310">
            <v>654430</v>
          </cell>
          <cell r="AA310">
            <v>15956630</v>
          </cell>
          <cell r="AB310">
            <v>6.2057464514750298E-2</v>
          </cell>
          <cell r="AC310">
            <v>816147.36</v>
          </cell>
          <cell r="AD310">
            <v>5.3605737931034479E-2</v>
          </cell>
          <cell r="AE310">
            <v>4.4999999999999998E-2</v>
          </cell>
          <cell r="AF310">
            <v>0.23230000000000001</v>
          </cell>
          <cell r="AG310">
            <v>2.63</v>
          </cell>
          <cell r="AH310">
            <v>0.18559999999999999</v>
          </cell>
          <cell r="AI310">
            <v>2.5299999999999998</v>
          </cell>
          <cell r="AJ310">
            <v>9.9251166836144877E-2</v>
          </cell>
          <cell r="AK310">
            <v>0.14533969766955201</v>
          </cell>
          <cell r="AL310">
            <v>2.0908807524692858</v>
          </cell>
          <cell r="AM310">
            <v>7.126416870110508E-2</v>
          </cell>
          <cell r="AN310">
            <v>0.11233766109914067</v>
          </cell>
          <cell r="AO310">
            <v>1.8016049770865639</v>
          </cell>
          <cell r="AP310" t="str">
            <v>Market deal</v>
          </cell>
          <cell r="AQ310" t="str">
            <v>Rent Optimization</v>
          </cell>
          <cell r="AR310" t="str">
            <v>Leasing Strategy</v>
          </cell>
          <cell r="AS310">
            <v>44547</v>
          </cell>
          <cell r="AT310">
            <v>15225000</v>
          </cell>
          <cell r="AU310">
            <v>15302200</v>
          </cell>
          <cell r="AV310">
            <v>615984</v>
          </cell>
          <cell r="AW310">
            <v>657842</v>
          </cell>
          <cell r="AX310">
            <v>4.0458719211822661E-2</v>
          </cell>
          <cell r="AY310">
            <v>4.3208013136288997E-2</v>
          </cell>
          <cell r="AZ310">
            <v>8.9439616901408403</v>
          </cell>
          <cell r="BA310">
            <v>1</v>
          </cell>
          <cell r="BB310">
            <v>2.7901215512253499</v>
          </cell>
          <cell r="BC310">
            <v>1</v>
          </cell>
          <cell r="BD310">
            <v>0</v>
          </cell>
          <cell r="BE310">
            <v>40725.68</v>
          </cell>
          <cell r="BF310">
            <v>661303.07999999996</v>
          </cell>
          <cell r="BG310">
            <v>990439.74</v>
          </cell>
          <cell r="BH310">
            <v>990439.74</v>
          </cell>
          <cell r="BI310">
            <v>718121</v>
          </cell>
          <cell r="BJ310">
            <v>15417018.24</v>
          </cell>
        </row>
        <row r="311">
          <cell r="B311" t="str">
            <v>xnj17pol</v>
          </cell>
          <cell r="C311" t="str">
            <v>17-01 Pollitt Drive</v>
          </cell>
          <cell r="D311" t="str">
            <v>Unrealized</v>
          </cell>
          <cell r="E311" t="str">
            <v>Logistic Fund II</v>
          </cell>
          <cell r="F311" t="str">
            <v>USD</v>
          </cell>
          <cell r="G311" t="str">
            <v>Last Mile</v>
          </cell>
          <cell r="H311" t="str">
            <v>Northern NJ/New York</v>
          </cell>
          <cell r="I311" t="str">
            <v>Fairlawn</v>
          </cell>
          <cell r="J311" t="str">
            <v>NJ</v>
          </cell>
          <cell r="K311" t="str">
            <v>07410</v>
          </cell>
          <cell r="L311" t="str">
            <v>United States</v>
          </cell>
          <cell r="M311" t="str">
            <v>New York-Newark-Jersey City, NY-NJ-PA</v>
          </cell>
          <cell r="N311">
            <v>105350</v>
          </cell>
          <cell r="O311">
            <v>1</v>
          </cell>
          <cell r="P311" t="str">
            <v>Portfolio</v>
          </cell>
          <cell r="Q311" t="str">
            <v>Property - Private Equity</v>
          </cell>
          <cell r="R311" t="str">
            <v>Industrial</v>
          </cell>
          <cell r="S311" t="str">
            <v>Warehouse</v>
          </cell>
          <cell r="T311">
            <v>1960</v>
          </cell>
          <cell r="U311" t="str">
            <v>Sq. Feet</v>
          </cell>
          <cell r="V311" t="str">
            <v>Value-Add</v>
          </cell>
          <cell r="W311" t="str">
            <v>Industrial / Logistics</v>
          </cell>
          <cell r="X311" t="str">
            <v>Common Equity</v>
          </cell>
          <cell r="Y311">
            <v>1725144</v>
          </cell>
          <cell r="Z311">
            <v>2347975</v>
          </cell>
          <cell r="AA311">
            <v>19192922</v>
          </cell>
          <cell r="AB311">
            <v>8.9884385504197847E-2</v>
          </cell>
          <cell r="AC311">
            <v>1320035.5</v>
          </cell>
          <cell r="AD311">
            <v>7.8756368951733186E-2</v>
          </cell>
          <cell r="AE311">
            <v>4.4999999999999998E-2</v>
          </cell>
          <cell r="AF311">
            <v>0.17599999999999999</v>
          </cell>
          <cell r="AG311">
            <v>2.27</v>
          </cell>
          <cell r="AH311">
            <v>0.1358</v>
          </cell>
          <cell r="AI311">
            <v>2.17</v>
          </cell>
          <cell r="AJ311">
            <v>0.18012726593086614</v>
          </cell>
          <cell r="AK311">
            <v>0.27951543309688809</v>
          </cell>
          <cell r="AL311">
            <v>3.6502641384528247</v>
          </cell>
          <cell r="AM311">
            <v>0.14351603104817756</v>
          </cell>
          <cell r="AN311">
            <v>0.23530709389998816</v>
          </cell>
          <cell r="AO311">
            <v>3.0512008335497081</v>
          </cell>
          <cell r="AP311" t="str">
            <v>Market deal</v>
          </cell>
          <cell r="AQ311" t="str">
            <v>Rent Optimization</v>
          </cell>
          <cell r="AR311" t="str">
            <v>Leasing Strategy</v>
          </cell>
          <cell r="AS311">
            <v>44547</v>
          </cell>
          <cell r="AT311">
            <v>16761000</v>
          </cell>
          <cell r="AU311">
            <v>16844947</v>
          </cell>
          <cell r="AV311">
            <v>852480</v>
          </cell>
          <cell r="AW311">
            <v>905309</v>
          </cell>
          <cell r="AX311">
            <v>5.0860927152317881E-2</v>
          </cell>
          <cell r="AY311">
            <v>5.4012827396933361E-2</v>
          </cell>
          <cell r="AZ311">
            <v>9.4794687767076002</v>
          </cell>
          <cell r="BA311">
            <v>0.90773692347580504</v>
          </cell>
          <cell r="BB311">
            <v>3.5236251087029502</v>
          </cell>
          <cell r="BC311">
            <v>1</v>
          </cell>
          <cell r="BD311">
            <v>0</v>
          </cell>
          <cell r="BE311">
            <v>42920.85</v>
          </cell>
          <cell r="BF311">
            <v>718819.37999999989</v>
          </cell>
          <cell r="BG311">
            <v>658986.61</v>
          </cell>
          <cell r="BH311">
            <v>658986.61</v>
          </cell>
          <cell r="BI311">
            <v>826506.57000000007</v>
          </cell>
          <cell r="BJ311">
            <v>18195181.870000001</v>
          </cell>
        </row>
        <row r="312">
          <cell r="B312" t="str">
            <v>xnj5thor</v>
          </cell>
          <cell r="C312" t="str">
            <v>5 Thornton Road</v>
          </cell>
          <cell r="D312" t="str">
            <v>Unrealized</v>
          </cell>
          <cell r="E312" t="str">
            <v>Logistic Fund II</v>
          </cell>
          <cell r="F312" t="str">
            <v>USD</v>
          </cell>
          <cell r="G312" t="str">
            <v>Last Mile</v>
          </cell>
          <cell r="H312" t="str">
            <v>Northern NJ/New York</v>
          </cell>
          <cell r="I312" t="str">
            <v>Oakland</v>
          </cell>
          <cell r="J312" t="str">
            <v>NJ</v>
          </cell>
          <cell r="K312" t="str">
            <v>07436</v>
          </cell>
          <cell r="L312" t="str">
            <v>United States</v>
          </cell>
          <cell r="M312" t="str">
            <v>New York-Newark-Jersey City, NY-NJ-PA</v>
          </cell>
          <cell r="N312">
            <v>150801</v>
          </cell>
          <cell r="O312">
            <v>1</v>
          </cell>
          <cell r="P312" t="str">
            <v>Portfolio</v>
          </cell>
          <cell r="Q312" t="str">
            <v>Property - Private Equity</v>
          </cell>
          <cell r="R312" t="str">
            <v>Industrial</v>
          </cell>
          <cell r="S312" t="str">
            <v>Warehouse</v>
          </cell>
          <cell r="T312">
            <v>1973</v>
          </cell>
          <cell r="U312" t="str">
            <v>Sq. Feet</v>
          </cell>
          <cell r="V312" t="str">
            <v>Value-Add</v>
          </cell>
          <cell r="W312" t="str">
            <v>Industrial / Logistics</v>
          </cell>
          <cell r="X312" t="str">
            <v>Common Equity</v>
          </cell>
          <cell r="Y312">
            <v>1435572</v>
          </cell>
          <cell r="Z312">
            <v>750346</v>
          </cell>
          <cell r="AA312">
            <v>28956556</v>
          </cell>
          <cell r="AB312">
            <v>4.9576752152431389E-2</v>
          </cell>
          <cell r="AC312">
            <v>1887937.5</v>
          </cell>
          <cell r="AD312">
            <v>6.7260589974705187E-2</v>
          </cell>
          <cell r="AE312">
            <v>4.4999999999999998E-2</v>
          </cell>
          <cell r="AF312">
            <v>0.17599999999999999</v>
          </cell>
          <cell r="AG312">
            <v>2.27</v>
          </cell>
          <cell r="AH312">
            <v>0.1358</v>
          </cell>
          <cell r="AI312">
            <v>2.17</v>
          </cell>
          <cell r="AJ312">
            <v>5.8474240363143748E-2</v>
          </cell>
          <cell r="AK312">
            <v>6.7197060584087032E-2</v>
          </cell>
          <cell r="AL312">
            <v>1.4247377175712681</v>
          </cell>
          <cell r="AM312">
            <v>3.5784637423473153E-2</v>
          </cell>
          <cell r="AN312">
            <v>4.3383171358670758E-2</v>
          </cell>
          <cell r="AO312">
            <v>1.2680061282041919</v>
          </cell>
          <cell r="AP312" t="str">
            <v>Market deal</v>
          </cell>
          <cell r="AQ312" t="str">
            <v>Rent Optimization</v>
          </cell>
          <cell r="AR312" t="str">
            <v>Leasing Strategy</v>
          </cell>
          <cell r="AS312">
            <v>44547</v>
          </cell>
          <cell r="AT312">
            <v>28069000</v>
          </cell>
          <cell r="AU312">
            <v>28206210</v>
          </cell>
          <cell r="AV312">
            <v>1207824</v>
          </cell>
          <cell r="AW312">
            <v>1212909</v>
          </cell>
          <cell r="AX312">
            <v>4.3030531903523461E-2</v>
          </cell>
          <cell r="AY312">
            <v>4.321169261462824E-2</v>
          </cell>
          <cell r="AZ312">
            <v>8.2000119362603705</v>
          </cell>
          <cell r="BA312">
            <v>1</v>
          </cell>
          <cell r="BB312">
            <v>9.8767123287643894</v>
          </cell>
          <cell r="BC312">
            <v>1</v>
          </cell>
          <cell r="BD312">
            <v>0</v>
          </cell>
          <cell r="BE312">
            <v>63422.23</v>
          </cell>
          <cell r="BF312">
            <v>1119281.81</v>
          </cell>
          <cell r="BG312">
            <v>1225612.51</v>
          </cell>
          <cell r="BH312">
            <v>1225612.51</v>
          </cell>
          <cell r="BI312">
            <v>1231453.76</v>
          </cell>
          <cell r="BJ312">
            <v>28219818</v>
          </cell>
        </row>
        <row r="313">
          <cell r="B313" t="str">
            <v>xnj19nev</v>
          </cell>
          <cell r="C313" t="str">
            <v>19-05 Nevins Road</v>
          </cell>
          <cell r="D313" t="str">
            <v>Unrealized</v>
          </cell>
          <cell r="E313" t="str">
            <v>Logistic Fund II</v>
          </cell>
          <cell r="F313" t="str">
            <v>USD</v>
          </cell>
          <cell r="G313" t="str">
            <v>Last Mile</v>
          </cell>
          <cell r="H313" t="str">
            <v>Northern NJ/New York</v>
          </cell>
          <cell r="I313" t="str">
            <v>Fairlawn</v>
          </cell>
          <cell r="J313" t="str">
            <v>NJ</v>
          </cell>
          <cell r="K313" t="str">
            <v>07410</v>
          </cell>
          <cell r="L313" t="str">
            <v>United States</v>
          </cell>
          <cell r="M313" t="str">
            <v>New York-Newark-Jersey City, NY-NJ-PA</v>
          </cell>
          <cell r="N313">
            <v>151799</v>
          </cell>
          <cell r="O313">
            <v>1</v>
          </cell>
          <cell r="P313" t="str">
            <v>Portfolio</v>
          </cell>
          <cell r="Q313" t="str">
            <v>Property - Private Equity</v>
          </cell>
          <cell r="R313" t="str">
            <v>Industrial</v>
          </cell>
          <cell r="S313" t="str">
            <v>Warehouse</v>
          </cell>
          <cell r="T313">
            <v>1953</v>
          </cell>
          <cell r="U313" t="str">
            <v>Sq. Feet</v>
          </cell>
          <cell r="V313" t="str">
            <v>Value-Add</v>
          </cell>
          <cell r="W313" t="str">
            <v>Industrial / Logistics</v>
          </cell>
          <cell r="X313" t="str">
            <v>Common Equity</v>
          </cell>
          <cell r="Y313">
            <v>2509284</v>
          </cell>
          <cell r="Z313">
            <v>1406013</v>
          </cell>
          <cell r="AA313">
            <v>29361797</v>
          </cell>
          <cell r="AB313">
            <v>8.546084560151411E-2</v>
          </cell>
          <cell r="AC313">
            <v>1880735.76</v>
          </cell>
          <cell r="AD313">
            <v>6.7603729690869876E-2</v>
          </cell>
          <cell r="AE313">
            <v>4.4999999999999998E-2</v>
          </cell>
          <cell r="AF313">
            <v>0.23230000000000001</v>
          </cell>
          <cell r="AG313">
            <v>2.63</v>
          </cell>
          <cell r="AH313">
            <v>0.18559999999999999</v>
          </cell>
          <cell r="AI313">
            <v>2.5299999999999998</v>
          </cell>
          <cell r="AJ313">
            <v>0.15742194554392253</v>
          </cell>
          <cell r="AK313">
            <v>0.23980704693182231</v>
          </cell>
          <cell r="AL313">
            <v>3.3036242736254029</v>
          </cell>
          <cell r="AM313">
            <v>0.12334007579853679</v>
          </cell>
          <cell r="AN313">
            <v>0.19881403955067167</v>
          </cell>
          <cell r="AO313">
            <v>2.7724154229335216</v>
          </cell>
          <cell r="AP313" t="str">
            <v>Market deal</v>
          </cell>
          <cell r="AQ313" t="str">
            <v>Rent Optimization</v>
          </cell>
          <cell r="AR313" t="str">
            <v>Leasing Strategy</v>
          </cell>
          <cell r="AS313">
            <v>44547</v>
          </cell>
          <cell r="AT313">
            <v>27820000</v>
          </cell>
          <cell r="AU313">
            <v>27955784</v>
          </cell>
          <cell r="AV313">
            <v>1105260</v>
          </cell>
          <cell r="AW313">
            <v>1121491</v>
          </cell>
          <cell r="AX313">
            <v>3.9728971962616821E-2</v>
          </cell>
          <cell r="AY313">
            <v>4.0312401150251614E-2</v>
          </cell>
          <cell r="AZ313">
            <v>7.4262781704754302</v>
          </cell>
          <cell r="BA313">
            <v>1</v>
          </cell>
          <cell r="BB313">
            <v>2.4274305775795599</v>
          </cell>
          <cell r="BC313">
            <v>1</v>
          </cell>
          <cell r="BD313">
            <v>0</v>
          </cell>
          <cell r="BE313">
            <v>63789.34</v>
          </cell>
          <cell r="BF313">
            <v>1113378.26</v>
          </cell>
          <cell r="BG313">
            <v>1164467.75</v>
          </cell>
          <cell r="BH313">
            <v>1164467.75</v>
          </cell>
          <cell r="BI313">
            <v>1168711.8199999998</v>
          </cell>
          <cell r="BJ313">
            <v>27968334.289999999</v>
          </cell>
        </row>
        <row r="314">
          <cell r="B314" t="str">
            <v>xga800in</v>
          </cell>
          <cell r="C314" t="str">
            <v>800-850 Industrial Park Drive</v>
          </cell>
          <cell r="D314" t="str">
            <v>Unrealized</v>
          </cell>
          <cell r="E314" t="str">
            <v>Logistic Fund II</v>
          </cell>
          <cell r="F314" t="str">
            <v>USD</v>
          </cell>
          <cell r="G314" t="str">
            <v>Last Mile</v>
          </cell>
          <cell r="H314" t="str">
            <v>Atlanta</v>
          </cell>
          <cell r="I314" t="str">
            <v>Marietta</v>
          </cell>
          <cell r="J314" t="str">
            <v>GA</v>
          </cell>
          <cell r="K314">
            <v>30062</v>
          </cell>
          <cell r="L314" t="str">
            <v>United States</v>
          </cell>
          <cell r="M314" t="str">
            <v>Atlanta-Sandy Springs-Roswell, GA</v>
          </cell>
          <cell r="N314">
            <v>72532</v>
          </cell>
          <cell r="O314">
            <v>2</v>
          </cell>
          <cell r="P314" t="str">
            <v>Portfolio</v>
          </cell>
          <cell r="Q314" t="str">
            <v>Property - Private Equity</v>
          </cell>
          <cell r="R314" t="str">
            <v>Industrial</v>
          </cell>
          <cell r="S314" t="str">
            <v>Warehouse</v>
          </cell>
          <cell r="T314">
            <v>1960</v>
          </cell>
          <cell r="U314" t="str">
            <v>Sq. Feet</v>
          </cell>
          <cell r="V314" t="str">
            <v>Value-Add</v>
          </cell>
          <cell r="W314" t="str">
            <v>Industrial / Logistics</v>
          </cell>
          <cell r="X314" t="str">
            <v>Common Equity</v>
          </cell>
          <cell r="Y314">
            <v>626484</v>
          </cell>
          <cell r="Z314">
            <v>863076</v>
          </cell>
          <cell r="AA314">
            <v>8161267</v>
          </cell>
          <cell r="AB314">
            <v>7.6763081026512178E-2</v>
          </cell>
          <cell r="AC314">
            <v>486350.92</v>
          </cell>
          <cell r="AD314">
            <v>6.7082885517241383E-2</v>
          </cell>
          <cell r="AE314">
            <v>5.2499999999999998E-2</v>
          </cell>
          <cell r="AF314">
            <v>0.2079</v>
          </cell>
          <cell r="AG314">
            <v>2.68</v>
          </cell>
          <cell r="AH314">
            <v>0.16539999999999999</v>
          </cell>
          <cell r="AI314">
            <v>2.58</v>
          </cell>
          <cell r="AJ314">
            <v>0.11866978379063342</v>
          </cell>
          <cell r="AK314">
            <v>0.17990914596528462</v>
          </cell>
          <cell r="AL314">
            <v>2.3805359849819285</v>
          </cell>
          <cell r="AM314">
            <v>8.8287629424173009E-2</v>
          </cell>
          <cell r="AN314">
            <v>0.14349155046906303</v>
          </cell>
          <cell r="AO314">
            <v>2.0353940779690305</v>
          </cell>
          <cell r="AP314" t="str">
            <v>Market deal</v>
          </cell>
          <cell r="AQ314" t="str">
            <v>Lease-up</v>
          </cell>
          <cell r="AR314" t="str">
            <v>Leasing Strategy</v>
          </cell>
          <cell r="AS314">
            <v>44550</v>
          </cell>
          <cell r="AT314">
            <v>7250000</v>
          </cell>
          <cell r="AU314">
            <v>7298191</v>
          </cell>
          <cell r="AV314">
            <v>48072</v>
          </cell>
          <cell r="AW314">
            <v>274393</v>
          </cell>
          <cell r="AX314">
            <v>6.6306206896551726E-3</v>
          </cell>
          <cell r="AY314">
            <v>3.7847310344827585E-2</v>
          </cell>
          <cell r="AZ314">
            <v>1.6828011970927701</v>
          </cell>
          <cell r="BA314">
            <v>0.30538080986990701</v>
          </cell>
          <cell r="BB314">
            <v>1.5369439663836799</v>
          </cell>
          <cell r="BC314">
            <v>1</v>
          </cell>
          <cell r="BD314">
            <v>0</v>
          </cell>
          <cell r="BE314">
            <v>3961.12</v>
          </cell>
          <cell r="BF314">
            <v>128368.57</v>
          </cell>
          <cell r="BG314">
            <v>453465.62999999995</v>
          </cell>
          <cell r="BH314">
            <v>453465.62999999995</v>
          </cell>
          <cell r="BI314">
            <v>457307.14</v>
          </cell>
          <cell r="BJ314">
            <v>7555498.29</v>
          </cell>
        </row>
        <row r="315">
          <cell r="B315" t="str">
            <v>xnj14rol</v>
          </cell>
          <cell r="C315" t="str">
            <v>14 Roland Avenue</v>
          </cell>
          <cell r="D315" t="str">
            <v>Unrealized</v>
          </cell>
          <cell r="E315" t="str">
            <v>Logistic Fund II</v>
          </cell>
          <cell r="F315" t="str">
            <v>USD</v>
          </cell>
          <cell r="G315" t="str">
            <v>Last Mile</v>
          </cell>
          <cell r="H315" t="str">
            <v>Philadelphia</v>
          </cell>
          <cell r="I315" t="str">
            <v>Mount Laurel</v>
          </cell>
          <cell r="J315" t="str">
            <v>NJ</v>
          </cell>
          <cell r="K315">
            <v>19130</v>
          </cell>
          <cell r="L315" t="str">
            <v>United States</v>
          </cell>
          <cell r="M315" t="str">
            <v>Philadelphia-Camden-Wilmington, PA-NJ-DE-MD</v>
          </cell>
          <cell r="N315">
            <v>24000</v>
          </cell>
          <cell r="O315">
            <v>1</v>
          </cell>
          <cell r="P315" t="str">
            <v>Single Asset</v>
          </cell>
          <cell r="Q315" t="str">
            <v>Property - Private Equity</v>
          </cell>
          <cell r="R315" t="str">
            <v>Industrial</v>
          </cell>
          <cell r="S315" t="str">
            <v>Warehouse</v>
          </cell>
          <cell r="T315">
            <v>1983</v>
          </cell>
          <cell r="U315" t="str">
            <v>Sq. Feet</v>
          </cell>
          <cell r="V315" t="str">
            <v>Value-Add</v>
          </cell>
          <cell r="W315" t="str">
            <v>Industrial / Logistics</v>
          </cell>
          <cell r="X315" t="str">
            <v>Common Equity</v>
          </cell>
          <cell r="Y315">
            <v>200256</v>
          </cell>
          <cell r="Z315">
            <v>206100</v>
          </cell>
          <cell r="AA315">
            <v>2342937</v>
          </cell>
          <cell r="AB315">
            <v>8.5472208599719074E-2</v>
          </cell>
          <cell r="AC315">
            <v>144000</v>
          </cell>
          <cell r="AD315">
            <v>6.8571428571428575E-2</v>
          </cell>
          <cell r="AE315">
            <v>0.06</v>
          </cell>
          <cell r="AF315">
            <v>0.22109999999999999</v>
          </cell>
          <cell r="AG315">
            <v>2.54</v>
          </cell>
          <cell r="AH315">
            <v>0.1754</v>
          </cell>
          <cell r="AI315">
            <v>2.44</v>
          </cell>
          <cell r="AJ315">
            <v>0.12511721746036919</v>
          </cell>
          <cell r="AK315">
            <v>0.19549797566166616</v>
          </cell>
          <cell r="AL315">
            <v>2.422577478570803</v>
          </cell>
          <cell r="AM315">
            <v>9.3712057454461428E-2</v>
          </cell>
          <cell r="AN315">
            <v>0.15720447202120647</v>
          </cell>
          <cell r="AO315">
            <v>2.0697206909197061</v>
          </cell>
          <cell r="AP315" t="str">
            <v>Unsolicited \ Off-market</v>
          </cell>
          <cell r="AQ315" t="str">
            <v>Renewal / Re-tenant</v>
          </cell>
          <cell r="AR315" t="str">
            <v>Stabilised</v>
          </cell>
          <cell r="AS315">
            <v>44551</v>
          </cell>
          <cell r="AT315">
            <v>2100000</v>
          </cell>
          <cell r="AU315">
            <v>2136837</v>
          </cell>
          <cell r="AV315">
            <v>147120</v>
          </cell>
          <cell r="AW315">
            <v>147489</v>
          </cell>
          <cell r="AX315">
            <v>7.0057142857142859E-2</v>
          </cell>
          <cell r="AY315">
            <v>7.0232857142857139E-2</v>
          </cell>
          <cell r="AZ315">
            <v>6.13</v>
          </cell>
          <cell r="BA315">
            <v>1</v>
          </cell>
          <cell r="BB315">
            <v>6.0301369862916596</v>
          </cell>
          <cell r="BC315">
            <v>1</v>
          </cell>
          <cell r="BD315">
            <v>0</v>
          </cell>
          <cell r="BE315">
            <v>4514.2</v>
          </cell>
          <cell r="BF315">
            <v>141165.95000000001</v>
          </cell>
          <cell r="BG315">
            <v>145632.29</v>
          </cell>
          <cell r="BH315">
            <v>145632.29</v>
          </cell>
          <cell r="BI315">
            <v>144684.36000000002</v>
          </cell>
          <cell r="BJ315">
            <v>2136837</v>
          </cell>
        </row>
        <row r="316">
          <cell r="B316" t="str">
            <v>xil464no</v>
          </cell>
          <cell r="C316" t="str">
            <v>464 Northgate Parkway</v>
          </cell>
          <cell r="D316" t="str">
            <v>Unrealized</v>
          </cell>
          <cell r="E316" t="str">
            <v>Logistic Fund II</v>
          </cell>
          <cell r="F316" t="str">
            <v>USD</v>
          </cell>
          <cell r="G316" t="str">
            <v>Last Mile</v>
          </cell>
          <cell r="H316" t="str">
            <v>Chicago</v>
          </cell>
          <cell r="I316" t="str">
            <v>Wheeling</v>
          </cell>
          <cell r="J316" t="str">
            <v>IL</v>
          </cell>
          <cell r="K316">
            <v>60090</v>
          </cell>
          <cell r="L316" t="str">
            <v>United States</v>
          </cell>
          <cell r="M316" t="str">
            <v>Chicago-Naperville-Elgin, IL-IN-WI</v>
          </cell>
          <cell r="N316">
            <v>26927</v>
          </cell>
          <cell r="O316">
            <v>1</v>
          </cell>
          <cell r="P316" t="str">
            <v>Portfolio</v>
          </cell>
          <cell r="Q316" t="str">
            <v>Property - Private Equity</v>
          </cell>
          <cell r="R316" t="str">
            <v>Industrial</v>
          </cell>
          <cell r="S316" t="str">
            <v>Warehouse</v>
          </cell>
          <cell r="T316">
            <v>1980</v>
          </cell>
          <cell r="U316" t="str">
            <v>Sq. Feet</v>
          </cell>
          <cell r="V316" t="str">
            <v>Value-Add</v>
          </cell>
          <cell r="W316" t="str">
            <v>Industrial / Logistics</v>
          </cell>
          <cell r="X316" t="str">
            <v>Common Equity</v>
          </cell>
          <cell r="Y316">
            <v>178152</v>
          </cell>
          <cell r="Z316">
            <v>127533</v>
          </cell>
          <cell r="AA316">
            <v>2300105</v>
          </cell>
          <cell r="AB316">
            <v>7.745385536747236E-2</v>
          </cell>
          <cell r="AC316">
            <v>148098.5</v>
          </cell>
          <cell r="AD316">
            <v>6.8883023255813955E-2</v>
          </cell>
          <cell r="AE316">
            <v>0.06</v>
          </cell>
          <cell r="AF316">
            <v>0.25519999999999998</v>
          </cell>
          <cell r="AG316">
            <v>2.74</v>
          </cell>
          <cell r="AH316">
            <v>0.20549999999999999</v>
          </cell>
          <cell r="AI316">
            <v>2.64</v>
          </cell>
          <cell r="AJ316">
            <v>0.12032811750213956</v>
          </cell>
          <cell r="AK316">
            <v>0.19473465156514291</v>
          </cell>
          <cell r="AL316">
            <v>2.2864953012782312</v>
          </cell>
          <cell r="AM316">
            <v>8.8848889954243671E-2</v>
          </cell>
          <cell r="AN316">
            <v>0.15545483398946014</v>
          </cell>
          <cell r="AO316">
            <v>1.9586132169539694</v>
          </cell>
          <cell r="AP316" t="str">
            <v>Unsolicited \ Off-market</v>
          </cell>
          <cell r="AQ316" t="str">
            <v>Renewal / Re-tenant</v>
          </cell>
          <cell r="AR316" t="str">
            <v>Leasing Strategy</v>
          </cell>
          <cell r="AS316">
            <v>44551</v>
          </cell>
          <cell r="AT316">
            <v>2150000</v>
          </cell>
          <cell r="AU316">
            <v>2172572</v>
          </cell>
          <cell r="AV316">
            <v>224028</v>
          </cell>
          <cell r="AW316">
            <v>224028</v>
          </cell>
          <cell r="AX316">
            <v>0.10419906976744187</v>
          </cell>
          <cell r="AY316">
            <v>0.10419906976744187</v>
          </cell>
          <cell r="AZ316">
            <v>7.65</v>
          </cell>
          <cell r="BA316">
            <v>1</v>
          </cell>
          <cell r="BB316">
            <v>2.7780821917777598</v>
          </cell>
          <cell r="BC316">
            <v>1</v>
          </cell>
          <cell r="BD316">
            <v>0</v>
          </cell>
          <cell r="BE316">
            <v>3796.26</v>
          </cell>
          <cell r="BF316">
            <v>243811.13999999998</v>
          </cell>
          <cell r="BG316">
            <v>215179.52000000002</v>
          </cell>
          <cell r="BH316">
            <v>215179.52000000002</v>
          </cell>
          <cell r="BI316">
            <v>214156.2</v>
          </cell>
          <cell r="BJ316">
            <v>2183822</v>
          </cell>
        </row>
        <row r="317">
          <cell r="B317" t="str">
            <v>xil77whe</v>
          </cell>
          <cell r="C317" t="str">
            <v>77 Wheeling Road</v>
          </cell>
          <cell r="D317" t="str">
            <v>Unrealized</v>
          </cell>
          <cell r="E317" t="str">
            <v>Logistic Fund II</v>
          </cell>
          <cell r="F317" t="str">
            <v>USD</v>
          </cell>
          <cell r="G317" t="str">
            <v>Last Mile</v>
          </cell>
          <cell r="H317" t="str">
            <v>Chicago</v>
          </cell>
          <cell r="I317" t="str">
            <v>Wheeling</v>
          </cell>
          <cell r="J317" t="str">
            <v>IL</v>
          </cell>
          <cell r="K317">
            <v>60090</v>
          </cell>
          <cell r="L317" t="str">
            <v>United States</v>
          </cell>
          <cell r="M317" t="str">
            <v>Chicago-Naperville-Elgin, IL-IN-WI</v>
          </cell>
          <cell r="N317">
            <v>78882</v>
          </cell>
          <cell r="O317">
            <v>1</v>
          </cell>
          <cell r="P317" t="str">
            <v>Portfolio</v>
          </cell>
          <cell r="Q317" t="str">
            <v>Property - Private Equity</v>
          </cell>
          <cell r="R317" t="str">
            <v>Industrial</v>
          </cell>
          <cell r="S317" t="str">
            <v>Warehouse</v>
          </cell>
          <cell r="T317">
            <v>1966</v>
          </cell>
          <cell r="U317" t="str">
            <v>Sq. Feet</v>
          </cell>
          <cell r="V317" t="str">
            <v>Value-Add</v>
          </cell>
          <cell r="W317" t="str">
            <v>Industrial / Logistics</v>
          </cell>
          <cell r="X317" t="str">
            <v>Common Equity</v>
          </cell>
          <cell r="Y317">
            <v>616824</v>
          </cell>
          <cell r="Z317">
            <v>540028</v>
          </cell>
          <cell r="AA317">
            <v>6954207</v>
          </cell>
          <cell r="AB317">
            <v>8.8697963693056589E-2</v>
          </cell>
          <cell r="AC317">
            <v>512733</v>
          </cell>
          <cell r="AD317">
            <v>8.0428705882352944E-2</v>
          </cell>
          <cell r="AE317">
            <v>0.06</v>
          </cell>
          <cell r="AF317">
            <v>0.25519999999999998</v>
          </cell>
          <cell r="AG317">
            <v>2.74</v>
          </cell>
          <cell r="AH317">
            <v>0.20549999999999999</v>
          </cell>
          <cell r="AI317">
            <v>2.64</v>
          </cell>
          <cell r="AJ317">
            <v>0.14029630050984987</v>
          </cell>
          <cell r="AK317">
            <v>0.22607191152344153</v>
          </cell>
          <cell r="AL317">
            <v>2.6808730124331062</v>
          </cell>
          <cell r="AM317">
            <v>0.10694723219106339</v>
          </cell>
          <cell r="AN317">
            <v>0.18480287276157314</v>
          </cell>
          <cell r="AO317">
            <v>2.274648947792886</v>
          </cell>
          <cell r="AP317" t="str">
            <v>Unsolicited \ Off-market</v>
          </cell>
          <cell r="AQ317" t="str">
            <v>Renewal / Re-tenant</v>
          </cell>
          <cell r="AR317" t="str">
            <v>Leasing Strategy</v>
          </cell>
          <cell r="AS317">
            <v>44551</v>
          </cell>
          <cell r="AT317">
            <v>6375000</v>
          </cell>
          <cell r="AU317">
            <v>6414179</v>
          </cell>
          <cell r="AV317">
            <v>603444</v>
          </cell>
          <cell r="AW317">
            <v>603443</v>
          </cell>
          <cell r="AX317">
            <v>9.4657882352941175E-2</v>
          </cell>
          <cell r="AY317">
            <v>9.4657725490196076E-2</v>
          </cell>
          <cell r="AZ317">
            <v>8.42</v>
          </cell>
          <cell r="BA317">
            <v>1</v>
          </cell>
          <cell r="BB317">
            <v>2.7780821917801202</v>
          </cell>
          <cell r="BC317">
            <v>1</v>
          </cell>
          <cell r="BD317">
            <v>0</v>
          </cell>
          <cell r="BE317">
            <v>11185.869999999999</v>
          </cell>
          <cell r="BF317">
            <v>625441.56000000006</v>
          </cell>
          <cell r="BG317">
            <v>564211.41999999993</v>
          </cell>
          <cell r="BH317">
            <v>564211.41999999993</v>
          </cell>
          <cell r="BI317">
            <v>584854.43999999994</v>
          </cell>
          <cell r="BJ317">
            <v>6567121.6600000001</v>
          </cell>
        </row>
        <row r="318">
          <cell r="B318" t="str">
            <v>xnj1601s</v>
          </cell>
          <cell r="C318" t="str">
            <v>1601-1641 Sherman Avenue</v>
          </cell>
          <cell r="D318" t="str">
            <v>Unrealized</v>
          </cell>
          <cell r="E318" t="str">
            <v>Logistic Fund II</v>
          </cell>
          <cell r="F318" t="str">
            <v>USD</v>
          </cell>
          <cell r="G318" t="str">
            <v>Last Mile</v>
          </cell>
          <cell r="H318" t="str">
            <v>Philadelphia</v>
          </cell>
          <cell r="I318" t="str">
            <v>Pennsauken</v>
          </cell>
          <cell r="J318" t="str">
            <v>NJ</v>
          </cell>
          <cell r="K318" t="str">
            <v>08110</v>
          </cell>
          <cell r="L318" t="str">
            <v>United States</v>
          </cell>
          <cell r="M318" t="str">
            <v>Philadelphia-Camden-Wilmington, PA-NJ-DE-MD</v>
          </cell>
          <cell r="N318">
            <v>57321</v>
          </cell>
          <cell r="O318">
            <v>2</v>
          </cell>
          <cell r="P318" t="str">
            <v>Portfolio</v>
          </cell>
          <cell r="Q318" t="str">
            <v>Property - Private Equity</v>
          </cell>
          <cell r="R318" t="str">
            <v>Industrial</v>
          </cell>
          <cell r="S318" t="str">
            <v>Warehouse</v>
          </cell>
          <cell r="T318">
            <v>1966</v>
          </cell>
          <cell r="U318" t="str">
            <v>Sq. Feet</v>
          </cell>
          <cell r="V318" t="str">
            <v>Value-Add</v>
          </cell>
          <cell r="W318" t="str">
            <v>Industrial / Logistics</v>
          </cell>
          <cell r="X318" t="str">
            <v>Common Equity</v>
          </cell>
          <cell r="Y318">
            <v>482976</v>
          </cell>
          <cell r="Z318">
            <v>735348</v>
          </cell>
          <cell r="AA318">
            <v>6957263</v>
          </cell>
          <cell r="AB318">
            <v>6.9420402822201771E-2</v>
          </cell>
          <cell r="AC318">
            <v>367080</v>
          </cell>
          <cell r="AD318">
            <v>5.9427675929103828E-2</v>
          </cell>
          <cell r="AE318">
            <v>5.2499999999999998E-2</v>
          </cell>
          <cell r="AF318">
            <v>0.17799999999999999</v>
          </cell>
          <cell r="AG318">
            <v>2.2400000000000002</v>
          </cell>
          <cell r="AH318">
            <v>0.13719999999999999</v>
          </cell>
          <cell r="AI318">
            <v>2.14</v>
          </cell>
          <cell r="AJ318">
            <v>0.10344829310901527</v>
          </cell>
          <cell r="AK318">
            <v>0.15462377216926493</v>
          </cell>
          <cell r="AL318">
            <v>2.0666860087848278</v>
          </cell>
          <cell r="AM318">
            <v>7.4672304413286206E-2</v>
          </cell>
          <cell r="AN318">
            <v>0.12026986581226873</v>
          </cell>
          <cell r="AO318">
            <v>1.7857846062018321</v>
          </cell>
          <cell r="AP318" t="str">
            <v>Unsolicited \ Off-market</v>
          </cell>
          <cell r="AQ318" t="str">
            <v>Rent Optimization</v>
          </cell>
          <cell r="AR318" t="str">
            <v>Leasing Strategy</v>
          </cell>
          <cell r="AS318">
            <v>44552</v>
          </cell>
          <cell r="AT318">
            <v>6176920</v>
          </cell>
          <cell r="AU318">
            <v>6221915</v>
          </cell>
          <cell r="AV318">
            <v>319092</v>
          </cell>
          <cell r="AW318">
            <v>307229</v>
          </cell>
          <cell r="AX318">
            <v>5.1658755496266751E-2</v>
          </cell>
          <cell r="AY318">
            <v>4.9738219047680721E-2</v>
          </cell>
          <cell r="AZ318">
            <v>6.3772188203276201</v>
          </cell>
          <cell r="BA318">
            <v>1</v>
          </cell>
          <cell r="BB318">
            <v>3.04736283266167</v>
          </cell>
          <cell r="BC318">
            <v>1</v>
          </cell>
          <cell r="BD318">
            <v>0</v>
          </cell>
          <cell r="BE318">
            <v>9144.49</v>
          </cell>
          <cell r="BF318">
            <v>316012.21000000002</v>
          </cell>
          <cell r="BG318">
            <v>371380.85</v>
          </cell>
          <cell r="BH318">
            <v>371380.85</v>
          </cell>
          <cell r="BI318">
            <v>343036.98</v>
          </cell>
          <cell r="BJ318">
            <v>6461520.5800000001</v>
          </cell>
        </row>
        <row r="319">
          <cell r="B319" t="str">
            <v>xil770ar</v>
          </cell>
          <cell r="C319" t="str">
            <v>770 Arthur Avenue</v>
          </cell>
          <cell r="D319" t="str">
            <v>Unrealized</v>
          </cell>
          <cell r="E319" t="str">
            <v>Logistic Fund II</v>
          </cell>
          <cell r="F319" t="str">
            <v>USD</v>
          </cell>
          <cell r="G319" t="str">
            <v>Last Mile</v>
          </cell>
          <cell r="H319" t="str">
            <v>Chicago</v>
          </cell>
          <cell r="I319" t="str">
            <v>Elk Grove Village</v>
          </cell>
          <cell r="J319" t="str">
            <v>IL</v>
          </cell>
          <cell r="K319">
            <v>60007</v>
          </cell>
          <cell r="L319" t="str">
            <v>United States</v>
          </cell>
          <cell r="M319" t="str">
            <v>Chicago-Naperville-Elgin, IL-IN-WI</v>
          </cell>
          <cell r="N319">
            <v>63196</v>
          </cell>
          <cell r="O319">
            <v>1</v>
          </cell>
          <cell r="P319" t="str">
            <v>Single Asset</v>
          </cell>
          <cell r="Q319" t="str">
            <v>Property - Private Equity</v>
          </cell>
          <cell r="R319" t="str">
            <v>Industrial</v>
          </cell>
          <cell r="S319" t="str">
            <v>Warehouse</v>
          </cell>
          <cell r="T319">
            <v>1978</v>
          </cell>
          <cell r="U319" t="str">
            <v>Sq. Feet</v>
          </cell>
          <cell r="V319" t="str">
            <v>Value-Add</v>
          </cell>
          <cell r="W319" t="str">
            <v>Industrial / Logistics</v>
          </cell>
          <cell r="X319" t="str">
            <v>Common Equity</v>
          </cell>
          <cell r="Y319">
            <v>415272</v>
          </cell>
          <cell r="Z319">
            <v>463755</v>
          </cell>
          <cell r="AA319">
            <v>5418187</v>
          </cell>
          <cell r="AB319">
            <v>7.6644087773271766E-2</v>
          </cell>
          <cell r="AC319">
            <v>334081.44</v>
          </cell>
          <cell r="AD319">
            <v>6.8444234108265084E-2</v>
          </cell>
          <cell r="AE319">
            <v>5.5E-2</v>
          </cell>
          <cell r="AF319">
            <v>0.16719999999999999</v>
          </cell>
          <cell r="AG319">
            <v>2.39</v>
          </cell>
          <cell r="AH319">
            <v>0.1298</v>
          </cell>
          <cell r="AI319">
            <v>2.29</v>
          </cell>
          <cell r="AJ319">
            <v>0.10173688158089189</v>
          </cell>
          <cell r="AK319">
            <v>0.14674636043487888</v>
          </cell>
          <cell r="AL319">
            <v>2.1660276714819653</v>
          </cell>
          <cell r="AM319">
            <v>7.3741870657416886E-2</v>
          </cell>
          <cell r="AN319">
            <v>0.11421696380567381</v>
          </cell>
          <cell r="AO319">
            <v>1.8622957680149876</v>
          </cell>
          <cell r="AP319" t="str">
            <v>Unsolicited \ Off-market</v>
          </cell>
          <cell r="AQ319" t="str">
            <v>Lease-up</v>
          </cell>
          <cell r="AR319" t="str">
            <v>Leasing Strategy</v>
          </cell>
          <cell r="AS319">
            <v>44552</v>
          </cell>
          <cell r="AT319">
            <v>4881075</v>
          </cell>
          <cell r="AU319">
            <v>4954432</v>
          </cell>
          <cell r="AV319">
            <v>-81108</v>
          </cell>
          <cell r="AW319">
            <v>-80752</v>
          </cell>
          <cell r="AX319">
            <v>-1.6616831333261629E-2</v>
          </cell>
          <cell r="AY319">
            <v>-1.6543896580159083E-2</v>
          </cell>
          <cell r="AZ319">
            <v>1.6883245775049001</v>
          </cell>
          <cell r="BA319">
            <v>0.33859737958098601</v>
          </cell>
          <cell r="BB319">
            <v>0.119668662921703</v>
          </cell>
          <cell r="BC319">
            <v>1</v>
          </cell>
          <cell r="BD319">
            <v>0</v>
          </cell>
          <cell r="BE319">
            <v>1408.5599999999995</v>
          </cell>
          <cell r="BF319">
            <v>160711.74000000002</v>
          </cell>
          <cell r="BG319">
            <v>370596.80000000005</v>
          </cell>
          <cell r="BH319">
            <v>370596.80000000005</v>
          </cell>
          <cell r="BI319">
            <v>385896.05000000005</v>
          </cell>
          <cell r="BJ319">
            <v>5597314.9500000002</v>
          </cell>
        </row>
        <row r="320">
          <cell r="B320" t="str">
            <v>xga800wh</v>
          </cell>
          <cell r="C320" t="str">
            <v>800 Wharton Drive</v>
          </cell>
          <cell r="D320" t="str">
            <v>Unrealized</v>
          </cell>
          <cell r="E320" t="str">
            <v>Logistic Fund II</v>
          </cell>
          <cell r="F320" t="str">
            <v>USD</v>
          </cell>
          <cell r="G320" t="str">
            <v>Last Mile</v>
          </cell>
          <cell r="H320" t="str">
            <v>Atlanta</v>
          </cell>
          <cell r="I320" t="str">
            <v>Atlanta</v>
          </cell>
          <cell r="J320" t="str">
            <v>GA</v>
          </cell>
          <cell r="K320">
            <v>30336</v>
          </cell>
          <cell r="L320" t="str">
            <v>United States</v>
          </cell>
          <cell r="M320" t="str">
            <v>Atlanta-Sandy Springs-Roswell, GA</v>
          </cell>
          <cell r="N320">
            <v>59970</v>
          </cell>
          <cell r="O320">
            <v>1</v>
          </cell>
          <cell r="P320" t="str">
            <v>Single Asset</v>
          </cell>
          <cell r="Q320" t="str">
            <v>Property - Private Equity</v>
          </cell>
          <cell r="R320" t="str">
            <v>Industrial</v>
          </cell>
          <cell r="S320" t="str">
            <v>Warehouse</v>
          </cell>
          <cell r="T320">
            <v>1972</v>
          </cell>
          <cell r="U320" t="str">
            <v>Sq. Feet</v>
          </cell>
          <cell r="V320" t="str">
            <v>Value-Add</v>
          </cell>
          <cell r="W320" t="str">
            <v>Industrial / Logistics</v>
          </cell>
          <cell r="X320" t="str">
            <v>Common Equity</v>
          </cell>
          <cell r="Y320">
            <v>347316</v>
          </cell>
          <cell r="Z320">
            <v>366132</v>
          </cell>
          <cell r="AA320">
            <v>4965787</v>
          </cell>
          <cell r="AB320">
            <v>6.9941783648795247E-2</v>
          </cell>
          <cell r="AC320">
            <v>269865</v>
          </cell>
          <cell r="AD320">
            <v>0.06</v>
          </cell>
          <cell r="AE320">
            <v>0.05</v>
          </cell>
          <cell r="AF320">
            <v>0.1681</v>
          </cell>
          <cell r="AG320">
            <v>2.21</v>
          </cell>
          <cell r="AH320">
            <v>0.1288</v>
          </cell>
          <cell r="AI320">
            <v>2.11</v>
          </cell>
          <cell r="AJ320">
            <v>0.10082764505151021</v>
          </cell>
          <cell r="AK320">
            <v>0.14718560841043304</v>
          </cell>
          <cell r="AL320">
            <v>2.1009092972374908</v>
          </cell>
          <cell r="AM320">
            <v>7.2796372379572594E-2</v>
          </cell>
          <cell r="AN320">
            <v>0.11419912648991559</v>
          </cell>
          <cell r="AO320">
            <v>1.8119722654593096</v>
          </cell>
          <cell r="AP320" t="str">
            <v>Market deal</v>
          </cell>
          <cell r="AQ320" t="str">
            <v>Rent Optimization</v>
          </cell>
          <cell r="AR320" t="str">
            <v>Leasing Strategy</v>
          </cell>
          <cell r="AS320">
            <v>44558</v>
          </cell>
          <cell r="AT320">
            <v>4497750</v>
          </cell>
          <cell r="AU320">
            <v>4599655</v>
          </cell>
          <cell r="AV320">
            <v>162960</v>
          </cell>
          <cell r="AW320">
            <v>166876</v>
          </cell>
          <cell r="AX320">
            <v>3.6231449057862262E-2</v>
          </cell>
          <cell r="AY320">
            <v>3.7102106608859986E-2</v>
          </cell>
          <cell r="AZ320">
            <v>3.9</v>
          </cell>
          <cell r="BA320">
            <v>1</v>
          </cell>
          <cell r="BB320">
            <v>4.4401858463565098</v>
          </cell>
          <cell r="BC320">
            <v>1</v>
          </cell>
          <cell r="BD320">
            <v>0</v>
          </cell>
          <cell r="BE320">
            <v>2200.1799999999998</v>
          </cell>
          <cell r="BF320">
            <v>196236.1</v>
          </cell>
          <cell r="BG320">
            <v>198273.86</v>
          </cell>
          <cell r="BH320">
            <v>198273.86</v>
          </cell>
          <cell r="BI320">
            <v>210685.65999999997</v>
          </cell>
          <cell r="BJ320">
            <v>4629527.5</v>
          </cell>
        </row>
        <row r="321">
          <cell r="B321" t="str">
            <v>xtx8154b</v>
          </cell>
          <cell r="C321" t="str">
            <v>8154 Bracken Creek Drive</v>
          </cell>
          <cell r="D321" t="str">
            <v>Unrealized</v>
          </cell>
          <cell r="E321" t="str">
            <v>Logistic Fund II</v>
          </cell>
          <cell r="F321" t="str">
            <v>USD</v>
          </cell>
          <cell r="G321" t="str">
            <v>Last Mile</v>
          </cell>
          <cell r="H321" t="str">
            <v>San Antonio</v>
          </cell>
          <cell r="I321" t="str">
            <v>San Antonio</v>
          </cell>
          <cell r="J321" t="str">
            <v>TX</v>
          </cell>
          <cell r="K321">
            <v>78266</v>
          </cell>
          <cell r="L321" t="str">
            <v>United States</v>
          </cell>
          <cell r="M321" t="str">
            <v>San Antonio-New Braunfels, TX</v>
          </cell>
          <cell r="N321">
            <v>60350</v>
          </cell>
          <cell r="O321">
            <v>1</v>
          </cell>
          <cell r="P321" t="str">
            <v>Single Asset</v>
          </cell>
          <cell r="Q321" t="str">
            <v>Property - Private Equity</v>
          </cell>
          <cell r="R321" t="str">
            <v>Industrial</v>
          </cell>
          <cell r="S321" t="str">
            <v>Warehouse</v>
          </cell>
          <cell r="T321">
            <v>1988</v>
          </cell>
          <cell r="U321" t="str">
            <v>Sq. Feet</v>
          </cell>
          <cell r="V321" t="str">
            <v>Value-Add</v>
          </cell>
          <cell r="W321" t="str">
            <v>Industrial / Logistics</v>
          </cell>
          <cell r="X321" t="str">
            <v>Common Equity</v>
          </cell>
          <cell r="Y321">
            <v>451032</v>
          </cell>
          <cell r="Z321">
            <v>562327</v>
          </cell>
          <cell r="AA321">
            <v>4508244</v>
          </cell>
          <cell r="AB321">
            <v>0.10004604897161733</v>
          </cell>
          <cell r="AC321">
            <v>356250</v>
          </cell>
          <cell r="AD321">
            <v>9.1346153846153841E-2</v>
          </cell>
          <cell r="AE321">
            <v>0.06</v>
          </cell>
          <cell r="AF321">
            <v>0.2777</v>
          </cell>
          <cell r="AG321">
            <v>3.52</v>
          </cell>
          <cell r="AH321">
            <v>0.22900000000000001</v>
          </cell>
          <cell r="AI321">
            <v>3.42</v>
          </cell>
          <cell r="AJ321">
            <v>0.15494776312234659</v>
          </cell>
          <cell r="AK321">
            <v>0.24325329704132082</v>
          </cell>
          <cell r="AL321">
            <v>3.0378891488356525</v>
          </cell>
          <cell r="AM321">
            <v>0.12059433034377243</v>
          </cell>
          <cell r="AN321">
            <v>0.20146830467057031</v>
          </cell>
          <cell r="AO321">
            <v>2.5614664836362575</v>
          </cell>
          <cell r="AP321" t="str">
            <v>Soft marketed</v>
          </cell>
          <cell r="AQ321" t="str">
            <v>Rent Optimization</v>
          </cell>
          <cell r="AR321" t="str">
            <v>Leasing Strategy</v>
          </cell>
          <cell r="AS321">
            <v>44558</v>
          </cell>
          <cell r="AT321">
            <v>3900000</v>
          </cell>
          <cell r="AU321">
            <v>3945917</v>
          </cell>
          <cell r="AV321">
            <v>336144</v>
          </cell>
          <cell r="AW321">
            <v>245998</v>
          </cell>
          <cell r="AX321">
            <v>8.6190769230769237E-2</v>
          </cell>
          <cell r="AY321">
            <v>6.3076410256410254E-2</v>
          </cell>
          <cell r="AZ321">
            <v>2.1894736842105198</v>
          </cell>
          <cell r="BA321">
            <v>0.49473684210526298</v>
          </cell>
          <cell r="BB321">
            <v>1.1168853640982399</v>
          </cell>
          <cell r="BC321">
            <v>1</v>
          </cell>
          <cell r="BD321">
            <v>0</v>
          </cell>
          <cell r="BE321">
            <v>3483.88</v>
          </cell>
          <cell r="BF321">
            <v>339711.51</v>
          </cell>
          <cell r="BG321">
            <v>201633.8</v>
          </cell>
          <cell r="BH321">
            <v>201633.8</v>
          </cell>
          <cell r="BI321">
            <v>348370.04000000004</v>
          </cell>
          <cell r="BJ321">
            <v>4574707.03</v>
          </cell>
        </row>
        <row r="322">
          <cell r="B322" t="str">
            <v>xfl4646g</v>
          </cell>
          <cell r="C322" t="str">
            <v>4646 South Grady Avenue</v>
          </cell>
          <cell r="D322" t="str">
            <v>Unrealized</v>
          </cell>
          <cell r="E322" t="str">
            <v>Logistic Fund II</v>
          </cell>
          <cell r="F322" t="str">
            <v>USD</v>
          </cell>
          <cell r="G322" t="str">
            <v>Last Mile</v>
          </cell>
          <cell r="H322" t="str">
            <v>Tampa</v>
          </cell>
          <cell r="I322" t="str">
            <v>Tampa</v>
          </cell>
          <cell r="J322" t="str">
            <v>FL</v>
          </cell>
          <cell r="K322">
            <v>33611</v>
          </cell>
          <cell r="L322" t="str">
            <v>United States</v>
          </cell>
          <cell r="M322" t="str">
            <v>Tampa-St. Petersburg-Clearwater, FL</v>
          </cell>
          <cell r="N322">
            <v>79188</v>
          </cell>
          <cell r="O322">
            <v>1</v>
          </cell>
          <cell r="P322" t="str">
            <v>Single Asset</v>
          </cell>
          <cell r="Q322" t="str">
            <v>Property - Private Equity</v>
          </cell>
          <cell r="R322" t="str">
            <v>Industrial</v>
          </cell>
          <cell r="S322" t="str">
            <v>Warehouse</v>
          </cell>
          <cell r="T322">
            <v>1966</v>
          </cell>
          <cell r="U322" t="str">
            <v>Sq. Feet</v>
          </cell>
          <cell r="V322" t="str">
            <v>Value-Add</v>
          </cell>
          <cell r="W322" t="str">
            <v>Industrial / Logistics</v>
          </cell>
          <cell r="X322" t="str">
            <v>Common Equity</v>
          </cell>
          <cell r="Y322">
            <v>634620</v>
          </cell>
          <cell r="Z322">
            <v>1376753</v>
          </cell>
          <cell r="AA322">
            <v>8407501</v>
          </cell>
          <cell r="AB322">
            <v>7.5482595839120328E-2</v>
          </cell>
          <cell r="AC322">
            <v>534046.5</v>
          </cell>
          <cell r="AD322">
            <v>7.7398043478260875E-2</v>
          </cell>
          <cell r="AE322">
            <v>0.06</v>
          </cell>
          <cell r="AF322">
            <v>0.19719999999999999</v>
          </cell>
          <cell r="AG322">
            <v>2.35</v>
          </cell>
          <cell r="AH322">
            <v>0.1535</v>
          </cell>
          <cell r="AI322">
            <v>2.2599999999999998</v>
          </cell>
          <cell r="AJ322">
            <v>0.13020439113823778</v>
          </cell>
          <cell r="AK322">
            <v>0.20555529616092283</v>
          </cell>
          <cell r="AL322">
            <v>2.0321077059005606</v>
          </cell>
          <cell r="AM322">
            <v>9.2930768455089074E-2</v>
          </cell>
          <cell r="AN322">
            <v>0.15819625245843505</v>
          </cell>
          <cell r="AO322">
            <v>1.7595390036151775</v>
          </cell>
          <cell r="AP322" t="str">
            <v>Unsolicited \ Off-market</v>
          </cell>
          <cell r="AQ322" t="str">
            <v>Renewal / Re-tenant</v>
          </cell>
          <cell r="AR322" t="str">
            <v>Leasing Strategy</v>
          </cell>
          <cell r="AS322">
            <v>44593</v>
          </cell>
          <cell r="AT322">
            <v>6900000</v>
          </cell>
          <cell r="AU322">
            <v>7030748</v>
          </cell>
          <cell r="AV322">
            <v>639144</v>
          </cell>
          <cell r="AW322">
            <v>641273</v>
          </cell>
          <cell r="AX322">
            <v>9.262956521739131E-2</v>
          </cell>
          <cell r="AY322">
            <v>9.2938115942028984E-2</v>
          </cell>
          <cell r="AZ322">
            <v>8.0712592817093505</v>
          </cell>
          <cell r="BA322">
            <v>1</v>
          </cell>
          <cell r="BB322">
            <v>2.4109589041142598</v>
          </cell>
          <cell r="BC322">
            <v>1</v>
          </cell>
          <cell r="BD322">
            <v>0</v>
          </cell>
          <cell r="BE322">
            <v>0</v>
          </cell>
          <cell r="BF322">
            <v>581882.61</v>
          </cell>
          <cell r="BG322">
            <v>660950.31000000006</v>
          </cell>
          <cell r="BH322">
            <v>660950.31000000006</v>
          </cell>
          <cell r="BI322">
            <v>675581.25</v>
          </cell>
          <cell r="BJ322">
            <v>7030748</v>
          </cell>
        </row>
        <row r="323">
          <cell r="B323" t="str">
            <v>xpa18rai</v>
          </cell>
          <cell r="C323" t="str">
            <v>18 Railroad Street</v>
          </cell>
          <cell r="D323" t="str">
            <v>Unrealized</v>
          </cell>
          <cell r="E323" t="str">
            <v>Logistic Fund II</v>
          </cell>
          <cell r="F323" t="str">
            <v>USD</v>
          </cell>
          <cell r="G323" t="str">
            <v>Last Mile</v>
          </cell>
          <cell r="H323" t="str">
            <v>Philadelphia</v>
          </cell>
          <cell r="I323" t="str">
            <v>Royersford</v>
          </cell>
          <cell r="J323" t="str">
            <v>PA</v>
          </cell>
          <cell r="K323">
            <v>19468</v>
          </cell>
          <cell r="L323" t="str">
            <v>United States</v>
          </cell>
          <cell r="M323" t="str">
            <v>Philadelphia-Camden-Wilmington, PA-NJ-DE-MD</v>
          </cell>
          <cell r="N323">
            <v>189746</v>
          </cell>
          <cell r="O323">
            <v>1</v>
          </cell>
          <cell r="P323" t="str">
            <v>Single Asset</v>
          </cell>
          <cell r="Q323" t="str">
            <v>Property - Private Equity</v>
          </cell>
          <cell r="R323" t="str">
            <v>Industrial</v>
          </cell>
          <cell r="S323" t="str">
            <v>Warehouse</v>
          </cell>
          <cell r="T323">
            <v>1951</v>
          </cell>
          <cell r="U323" t="str">
            <v>Sq. Feet</v>
          </cell>
          <cell r="V323" t="str">
            <v>Value-Add</v>
          </cell>
          <cell r="W323" t="str">
            <v>Industrial / Logistics</v>
          </cell>
          <cell r="X323" t="str">
            <v>Common Equity</v>
          </cell>
          <cell r="Y323">
            <v>1515048</v>
          </cell>
          <cell r="Z323">
            <v>1360152</v>
          </cell>
          <cell r="AA323">
            <v>15795253</v>
          </cell>
          <cell r="AB323">
            <v>9.5917931798876532E-2</v>
          </cell>
          <cell r="AC323">
            <v>1138476</v>
          </cell>
          <cell r="AD323">
            <v>8.01743661971831E-2</v>
          </cell>
          <cell r="AE323">
            <v>6.25E-2</v>
          </cell>
          <cell r="AF323">
            <v>0.23130000000000001</v>
          </cell>
          <cell r="AG323">
            <v>2.78</v>
          </cell>
          <cell r="AH323">
            <v>0.1862</v>
          </cell>
          <cell r="AI323">
            <v>2.68</v>
          </cell>
          <cell r="AJ323">
            <v>0.16528801181595965</v>
          </cell>
          <cell r="AK323">
            <v>0.25701696536309049</v>
          </cell>
          <cell r="AL323">
            <v>2.6538145145742069</v>
          </cell>
          <cell r="AM323">
            <v>0.12467840879128222</v>
          </cell>
          <cell r="AN323">
            <v>0.20700382480888546</v>
          </cell>
          <cell r="AO323">
            <v>2.25505418012794</v>
          </cell>
          <cell r="AP323" t="str">
            <v>Unsolicited \ Off-market</v>
          </cell>
          <cell r="AQ323" t="str">
            <v>Rent Optimization</v>
          </cell>
          <cell r="AR323" t="str">
            <v>Leasing Strategy</v>
          </cell>
          <cell r="AS323">
            <v>44575</v>
          </cell>
          <cell r="AT323">
            <v>14200000</v>
          </cell>
          <cell r="AU323">
            <v>14435101</v>
          </cell>
          <cell r="AV323">
            <v>699996</v>
          </cell>
          <cell r="AW323">
            <v>703496</v>
          </cell>
          <cell r="AX323">
            <v>4.9295492957746476E-2</v>
          </cell>
          <cell r="AY323">
            <v>4.9541971830985916E-2</v>
          </cell>
          <cell r="AZ323">
            <v>3.6891421163028402</v>
          </cell>
          <cell r="BA323">
            <v>1</v>
          </cell>
          <cell r="BB323">
            <v>0.99726027397151895</v>
          </cell>
          <cell r="BC323">
            <v>1</v>
          </cell>
          <cell r="BD323">
            <v>0</v>
          </cell>
          <cell r="BE323">
            <v>0</v>
          </cell>
          <cell r="BF323">
            <v>1567886.9200000002</v>
          </cell>
          <cell r="BG323">
            <v>3784164.26</v>
          </cell>
          <cell r="BH323">
            <v>3784164.26</v>
          </cell>
          <cell r="BI323">
            <v>1265047.81</v>
          </cell>
          <cell r="BJ323">
            <v>16835348.170000002</v>
          </cell>
        </row>
        <row r="324">
          <cell r="B324" t="str">
            <v>xil1000a</v>
          </cell>
          <cell r="C324" t="str">
            <v>1000 Atlantic Drive</v>
          </cell>
          <cell r="D324" t="str">
            <v>Unrealized</v>
          </cell>
          <cell r="E324" t="str">
            <v>Logistic Fund II</v>
          </cell>
          <cell r="F324" t="str">
            <v>USD</v>
          </cell>
          <cell r="G324" t="str">
            <v>Last Mile</v>
          </cell>
          <cell r="H324" t="str">
            <v>Chicago</v>
          </cell>
          <cell r="I324" t="str">
            <v>West Chicago</v>
          </cell>
          <cell r="J324" t="str">
            <v>IL</v>
          </cell>
          <cell r="K324">
            <v>60185</v>
          </cell>
          <cell r="L324" t="str">
            <v>United States</v>
          </cell>
          <cell r="M324" t="str">
            <v>Chicago-Naperville-Elgin, IL-IN-WI</v>
          </cell>
          <cell r="N324">
            <v>43356</v>
          </cell>
          <cell r="O324">
            <v>1</v>
          </cell>
          <cell r="P324" t="str">
            <v>Single Asset</v>
          </cell>
          <cell r="Q324" t="str">
            <v>Property - Private Equity</v>
          </cell>
          <cell r="R324" t="str">
            <v>Industrial</v>
          </cell>
          <cell r="S324" t="str">
            <v>Warehouse</v>
          </cell>
          <cell r="T324">
            <v>1989</v>
          </cell>
          <cell r="U324" t="str">
            <v>Sq. Feet</v>
          </cell>
          <cell r="V324" t="str">
            <v>Value-Add</v>
          </cell>
          <cell r="W324" t="str">
            <v>Industrial / Logistics</v>
          </cell>
          <cell r="X324" t="str">
            <v>Common Equity</v>
          </cell>
          <cell r="Y324">
            <v>309912</v>
          </cell>
          <cell r="Z324">
            <v>202554</v>
          </cell>
          <cell r="AA324">
            <v>3347692</v>
          </cell>
          <cell r="AB324">
            <v>9.2574824685186088E-2</v>
          </cell>
          <cell r="AC324">
            <v>260136</v>
          </cell>
          <cell r="AD324">
            <v>8.391483870967742E-2</v>
          </cell>
          <cell r="AE324">
            <v>7.0000000000000007E-2</v>
          </cell>
          <cell r="AF324">
            <v>0.21049999999999999</v>
          </cell>
          <cell r="AG324">
            <v>2.17</v>
          </cell>
          <cell r="AH324">
            <v>0.16439999999999999</v>
          </cell>
          <cell r="AI324">
            <v>2.08</v>
          </cell>
          <cell r="AJ324">
            <v>0.17267933220788412</v>
          </cell>
          <cell r="AK324">
            <v>0.2974877444354036</v>
          </cell>
          <cell r="AL324">
            <v>2.5047909831367527</v>
          </cell>
          <cell r="AM324">
            <v>0.12936898531647745</v>
          </cell>
          <cell r="AN324">
            <v>0.24041587639565209</v>
          </cell>
          <cell r="AO324">
            <v>2.1353946543717814</v>
          </cell>
          <cell r="AP324" t="str">
            <v>Unsolicited \ Off-market</v>
          </cell>
          <cell r="AQ324" t="str">
            <v>Rent Optimization</v>
          </cell>
          <cell r="AR324" t="str">
            <v>Stabilised</v>
          </cell>
          <cell r="AS324">
            <v>44578</v>
          </cell>
          <cell r="AT324">
            <v>3100000</v>
          </cell>
          <cell r="AU324">
            <v>3145138</v>
          </cell>
          <cell r="AV324">
            <v>309564</v>
          </cell>
          <cell r="AW324">
            <v>312789</v>
          </cell>
          <cell r="AX324">
            <v>9.9859354838709682E-2</v>
          </cell>
          <cell r="AY324">
            <v>0.10089967741935484</v>
          </cell>
          <cell r="AZ324">
            <v>5.6499999999999897</v>
          </cell>
          <cell r="BA324">
            <v>1</v>
          </cell>
          <cell r="BB324">
            <v>4.6219178082157004</v>
          </cell>
          <cell r="BC324">
            <v>1</v>
          </cell>
          <cell r="BD324">
            <v>0</v>
          </cell>
          <cell r="BE324">
            <v>0</v>
          </cell>
          <cell r="BF324">
            <v>236298.69</v>
          </cell>
          <cell r="BG324">
            <v>232844.7</v>
          </cell>
          <cell r="BH324">
            <v>232844.7</v>
          </cell>
          <cell r="BI324">
            <v>202888.76</v>
          </cell>
          <cell r="BJ324">
            <v>3145138</v>
          </cell>
        </row>
        <row r="325">
          <cell r="B325" t="str">
            <v>xtx2125v</v>
          </cell>
          <cell r="C325" t="str">
            <v>2125 Vanco Drive</v>
          </cell>
          <cell r="D325" t="str">
            <v>Unrealized</v>
          </cell>
          <cell r="E325" t="str">
            <v>Logistic Fund II</v>
          </cell>
          <cell r="F325" t="str">
            <v>USD</v>
          </cell>
          <cell r="G325" t="str">
            <v>Last Mile</v>
          </cell>
          <cell r="H325" t="str">
            <v>Dallas</v>
          </cell>
          <cell r="I325" t="str">
            <v>Irving</v>
          </cell>
          <cell r="J325" t="str">
            <v>TX</v>
          </cell>
          <cell r="K325">
            <v>75061</v>
          </cell>
          <cell r="L325" t="str">
            <v>United States</v>
          </cell>
          <cell r="M325" t="str">
            <v>Dallas-Fort Worth-Arlington, TX</v>
          </cell>
          <cell r="N325">
            <v>26532</v>
          </cell>
          <cell r="O325">
            <v>1</v>
          </cell>
          <cell r="P325" t="str">
            <v>Single Asset</v>
          </cell>
          <cell r="Q325" t="str">
            <v>Property - Private Equity</v>
          </cell>
          <cell r="R325" t="str">
            <v>Industrial</v>
          </cell>
          <cell r="S325" t="str">
            <v>Warehouse</v>
          </cell>
          <cell r="T325">
            <v>1972</v>
          </cell>
          <cell r="U325" t="str">
            <v>Sq. Feet</v>
          </cell>
          <cell r="V325" t="str">
            <v>Value-Add</v>
          </cell>
          <cell r="W325" t="str">
            <v>Industrial / Logistics</v>
          </cell>
          <cell r="X325" t="str">
            <v>Common Equity</v>
          </cell>
          <cell r="Y325">
            <v>308328</v>
          </cell>
          <cell r="Z325">
            <v>210006</v>
          </cell>
          <cell r="AA325">
            <v>3941271</v>
          </cell>
          <cell r="AB325">
            <v>7.8230601245131329E-2</v>
          </cell>
          <cell r="AC325">
            <v>245421</v>
          </cell>
          <cell r="AD325">
            <v>6.633E-2</v>
          </cell>
          <cell r="AE325">
            <v>0.06</v>
          </cell>
          <cell r="AF325">
            <v>0.2006</v>
          </cell>
          <cell r="AG325">
            <v>2.3199999999999998</v>
          </cell>
          <cell r="AH325">
            <v>0.15709999999999999</v>
          </cell>
          <cell r="AI325">
            <v>2.2200000000000002</v>
          </cell>
          <cell r="AJ325">
            <v>0.13460964662362551</v>
          </cell>
          <cell r="AK325">
            <v>0.21040617739945677</v>
          </cell>
          <cell r="AL325">
            <v>2.1647858851168063</v>
          </cell>
          <cell r="AM325">
            <v>9.7054236941250815E-2</v>
          </cell>
          <cell r="AN325">
            <v>0.16348802088596259</v>
          </cell>
          <cell r="AO325">
            <v>1.8622248373332084</v>
          </cell>
          <cell r="AP325" t="str">
            <v>Unsolicited \ Off-market</v>
          </cell>
          <cell r="AQ325" t="str">
            <v>Renewal / Re-tenant</v>
          </cell>
          <cell r="AR325" t="str">
            <v>Leasing Strategy</v>
          </cell>
          <cell r="AS325">
            <v>44579</v>
          </cell>
          <cell r="AT325">
            <v>3700000</v>
          </cell>
          <cell r="AU325">
            <v>3731265</v>
          </cell>
          <cell r="AV325">
            <v>258948</v>
          </cell>
          <cell r="AW325">
            <v>259596</v>
          </cell>
          <cell r="AX325">
            <v>6.998594594594594E-2</v>
          </cell>
          <cell r="AY325">
            <v>7.0161081081081086E-2</v>
          </cell>
          <cell r="AZ325">
            <v>9.76</v>
          </cell>
          <cell r="BA325">
            <v>1</v>
          </cell>
          <cell r="BB325">
            <v>3.1150684931403498</v>
          </cell>
          <cell r="BC325">
            <v>1</v>
          </cell>
          <cell r="BD325">
            <v>0</v>
          </cell>
          <cell r="BE325">
            <v>0</v>
          </cell>
          <cell r="BF325">
            <v>235612.77999999997</v>
          </cell>
          <cell r="BG325">
            <v>249178.49</v>
          </cell>
          <cell r="BH325">
            <v>249178.49</v>
          </cell>
          <cell r="BI325">
            <v>240609.73</v>
          </cell>
          <cell r="BJ325">
            <v>3731265</v>
          </cell>
        </row>
        <row r="326">
          <cell r="B326" t="str">
            <v>xnj2075h</v>
          </cell>
          <cell r="C326" t="str">
            <v>2075 High Hill Road</v>
          </cell>
          <cell r="D326" t="str">
            <v>Unrealized</v>
          </cell>
          <cell r="E326" t="str">
            <v>Logistic Fund II</v>
          </cell>
          <cell r="F326" t="str">
            <v>USD</v>
          </cell>
          <cell r="G326" t="str">
            <v>Last Mile</v>
          </cell>
          <cell r="H326" t="str">
            <v>Philadelphia</v>
          </cell>
          <cell r="I326" t="str">
            <v>Logan Township</v>
          </cell>
          <cell r="J326" t="str">
            <v>NJ</v>
          </cell>
          <cell r="K326" t="str">
            <v>08085</v>
          </cell>
          <cell r="L326" t="str">
            <v>United States</v>
          </cell>
          <cell r="M326" t="str">
            <v>Philadelphia-Camden-Wilmington, PA-NJ-DE-MD</v>
          </cell>
          <cell r="N326">
            <v>33078</v>
          </cell>
          <cell r="O326">
            <v>1</v>
          </cell>
          <cell r="P326" t="str">
            <v>Single Asset</v>
          </cell>
          <cell r="Q326" t="str">
            <v>Property - Private Equity</v>
          </cell>
          <cell r="R326" t="str">
            <v>Industrial</v>
          </cell>
          <cell r="S326" t="str">
            <v>Warehouse</v>
          </cell>
          <cell r="T326">
            <v>1982</v>
          </cell>
          <cell r="U326" t="str">
            <v>Sq. Feet</v>
          </cell>
          <cell r="V326" t="str">
            <v>Value-Add</v>
          </cell>
          <cell r="W326" t="str">
            <v>Industrial / Logistics</v>
          </cell>
          <cell r="X326" t="str">
            <v>Common Equity</v>
          </cell>
          <cell r="Y326">
            <v>253356</v>
          </cell>
          <cell r="Z326">
            <v>218165</v>
          </cell>
          <cell r="AA326">
            <v>3297724</v>
          </cell>
          <cell r="AB326">
            <v>7.6827533171363038E-2</v>
          </cell>
          <cell r="AC326">
            <v>195000</v>
          </cell>
          <cell r="AD326">
            <v>6.4144736842105268E-2</v>
          </cell>
          <cell r="AE326">
            <v>5.7500000000000002E-2</v>
          </cell>
          <cell r="AF326">
            <v>0.18090000000000001</v>
          </cell>
          <cell r="AG326">
            <v>2.27</v>
          </cell>
          <cell r="AH326">
            <v>0.14069999999999999</v>
          </cell>
          <cell r="AI326">
            <v>2.1800000000000002</v>
          </cell>
          <cell r="AJ326">
            <v>0.12840654641123805</v>
          </cell>
          <cell r="AK326">
            <v>0.19402039076415467</v>
          </cell>
          <cell r="AL326">
            <v>2.1307987341581525</v>
          </cell>
          <cell r="AM326">
            <v>9.2197868498413049E-2</v>
          </cell>
          <cell r="AN326">
            <v>0.14997873862645372</v>
          </cell>
          <cell r="AO326">
            <v>1.8352843018492175</v>
          </cell>
          <cell r="AP326" t="str">
            <v>Unsolicited \ Off-market</v>
          </cell>
          <cell r="AQ326" t="str">
            <v>Rent Optimization</v>
          </cell>
          <cell r="AR326" t="str">
            <v>Leasing Strategy</v>
          </cell>
          <cell r="AS326">
            <v>44579</v>
          </cell>
          <cell r="AT326">
            <v>3040000</v>
          </cell>
          <cell r="AU326">
            <v>3079559</v>
          </cell>
          <cell r="AV326">
            <v>153000</v>
          </cell>
          <cell r="AW326">
            <v>145034</v>
          </cell>
          <cell r="AX326">
            <v>5.0328947368421049E-2</v>
          </cell>
          <cell r="AY326">
            <v>4.770855263157895E-2</v>
          </cell>
          <cell r="AZ326">
            <v>4.66311627063304</v>
          </cell>
          <cell r="BA326">
            <v>1</v>
          </cell>
          <cell r="BB326">
            <v>5.1150684931374304</v>
          </cell>
          <cell r="BC326">
            <v>1</v>
          </cell>
          <cell r="BD326">
            <v>0</v>
          </cell>
          <cell r="BE326">
            <v>0</v>
          </cell>
          <cell r="BF326">
            <v>198422.8</v>
          </cell>
          <cell r="BG326">
            <v>218487.72999999998</v>
          </cell>
          <cell r="BH326">
            <v>218487.72999999998</v>
          </cell>
          <cell r="BI326">
            <v>221759.83000000002</v>
          </cell>
          <cell r="BJ326">
            <v>3079559</v>
          </cell>
        </row>
        <row r="327">
          <cell r="B327" t="str">
            <v>xnj200ri</v>
          </cell>
          <cell r="C327" t="str">
            <v>200 Rike Drive</v>
          </cell>
          <cell r="D327" t="str">
            <v>Unrealized</v>
          </cell>
          <cell r="E327" t="str">
            <v>Logistic Fund II</v>
          </cell>
          <cell r="F327" t="str">
            <v>USD</v>
          </cell>
          <cell r="G327" t="str">
            <v>Last Mile</v>
          </cell>
          <cell r="H327" t="str">
            <v>Philadelphia</v>
          </cell>
          <cell r="I327" t="str">
            <v>Millstone</v>
          </cell>
          <cell r="J327" t="str">
            <v>NJ</v>
          </cell>
          <cell r="K327" t="str">
            <v>08535</v>
          </cell>
          <cell r="L327" t="str">
            <v>United States</v>
          </cell>
          <cell r="M327" t="str">
            <v>New York-Newark-Jersey City, NY-NJ-PA</v>
          </cell>
          <cell r="N327">
            <v>63000</v>
          </cell>
          <cell r="O327">
            <v>1</v>
          </cell>
          <cell r="P327" t="str">
            <v>Single Asset</v>
          </cell>
          <cell r="Q327" t="str">
            <v>Property - Private Equity</v>
          </cell>
          <cell r="R327" t="str">
            <v>Industrial</v>
          </cell>
          <cell r="S327" t="str">
            <v>Warehouse</v>
          </cell>
          <cell r="T327">
            <v>1962</v>
          </cell>
          <cell r="U327" t="str">
            <v>Sq. Feet</v>
          </cell>
          <cell r="V327" t="str">
            <v>Value-Add</v>
          </cell>
          <cell r="W327" t="str">
            <v>Industrial / Logistics</v>
          </cell>
          <cell r="X327" t="str">
            <v>Common Equity</v>
          </cell>
          <cell r="Y327">
            <v>646656</v>
          </cell>
          <cell r="Z327">
            <v>1963301</v>
          </cell>
          <cell r="AA327">
            <v>9352087</v>
          </cell>
          <cell r="AB327">
            <v>6.9145635621225512E-2</v>
          </cell>
          <cell r="AC327">
            <v>488250</v>
          </cell>
          <cell r="AD327">
            <v>6.6428571428571434E-2</v>
          </cell>
          <cell r="AE327">
            <v>0.05</v>
          </cell>
          <cell r="AF327">
            <v>0.1731</v>
          </cell>
          <cell r="AG327">
            <v>2.48</v>
          </cell>
          <cell r="AH327">
            <v>0.1356</v>
          </cell>
          <cell r="AI327">
            <v>2.39</v>
          </cell>
          <cell r="AJ327">
            <v>0.12695801460599232</v>
          </cell>
          <cell r="AK327">
            <v>0.18682277285511306</v>
          </cell>
          <cell r="AL327">
            <v>2.0712835466572219</v>
          </cell>
          <cell r="AM327">
            <v>9.144206407387534E-2</v>
          </cell>
          <cell r="AN327">
            <v>0.14451294108598955</v>
          </cell>
          <cell r="AO327">
            <v>1.7931792484095352</v>
          </cell>
          <cell r="AP327" t="str">
            <v>Soft marketed</v>
          </cell>
          <cell r="AQ327" t="str">
            <v>Rent Optimization</v>
          </cell>
          <cell r="AR327" t="str">
            <v>Leasing Strategy</v>
          </cell>
          <cell r="AS327">
            <v>44580</v>
          </cell>
          <cell r="AT327">
            <v>7350000</v>
          </cell>
          <cell r="AU327">
            <v>7388786</v>
          </cell>
          <cell r="AV327">
            <v>243480</v>
          </cell>
          <cell r="AW327">
            <v>243455</v>
          </cell>
          <cell r="AX327">
            <v>3.3126530612244895E-2</v>
          </cell>
          <cell r="AY327">
            <v>3.3123129251700682E-2</v>
          </cell>
          <cell r="AZ327">
            <v>4.0226666666666597</v>
          </cell>
          <cell r="BA327">
            <v>1</v>
          </cell>
          <cell r="BB327">
            <v>1.1945205479523799</v>
          </cell>
          <cell r="BC327">
            <v>1</v>
          </cell>
          <cell r="BD327">
            <v>0</v>
          </cell>
          <cell r="BE327">
            <v>0</v>
          </cell>
          <cell r="BF327">
            <v>208457.96000000002</v>
          </cell>
          <cell r="BG327">
            <v>780455.75</v>
          </cell>
          <cell r="BH327">
            <v>780455.75</v>
          </cell>
          <cell r="BI327">
            <v>882519.41</v>
          </cell>
          <cell r="BJ327">
            <v>7507792.5800000001</v>
          </cell>
        </row>
        <row r="328">
          <cell r="B328" t="str">
            <v>xtx1919a</v>
          </cell>
          <cell r="C328" t="str">
            <v>1919 Avenue E</v>
          </cell>
          <cell r="D328" t="str">
            <v>Unrealized</v>
          </cell>
          <cell r="E328" t="str">
            <v>Logistic Fund II</v>
          </cell>
          <cell r="F328" t="str">
            <v>USD</v>
          </cell>
          <cell r="G328" t="str">
            <v>Last Mile</v>
          </cell>
          <cell r="H328" t="str">
            <v>Lubbock</v>
          </cell>
          <cell r="I328" t="str">
            <v>Lubbock</v>
          </cell>
          <cell r="J328" t="str">
            <v>TX</v>
          </cell>
          <cell r="K328">
            <v>79404</v>
          </cell>
          <cell r="L328" t="str">
            <v>United States</v>
          </cell>
          <cell r="M328" t="str">
            <v>Lubbock, TX</v>
          </cell>
          <cell r="N328">
            <v>79970</v>
          </cell>
          <cell r="O328">
            <v>1</v>
          </cell>
          <cell r="P328" t="str">
            <v>Portfolio</v>
          </cell>
          <cell r="Q328" t="str">
            <v>Property - Private Equity</v>
          </cell>
          <cell r="R328" t="str">
            <v>Industrial</v>
          </cell>
          <cell r="S328" t="str">
            <v>Warehouse</v>
          </cell>
          <cell r="T328">
            <v>1960</v>
          </cell>
          <cell r="U328" t="str">
            <v>Sq. Feet</v>
          </cell>
          <cell r="V328" t="str">
            <v>Value-Add</v>
          </cell>
          <cell r="W328" t="str">
            <v>Industrial / Logistics</v>
          </cell>
          <cell r="X328" t="str">
            <v>Common Equity</v>
          </cell>
          <cell r="Y328">
            <v>375096</v>
          </cell>
          <cell r="Z328">
            <v>0</v>
          </cell>
          <cell r="AA328">
            <v>5290825</v>
          </cell>
          <cell r="AB328">
            <v>7.0895559766199032E-2</v>
          </cell>
          <cell r="AC328">
            <v>319880</v>
          </cell>
          <cell r="AD328">
            <v>6.0759339792068122E-2</v>
          </cell>
          <cell r="AE328">
            <v>6.5000000000000002E-2</v>
          </cell>
          <cell r="AF328">
            <v>0.16569999999999999</v>
          </cell>
          <cell r="AG328">
            <v>2</v>
          </cell>
          <cell r="AH328">
            <v>0.1255</v>
          </cell>
          <cell r="AI328">
            <v>1.9</v>
          </cell>
          <cell r="AJ328">
            <v>9.4071919323505782E-2</v>
          </cell>
          <cell r="AK328">
            <v>0.131452375723214</v>
          </cell>
          <cell r="AL328">
            <v>1.6591287289668546</v>
          </cell>
          <cell r="AM328">
            <v>6.19867054469454E-2</v>
          </cell>
          <cell r="AN328">
            <v>9.3640624147605322E-2</v>
          </cell>
          <cell r="AO328">
            <v>1.4559605174200589</v>
          </cell>
          <cell r="AP328" t="str">
            <v>Market deal</v>
          </cell>
          <cell r="AQ328" t="str">
            <v>Renewal / Re-tenant</v>
          </cell>
          <cell r="AR328" t="str">
            <v>Stabilised</v>
          </cell>
          <cell r="AS328">
            <v>44581</v>
          </cell>
          <cell r="AT328">
            <v>5264705</v>
          </cell>
          <cell r="AU328">
            <v>5290825</v>
          </cell>
          <cell r="AV328">
            <v>320988</v>
          </cell>
          <cell r="AW328">
            <v>325203</v>
          </cell>
          <cell r="AX328">
            <v>6.0969797927899097E-2</v>
          </cell>
          <cell r="AY328">
            <v>6.1770412587219985E-2</v>
          </cell>
          <cell r="AZ328">
            <v>4.0139497311491796</v>
          </cell>
          <cell r="BA328">
            <v>1</v>
          </cell>
          <cell r="BB328">
            <v>16.386301369863698</v>
          </cell>
          <cell r="BC328">
            <v>1</v>
          </cell>
          <cell r="BD328">
            <v>0</v>
          </cell>
          <cell r="BE328">
            <v>0</v>
          </cell>
          <cell r="BF328">
            <v>247571.21000000002</v>
          </cell>
          <cell r="BG328">
            <v>316861.52999999997</v>
          </cell>
          <cell r="BH328">
            <v>316861.52999999997</v>
          </cell>
          <cell r="BI328">
            <v>302896.67000000004</v>
          </cell>
          <cell r="BJ328">
            <v>5295146.96</v>
          </cell>
        </row>
        <row r="329">
          <cell r="B329" t="str">
            <v>xga4600f</v>
          </cell>
          <cell r="C329" t="str">
            <v>4600&amp;4630 Frederick Drive</v>
          </cell>
          <cell r="D329" t="str">
            <v>Unrealized</v>
          </cell>
          <cell r="E329" t="str">
            <v>Logistic Fund II</v>
          </cell>
          <cell r="F329" t="str">
            <v>USD</v>
          </cell>
          <cell r="G329" t="str">
            <v>Last Mile</v>
          </cell>
          <cell r="H329" t="str">
            <v>Atlanta</v>
          </cell>
          <cell r="I329" t="str">
            <v>Atlanta</v>
          </cell>
          <cell r="J329" t="str">
            <v>GA</v>
          </cell>
          <cell r="K329">
            <v>30036</v>
          </cell>
          <cell r="L329" t="str">
            <v>United States</v>
          </cell>
          <cell r="M329" t="str">
            <v>Atlanta-Sandy Springs-Roswell, GA</v>
          </cell>
          <cell r="N329">
            <v>87532</v>
          </cell>
          <cell r="O329">
            <v>2</v>
          </cell>
          <cell r="P329" t="str">
            <v>Portfolio</v>
          </cell>
          <cell r="Q329" t="str">
            <v>Property - Private Equity</v>
          </cell>
          <cell r="R329" t="str">
            <v>Industrial</v>
          </cell>
          <cell r="S329" t="str">
            <v>Warehouse</v>
          </cell>
          <cell r="T329">
            <v>1970</v>
          </cell>
          <cell r="U329" t="str">
            <v>Sq. Feet</v>
          </cell>
          <cell r="V329" t="str">
            <v>Value-Add</v>
          </cell>
          <cell r="W329" t="str">
            <v>Industrial / Logistics</v>
          </cell>
          <cell r="X329" t="str">
            <v>Common Equity</v>
          </cell>
          <cell r="Y329">
            <v>558276</v>
          </cell>
          <cell r="Z329">
            <v>958553</v>
          </cell>
          <cell r="AA329">
            <v>7248761</v>
          </cell>
          <cell r="AB329">
            <v>7.7016748103572452E-2</v>
          </cell>
          <cell r="AC329">
            <v>436100</v>
          </cell>
          <cell r="AD329">
            <v>7.214226633581472E-2</v>
          </cell>
          <cell r="AE329">
            <v>5.2499999999999998E-2</v>
          </cell>
          <cell r="AF329">
            <v>0.19389999999999999</v>
          </cell>
          <cell r="AG329">
            <v>2.58</v>
          </cell>
          <cell r="AH329">
            <v>0.15329999999999999</v>
          </cell>
          <cell r="AI329">
            <v>2.4900000000000002</v>
          </cell>
          <cell r="AJ329">
            <v>0.1393563949068588</v>
          </cell>
          <cell r="AK329">
            <v>0.20937866540467365</v>
          </cell>
          <cell r="AL329">
            <v>2.3069172417002357</v>
          </cell>
          <cell r="AM329">
            <v>0.10219577263809931</v>
          </cell>
          <cell r="AN329">
            <v>0.16441545303768601</v>
          </cell>
          <cell r="AO329">
            <v>1.9782146929262214</v>
          </cell>
          <cell r="AP329" t="str">
            <v>Soft marketed</v>
          </cell>
          <cell r="AQ329" t="str">
            <v>Rent Optimization</v>
          </cell>
          <cell r="AR329" t="str">
            <v>Leasing Strategy</v>
          </cell>
          <cell r="AS329">
            <v>44581</v>
          </cell>
          <cell r="AT329">
            <v>6045000</v>
          </cell>
          <cell r="AU329">
            <v>6290208</v>
          </cell>
          <cell r="AV329">
            <v>248424</v>
          </cell>
          <cell r="AW329">
            <v>251671</v>
          </cell>
          <cell r="AX329">
            <v>4.109578163771712E-2</v>
          </cell>
          <cell r="AY329">
            <v>4.1632919768403637E-2</v>
          </cell>
          <cell r="AZ329">
            <v>3.6725674841717901</v>
          </cell>
          <cell r="BA329">
            <v>1.00029713606546</v>
          </cell>
          <cell r="BB329">
            <v>2.3987058143356701</v>
          </cell>
          <cell r="BC329">
            <v>1</v>
          </cell>
          <cell r="BD329">
            <v>0</v>
          </cell>
          <cell r="BE329">
            <v>0</v>
          </cell>
          <cell r="BF329">
            <v>293094.8</v>
          </cell>
          <cell r="BG329">
            <v>349120.33</v>
          </cell>
          <cell r="BH329">
            <v>349120.33</v>
          </cell>
          <cell r="BI329">
            <v>362118.32999999996</v>
          </cell>
          <cell r="BJ329">
            <v>6386923.0300000003</v>
          </cell>
        </row>
        <row r="330">
          <cell r="B330" t="str">
            <v>xtx310an</v>
          </cell>
          <cell r="C330" t="str">
            <v>3101 Aniol Street</v>
          </cell>
          <cell r="D330" t="str">
            <v>Unrealized</v>
          </cell>
          <cell r="E330" t="str">
            <v>Logistic Fund II</v>
          </cell>
          <cell r="F330" t="str">
            <v>USD</v>
          </cell>
          <cell r="G330" t="str">
            <v>Last Mile</v>
          </cell>
          <cell r="H330" t="str">
            <v>San Antonio</v>
          </cell>
          <cell r="I330" t="str">
            <v>San Antonio</v>
          </cell>
          <cell r="J330" t="str">
            <v>TX</v>
          </cell>
          <cell r="K330">
            <v>78219</v>
          </cell>
          <cell r="L330" t="str">
            <v>United States</v>
          </cell>
          <cell r="M330" t="str">
            <v>San Antonio-New Braunfels, TX</v>
          </cell>
          <cell r="N330">
            <v>104000</v>
          </cell>
          <cell r="O330">
            <v>1</v>
          </cell>
          <cell r="P330" t="str">
            <v>Portfolio</v>
          </cell>
          <cell r="Q330" t="str">
            <v>Property - Private Equity</v>
          </cell>
          <cell r="R330" t="str">
            <v>Industrial</v>
          </cell>
          <cell r="S330" t="str">
            <v>Warehouse</v>
          </cell>
          <cell r="T330">
            <v>1983</v>
          </cell>
          <cell r="U330" t="str">
            <v>Sq. Feet</v>
          </cell>
          <cell r="V330" t="str">
            <v>Value-Add</v>
          </cell>
          <cell r="W330" t="str">
            <v>Industrial / Logistics</v>
          </cell>
          <cell r="X330" t="str">
            <v>Common Equity</v>
          </cell>
          <cell r="Y330">
            <v>552156</v>
          </cell>
          <cell r="Z330">
            <v>0</v>
          </cell>
          <cell r="AA330">
            <v>8099643</v>
          </cell>
          <cell r="AB330">
            <v>6.8170411955193577E-2</v>
          </cell>
          <cell r="AC330">
            <v>546000</v>
          </cell>
          <cell r="AD330">
            <v>6.761191257507275E-2</v>
          </cell>
          <cell r="AE330">
            <v>5.2499999999999998E-2</v>
          </cell>
          <cell r="AF330">
            <v>0.16569999999999999</v>
          </cell>
          <cell r="AG330">
            <v>2</v>
          </cell>
          <cell r="AH330">
            <v>0.1255</v>
          </cell>
          <cell r="AI330">
            <v>1.9</v>
          </cell>
          <cell r="AJ330">
            <v>0.12340537202297863</v>
          </cell>
          <cell r="AK330">
            <v>0.1866364195739918</v>
          </cell>
          <cell r="AL330">
            <v>2.0726288206190442</v>
          </cell>
          <cell r="AM330">
            <v>8.7641203753316965E-2</v>
          </cell>
          <cell r="AN330">
            <v>0.14295662350451455</v>
          </cell>
          <cell r="AO330">
            <v>1.7867605907418105</v>
          </cell>
          <cell r="AP330" t="str">
            <v>Market deal</v>
          </cell>
          <cell r="AQ330" t="str">
            <v>Rent Optimization</v>
          </cell>
          <cell r="AR330" t="str">
            <v>Stabilised</v>
          </cell>
          <cell r="AS330">
            <v>44581</v>
          </cell>
          <cell r="AT330">
            <v>8075500</v>
          </cell>
          <cell r="AU330">
            <v>8099643</v>
          </cell>
          <cell r="AV330">
            <v>472512</v>
          </cell>
          <cell r="AW330">
            <v>478707</v>
          </cell>
          <cell r="AX330">
            <v>5.8511794935298123E-2</v>
          </cell>
          <cell r="AY330">
            <v>5.9278930097207604E-2</v>
          </cell>
          <cell r="AZ330">
            <v>4.5433776923076898</v>
          </cell>
          <cell r="BA330">
            <v>1</v>
          </cell>
          <cell r="BB330">
            <v>16.386301369865301</v>
          </cell>
          <cell r="BC330">
            <v>1</v>
          </cell>
          <cell r="BD330">
            <v>0</v>
          </cell>
          <cell r="BE330">
            <v>0</v>
          </cell>
          <cell r="BF330">
            <v>434150.61</v>
          </cell>
          <cell r="BG330">
            <v>466215.29000000004</v>
          </cell>
          <cell r="BH330">
            <v>466215.29000000004</v>
          </cell>
          <cell r="BI330">
            <v>485109.88</v>
          </cell>
          <cell r="BJ330">
            <v>8099643</v>
          </cell>
        </row>
        <row r="331">
          <cell r="B331" t="str">
            <v>xtx111pl</v>
          </cell>
          <cell r="C331" t="str">
            <v>11100 Plano Road</v>
          </cell>
          <cell r="D331" t="str">
            <v>Unrealized</v>
          </cell>
          <cell r="E331" t="str">
            <v>Logistic Fund II</v>
          </cell>
          <cell r="F331" t="str">
            <v>USD</v>
          </cell>
          <cell r="G331" t="str">
            <v>Last Mile</v>
          </cell>
          <cell r="H331" t="str">
            <v>Dallas</v>
          </cell>
          <cell r="I331" t="str">
            <v>Dallas</v>
          </cell>
          <cell r="J331" t="str">
            <v>TX</v>
          </cell>
          <cell r="K331">
            <v>75238</v>
          </cell>
          <cell r="L331" t="str">
            <v>United States</v>
          </cell>
          <cell r="M331" t="str">
            <v>Dallas-Fort Worth-Arlington, TX</v>
          </cell>
          <cell r="N331">
            <v>136882</v>
          </cell>
          <cell r="O331">
            <v>1</v>
          </cell>
          <cell r="P331" t="str">
            <v>Portfolio</v>
          </cell>
          <cell r="Q331" t="str">
            <v>Property - Private Equity</v>
          </cell>
          <cell r="R331" t="str">
            <v>Industrial</v>
          </cell>
          <cell r="S331" t="str">
            <v>Warehouse</v>
          </cell>
          <cell r="T331">
            <v>1973</v>
          </cell>
          <cell r="U331" t="str">
            <v>Sq. Feet</v>
          </cell>
          <cell r="V331" t="str">
            <v>Value-Add</v>
          </cell>
          <cell r="W331" t="str">
            <v>Industrial / Logistics</v>
          </cell>
          <cell r="X331" t="str">
            <v>Common Equity</v>
          </cell>
          <cell r="Y331">
            <v>820752</v>
          </cell>
          <cell r="Z331">
            <v>0</v>
          </cell>
          <cell r="AA331">
            <v>12781041</v>
          </cell>
          <cell r="AB331">
            <v>6.4216365474455486E-2</v>
          </cell>
          <cell r="AC331">
            <v>821292</v>
          </cell>
          <cell r="AD331">
            <v>6.4618823513675872E-2</v>
          </cell>
          <cell r="AE331">
            <v>0.05</v>
          </cell>
          <cell r="AF331">
            <v>0.16569999999999999</v>
          </cell>
          <cell r="AG331">
            <v>2</v>
          </cell>
          <cell r="AH331">
            <v>0.1255</v>
          </cell>
          <cell r="AI331">
            <v>1.9</v>
          </cell>
          <cell r="AJ331">
            <v>0.11693475055394775</v>
          </cell>
          <cell r="AK331">
            <v>0.1735302392903213</v>
          </cell>
          <cell r="AL331">
            <v>1.9950471818602526</v>
          </cell>
          <cell r="AM331">
            <v>8.2136681558681479E-2</v>
          </cell>
          <cell r="AN331">
            <v>0.13153386643161769</v>
          </cell>
          <cell r="AO331">
            <v>1.724695279734777</v>
          </cell>
          <cell r="AP331" t="str">
            <v>Market deal</v>
          </cell>
          <cell r="AQ331" t="str">
            <v>Rent Optimization</v>
          </cell>
          <cell r="AR331" t="str">
            <v>Stabilised</v>
          </cell>
          <cell r="AS331">
            <v>44581</v>
          </cell>
          <cell r="AT331">
            <v>12709795</v>
          </cell>
          <cell r="AU331">
            <v>12781041</v>
          </cell>
          <cell r="AV331">
            <v>702384</v>
          </cell>
          <cell r="AW331">
            <v>711597</v>
          </cell>
          <cell r="AX331">
            <v>5.5263204481268188E-2</v>
          </cell>
          <cell r="AY331">
            <v>5.5988078485923652E-2</v>
          </cell>
          <cell r="AZ331">
            <v>5.13134787627299</v>
          </cell>
          <cell r="BA331">
            <v>1</v>
          </cell>
          <cell r="BB331">
            <v>16.386301369866</v>
          </cell>
          <cell r="BC331">
            <v>1</v>
          </cell>
          <cell r="BD331">
            <v>0</v>
          </cell>
          <cell r="BE331">
            <v>0</v>
          </cell>
          <cell r="BF331">
            <v>593076.96</v>
          </cell>
          <cell r="BG331">
            <v>682938.86</v>
          </cell>
          <cell r="BH331">
            <v>682938.86</v>
          </cell>
          <cell r="BI331">
            <v>691131.95</v>
          </cell>
          <cell r="BJ331">
            <v>12788046.189999999</v>
          </cell>
        </row>
        <row r="332">
          <cell r="B332" t="str">
            <v>xil1001a</v>
          </cell>
          <cell r="C332" t="str">
            <v>1001 Arthur Avenue</v>
          </cell>
          <cell r="D332" t="str">
            <v>Unrealized</v>
          </cell>
          <cell r="E332" t="str">
            <v>Logistic Fund II</v>
          </cell>
          <cell r="F332" t="str">
            <v>USD</v>
          </cell>
          <cell r="G332" t="str">
            <v>Last Mile</v>
          </cell>
          <cell r="H332" t="str">
            <v>Chicago</v>
          </cell>
          <cell r="I332" t="str">
            <v>Elk Grove Village</v>
          </cell>
          <cell r="J332" t="str">
            <v>IL</v>
          </cell>
          <cell r="K332">
            <v>60007</v>
          </cell>
          <cell r="L332" t="str">
            <v>United States</v>
          </cell>
          <cell r="M332" t="str">
            <v>Chicago-Naperville-Elgin, IL-IN-WI</v>
          </cell>
          <cell r="N332">
            <v>19963</v>
          </cell>
          <cell r="O332">
            <v>1</v>
          </cell>
          <cell r="P332" t="str">
            <v>Single Asset</v>
          </cell>
          <cell r="Q332" t="str">
            <v>Property - Private Equity</v>
          </cell>
          <cell r="R332" t="str">
            <v>Industrial</v>
          </cell>
          <cell r="S332" t="str">
            <v>Warehouse</v>
          </cell>
          <cell r="T332">
            <v>1985</v>
          </cell>
          <cell r="U332" t="str">
            <v>Sq. Feet</v>
          </cell>
          <cell r="V332" t="str">
            <v>Value-Add</v>
          </cell>
          <cell r="W332" t="str">
            <v>Industrial / Logistics</v>
          </cell>
          <cell r="X332" t="str">
            <v>Common Equity</v>
          </cell>
          <cell r="Y332">
            <v>156084</v>
          </cell>
          <cell r="Z332">
            <v>414290</v>
          </cell>
          <cell r="AA332">
            <v>2153548</v>
          </cell>
          <cell r="AB332">
            <v>7.2477604399809062E-2</v>
          </cell>
          <cell r="AC332">
            <v>129759.5</v>
          </cell>
          <cell r="AD332">
            <v>7.6329117647058825E-2</v>
          </cell>
          <cell r="AE332">
            <v>5.7500000000000002E-2</v>
          </cell>
          <cell r="AF332">
            <v>0.19</v>
          </cell>
          <cell r="AG332">
            <v>2.36</v>
          </cell>
          <cell r="AH332">
            <v>0.14810000000000001</v>
          </cell>
          <cell r="AI332">
            <v>2.27</v>
          </cell>
          <cell r="AJ332">
            <v>0.13204105328326232</v>
          </cell>
          <cell r="AK332">
            <v>0.20744455914916982</v>
          </cell>
          <cell r="AL332">
            <v>2.02817252775364</v>
          </cell>
          <cell r="AM332">
            <v>9.4541593022450465E-2</v>
          </cell>
          <cell r="AN332">
            <v>0.16011765425206659</v>
          </cell>
          <cell r="AO332">
            <v>1.7581568857382346</v>
          </cell>
          <cell r="AP332" t="str">
            <v>Market deal</v>
          </cell>
          <cell r="AQ332" t="str">
            <v>Renewal / Re-tenant</v>
          </cell>
          <cell r="AR332" t="str">
            <v>Leasing Strategy</v>
          </cell>
          <cell r="AS332">
            <v>44586</v>
          </cell>
          <cell r="AT332">
            <v>1700000</v>
          </cell>
          <cell r="AU332">
            <v>1739258</v>
          </cell>
          <cell r="AV332">
            <v>139464</v>
          </cell>
          <cell r="AW332">
            <v>139734</v>
          </cell>
          <cell r="AX332">
            <v>8.2037647058823535E-2</v>
          </cell>
          <cell r="AY332">
            <v>8.2196470588235288E-2</v>
          </cell>
          <cell r="AZ332">
            <v>9.4200030055602806</v>
          </cell>
          <cell r="BA332">
            <v>1</v>
          </cell>
          <cell r="BB332">
            <v>1.9315068493212399</v>
          </cell>
          <cell r="BC332">
            <v>1</v>
          </cell>
          <cell r="BD332">
            <v>0</v>
          </cell>
          <cell r="BE332">
            <v>0</v>
          </cell>
          <cell r="BF332">
            <v>121283.36999999998</v>
          </cell>
          <cell r="BG332">
            <v>116619.07999999999</v>
          </cell>
          <cell r="BH332">
            <v>116619.07999999999</v>
          </cell>
          <cell r="BI332">
            <v>99749.359999999986</v>
          </cell>
          <cell r="BJ332">
            <v>1873775.87</v>
          </cell>
        </row>
        <row r="333">
          <cell r="B333" t="str">
            <v>xtx2616a</v>
          </cell>
          <cell r="C333" t="str">
            <v>2616 Andjon Drive</v>
          </cell>
          <cell r="D333" t="str">
            <v>Unrealized</v>
          </cell>
          <cell r="E333" t="str">
            <v>Logistic Fund II</v>
          </cell>
          <cell r="F333" t="str">
            <v>USD</v>
          </cell>
          <cell r="G333" t="str">
            <v>Last Mile</v>
          </cell>
          <cell r="H333" t="str">
            <v>Dallas</v>
          </cell>
          <cell r="I333" t="str">
            <v>Dallas</v>
          </cell>
          <cell r="J333" t="str">
            <v>TX</v>
          </cell>
          <cell r="K333">
            <v>75220</v>
          </cell>
          <cell r="L333" t="str">
            <v>United States</v>
          </cell>
          <cell r="M333" t="str">
            <v>Dallas-Fort Worth-Arlington, TX</v>
          </cell>
          <cell r="N333">
            <v>25334</v>
          </cell>
          <cell r="O333">
            <v>1</v>
          </cell>
          <cell r="P333" t="str">
            <v>Single Asset</v>
          </cell>
          <cell r="Q333" t="str">
            <v>Property - Private Equity</v>
          </cell>
          <cell r="R333" t="str">
            <v>Industrial</v>
          </cell>
          <cell r="S333" t="str">
            <v>Warehouse</v>
          </cell>
          <cell r="T333">
            <v>1963</v>
          </cell>
          <cell r="U333" t="str">
            <v>Sq. Feet</v>
          </cell>
          <cell r="V333" t="str">
            <v>Value-Add</v>
          </cell>
          <cell r="W333" t="str">
            <v>Industrial / Logistics</v>
          </cell>
          <cell r="X333" t="str">
            <v>Common Equity</v>
          </cell>
          <cell r="Y333">
            <v>234528</v>
          </cell>
          <cell r="Z333">
            <v>303068</v>
          </cell>
          <cell r="AA333">
            <v>3020342</v>
          </cell>
          <cell r="AB333">
            <v>7.7649484727226256E-2</v>
          </cell>
          <cell r="AC333">
            <v>181697.08</v>
          </cell>
          <cell r="AD333">
            <v>6.7585833900587339E-2</v>
          </cell>
          <cell r="AE333">
            <v>0.05</v>
          </cell>
          <cell r="AF333">
            <v>0.1641</v>
          </cell>
          <cell r="AG333">
            <v>2.23</v>
          </cell>
          <cell r="AH333">
            <v>0.12609999999999999</v>
          </cell>
          <cell r="AI333">
            <v>2.13</v>
          </cell>
          <cell r="AJ333">
            <v>0.14151923603838368</v>
          </cell>
          <cell r="AK333">
            <v>0.21139032943682734</v>
          </cell>
          <cell r="AL333">
            <v>2.3992638980574479</v>
          </cell>
          <cell r="AM333">
            <v>0.10439269706927834</v>
          </cell>
          <cell r="AN333">
            <v>0.16661613342370707</v>
          </cell>
          <cell r="AO333">
            <v>2.0510919324022256</v>
          </cell>
          <cell r="AP333" t="str">
            <v>Unsolicited \ Off-market</v>
          </cell>
          <cell r="AQ333" t="str">
            <v>Rent Optimization</v>
          </cell>
          <cell r="AR333" t="str">
            <v>Leasing Strategy</v>
          </cell>
          <cell r="AS333">
            <v>44593</v>
          </cell>
          <cell r="AT333">
            <v>2688390</v>
          </cell>
          <cell r="AU333">
            <v>2717274</v>
          </cell>
          <cell r="AV333">
            <v>106200</v>
          </cell>
          <cell r="AW333">
            <v>106228</v>
          </cell>
          <cell r="AX333">
            <v>3.9503197080780691E-2</v>
          </cell>
          <cell r="AY333">
            <v>3.9513612236319877E-2</v>
          </cell>
          <cell r="AZ333">
            <v>3.9595352880739698</v>
          </cell>
          <cell r="BA333">
            <v>0.68149845886351001</v>
          </cell>
          <cell r="BB333">
            <v>1.18164537295503</v>
          </cell>
          <cell r="BC333">
            <v>1</v>
          </cell>
          <cell r="BD333">
            <v>0</v>
          </cell>
          <cell r="BE333">
            <v>0</v>
          </cell>
          <cell r="BF333">
            <v>-2127.3700000000258</v>
          </cell>
          <cell r="BG333">
            <v>159300.95000000001</v>
          </cell>
          <cell r="BH333">
            <v>159300.95000000001</v>
          </cell>
          <cell r="BI333">
            <v>130144.70999999998</v>
          </cell>
          <cell r="BJ333">
            <v>2774100.56</v>
          </cell>
        </row>
        <row r="334">
          <cell r="B334" t="str">
            <v>xflstuar</v>
          </cell>
          <cell r="C334" t="str">
            <v>6959 Stuart Avenue</v>
          </cell>
          <cell r="D334" t="str">
            <v>Unrealized</v>
          </cell>
          <cell r="E334" t="str">
            <v>Logistic Fund II</v>
          </cell>
          <cell r="F334" t="str">
            <v>USD</v>
          </cell>
          <cell r="G334" t="str">
            <v>Last Mile</v>
          </cell>
          <cell r="H334" t="str">
            <v>Jacksonville</v>
          </cell>
          <cell r="I334" t="str">
            <v>Jacksonville</v>
          </cell>
          <cell r="J334" t="str">
            <v>FL</v>
          </cell>
          <cell r="K334">
            <v>32254</v>
          </cell>
          <cell r="L334" t="str">
            <v>United States</v>
          </cell>
          <cell r="M334" t="str">
            <v>Jacksonville, FL</v>
          </cell>
          <cell r="N334">
            <v>22734</v>
          </cell>
          <cell r="O334">
            <v>1</v>
          </cell>
          <cell r="P334" t="str">
            <v>Single Asset</v>
          </cell>
          <cell r="Q334" t="str">
            <v>Property - Private Equity</v>
          </cell>
          <cell r="R334" t="str">
            <v>Industrial</v>
          </cell>
          <cell r="S334" t="str">
            <v>Warehouse</v>
          </cell>
          <cell r="T334">
            <v>1974</v>
          </cell>
          <cell r="U334" t="str">
            <v>Sq. Feet</v>
          </cell>
          <cell r="V334" t="str">
            <v>Value-Add</v>
          </cell>
          <cell r="W334" t="str">
            <v>Industrial / Logistics</v>
          </cell>
          <cell r="X334" t="str">
            <v>Common Equity</v>
          </cell>
          <cell r="Y334">
            <v>129960</v>
          </cell>
          <cell r="Z334">
            <v>125372</v>
          </cell>
          <cell r="AA334">
            <v>1604228</v>
          </cell>
          <cell r="AB334">
            <v>8.1010928621118694E-2</v>
          </cell>
          <cell r="AC334">
            <v>108000</v>
          </cell>
          <cell r="AD334">
            <v>7.4482758620689649E-2</v>
          </cell>
          <cell r="AE334">
            <v>6.5000000000000002E-2</v>
          </cell>
          <cell r="AF334">
            <v>0.1643</v>
          </cell>
          <cell r="AG334">
            <v>2.21</v>
          </cell>
          <cell r="AH334">
            <v>0.12590000000000001</v>
          </cell>
          <cell r="AI334">
            <v>2.1</v>
          </cell>
          <cell r="AJ334">
            <v>0.1087851278950922</v>
          </cell>
          <cell r="AK334">
            <v>0.1677640774165905</v>
          </cell>
          <cell r="AL334">
            <v>2.0774094535208913</v>
          </cell>
          <cell r="AM334">
            <v>7.6669295184417896E-2</v>
          </cell>
          <cell r="AN334">
            <v>0.12843817492408616</v>
          </cell>
          <cell r="AO334">
            <v>1.7841166644410136</v>
          </cell>
          <cell r="AP334" t="str">
            <v>Unsolicited \ Off-market</v>
          </cell>
          <cell r="AQ334" t="str">
            <v>Renewal / Re-tenant</v>
          </cell>
          <cell r="AR334" t="str">
            <v>Leasing Strategy</v>
          </cell>
          <cell r="AS334">
            <v>44287</v>
          </cell>
          <cell r="AT334">
            <v>1450000</v>
          </cell>
          <cell r="AU334">
            <v>1478856</v>
          </cell>
          <cell r="AV334">
            <v>103008</v>
          </cell>
          <cell r="AW334">
            <v>102995</v>
          </cell>
          <cell r="AX334">
            <v>7.1040000000000006E-2</v>
          </cell>
          <cell r="AY334">
            <v>7.1031034482758618E-2</v>
          </cell>
          <cell r="AZ334">
            <v>4.7505938242280203</v>
          </cell>
          <cell r="BA334">
            <v>1</v>
          </cell>
          <cell r="BB334">
            <v>4.4191780822116602</v>
          </cell>
          <cell r="BC334">
            <v>1</v>
          </cell>
          <cell r="BD334">
            <v>0</v>
          </cell>
          <cell r="BE334">
            <v>73830.97</v>
          </cell>
          <cell r="BF334">
            <v>97773.889999999985</v>
          </cell>
          <cell r="BG334">
            <v>105219.1</v>
          </cell>
          <cell r="BH334">
            <v>105219.1</v>
          </cell>
          <cell r="BI334">
            <v>110847.85</v>
          </cell>
          <cell r="BJ334">
            <v>1478856</v>
          </cell>
        </row>
        <row r="335">
          <cell r="B335" t="str">
            <v>xnj9100p</v>
          </cell>
          <cell r="C335" t="str">
            <v>9100 Pennsauken Highway</v>
          </cell>
          <cell r="D335" t="str">
            <v>Unrealized</v>
          </cell>
          <cell r="E335" t="str">
            <v>Logistic Fund II</v>
          </cell>
          <cell r="F335" t="str">
            <v>USD</v>
          </cell>
          <cell r="G335" t="str">
            <v>Last Mile</v>
          </cell>
          <cell r="H335" t="str">
            <v>Philadelphia</v>
          </cell>
          <cell r="I335" t="str">
            <v>Pennsauken</v>
          </cell>
          <cell r="J335" t="str">
            <v>NJ</v>
          </cell>
          <cell r="K335" t="str">
            <v>08110</v>
          </cell>
          <cell r="L335" t="str">
            <v>United States</v>
          </cell>
          <cell r="M335" t="str">
            <v>Philadelphia-Camden-Wilmington, PA-NJ-DE-MD</v>
          </cell>
          <cell r="N335">
            <v>47256</v>
          </cell>
          <cell r="O335">
            <v>1</v>
          </cell>
          <cell r="P335" t="str">
            <v>Single Asset</v>
          </cell>
          <cell r="Q335" t="str">
            <v>Property - Private Equity</v>
          </cell>
          <cell r="R335" t="str">
            <v>Industrial</v>
          </cell>
          <cell r="S335" t="str">
            <v>Warehouse</v>
          </cell>
          <cell r="T335">
            <v>1973</v>
          </cell>
          <cell r="U335" t="str">
            <v>Sq. Feet</v>
          </cell>
          <cell r="V335" t="str">
            <v>Value-Add</v>
          </cell>
          <cell r="W335" t="str">
            <v>Industrial / Logistics</v>
          </cell>
          <cell r="X335" t="str">
            <v>Common Equity</v>
          </cell>
          <cell r="Y335">
            <v>281196</v>
          </cell>
          <cell r="Z335">
            <v>234222</v>
          </cell>
          <cell r="AA335">
            <v>4035195</v>
          </cell>
          <cell r="AB335">
            <v>6.9685851613119063E-2</v>
          </cell>
          <cell r="AC335">
            <v>225218.5</v>
          </cell>
          <cell r="AD335">
            <v>6.0869864864864863E-2</v>
          </cell>
          <cell r="AE335">
            <v>5.5E-2</v>
          </cell>
          <cell r="AF335">
            <v>0.18340000000000001</v>
          </cell>
          <cell r="AG335">
            <v>2.1800000000000002</v>
          </cell>
          <cell r="AH335">
            <v>0.14149999999999999</v>
          </cell>
          <cell r="AI335">
            <v>2.09</v>
          </cell>
          <cell r="AJ335">
            <v>0.12458752377280891</v>
          </cell>
          <cell r="AK335">
            <v>0.19129167470057218</v>
          </cell>
          <cell r="AL335">
            <v>2.0559123090638791</v>
          </cell>
          <cell r="AM335">
            <v>8.8612058308869202E-2</v>
          </cell>
          <cell r="AN335">
            <v>0.14682678134266203</v>
          </cell>
          <cell r="AO335">
            <v>1.7748427858762115</v>
          </cell>
          <cell r="AP335" t="str">
            <v>Unsolicited \ Off-market</v>
          </cell>
          <cell r="AQ335" t="str">
            <v>Renewal / Re-tenant</v>
          </cell>
          <cell r="AR335" t="str">
            <v>Leasing Strategy</v>
          </cell>
          <cell r="AS335">
            <v>44595</v>
          </cell>
          <cell r="AT335">
            <v>3700000</v>
          </cell>
          <cell r="AU335">
            <v>3800973</v>
          </cell>
          <cell r="AV335">
            <v>262284</v>
          </cell>
          <cell r="AW335">
            <v>263159</v>
          </cell>
          <cell r="AX335">
            <v>7.0887567567567561E-2</v>
          </cell>
          <cell r="AY335">
            <v>7.1124054054054059E-2</v>
          </cell>
          <cell r="AZ335">
            <v>5.6046698831894304</v>
          </cell>
          <cell r="BA335">
            <v>1</v>
          </cell>
          <cell r="BB335">
            <v>2.2383561643812402</v>
          </cell>
          <cell r="BC335">
            <v>1</v>
          </cell>
          <cell r="BD335">
            <v>0</v>
          </cell>
          <cell r="BE335">
            <v>0</v>
          </cell>
          <cell r="BF335">
            <v>223211.37999999998</v>
          </cell>
          <cell r="BG335">
            <v>249556.70999999996</v>
          </cell>
          <cell r="BH335">
            <v>249556.70999999996</v>
          </cell>
          <cell r="BI335">
            <v>268491.76999999996</v>
          </cell>
          <cell r="BJ335">
            <v>3800973</v>
          </cell>
        </row>
        <row r="336">
          <cell r="B336" t="str">
            <v>xnj400wa</v>
          </cell>
          <cell r="C336" t="str">
            <v>400 Water Street</v>
          </cell>
          <cell r="D336" t="str">
            <v>Unrealized</v>
          </cell>
          <cell r="E336" t="str">
            <v>Logistic Fund II</v>
          </cell>
          <cell r="F336" t="str">
            <v>USD</v>
          </cell>
          <cell r="G336" t="str">
            <v>Last Mile</v>
          </cell>
          <cell r="H336" t="str">
            <v>Philadelphia</v>
          </cell>
          <cell r="I336" t="str">
            <v>Gloucester City</v>
          </cell>
          <cell r="J336" t="str">
            <v>NJ</v>
          </cell>
          <cell r="K336" t="str">
            <v>08030</v>
          </cell>
          <cell r="L336" t="str">
            <v>United States</v>
          </cell>
          <cell r="M336" t="str">
            <v>Philadelphia-Camden-Wilmington, PA-NJ-DE-MD</v>
          </cell>
          <cell r="N336">
            <v>38550</v>
          </cell>
          <cell r="O336">
            <v>1</v>
          </cell>
          <cell r="P336" t="str">
            <v>Single Asset</v>
          </cell>
          <cell r="Q336" t="str">
            <v>Property - Private Equity</v>
          </cell>
          <cell r="R336" t="str">
            <v>Industrial</v>
          </cell>
          <cell r="S336" t="str">
            <v>Warehouse</v>
          </cell>
          <cell r="T336">
            <v>1956</v>
          </cell>
          <cell r="U336" t="str">
            <v>Sq. Feet</v>
          </cell>
          <cell r="V336" t="str">
            <v>Value-Add</v>
          </cell>
          <cell r="W336" t="str">
            <v>Industrial / Logistics</v>
          </cell>
          <cell r="X336" t="str">
            <v>Common Equity</v>
          </cell>
          <cell r="Y336">
            <v>233964</v>
          </cell>
          <cell r="Z336">
            <v>33407</v>
          </cell>
          <cell r="AA336">
            <v>2801807</v>
          </cell>
          <cell r="AB336">
            <v>8.3504681086170457E-2</v>
          </cell>
          <cell r="AC336">
            <v>192750</v>
          </cell>
          <cell r="AD336">
            <v>7.1388888888888891E-2</v>
          </cell>
          <cell r="AE336">
            <v>0.06</v>
          </cell>
          <cell r="AF336">
            <v>0.193</v>
          </cell>
          <cell r="AG336">
            <v>2.35</v>
          </cell>
          <cell r="AH336">
            <v>0.15079999999999999</v>
          </cell>
          <cell r="AI336">
            <v>2.25</v>
          </cell>
          <cell r="AJ336">
            <v>0.13185218065862014</v>
          </cell>
          <cell r="AK336">
            <v>0.1991536140834127</v>
          </cell>
          <cell r="AL336">
            <v>2.2472984641024256</v>
          </cell>
          <cell r="AM336">
            <v>9.5695066488684866E-2</v>
          </cell>
          <cell r="AN336">
            <v>0.15517821557624933</v>
          </cell>
          <cell r="AO336">
            <v>1.9274875809349237</v>
          </cell>
          <cell r="AP336" t="str">
            <v>Unsolicited \ Off-market</v>
          </cell>
          <cell r="AQ336" t="str">
            <v>Rent Optimization</v>
          </cell>
          <cell r="AR336" t="str">
            <v>Leasing Strategy</v>
          </cell>
          <cell r="AS336">
            <v>44609</v>
          </cell>
          <cell r="AT336">
            <v>2700000</v>
          </cell>
          <cell r="AU336">
            <v>2768400</v>
          </cell>
          <cell r="AV336">
            <v>144564</v>
          </cell>
          <cell r="AW336">
            <v>144564</v>
          </cell>
          <cell r="AX336">
            <v>5.354222222222222E-2</v>
          </cell>
          <cell r="AY336">
            <v>5.354222222222222E-2</v>
          </cell>
          <cell r="AZ336">
            <v>3.75000155642023</v>
          </cell>
          <cell r="BA336">
            <v>1</v>
          </cell>
          <cell r="BB336">
            <v>2.8712328767055699</v>
          </cell>
          <cell r="BC336">
            <v>1</v>
          </cell>
          <cell r="BD336">
            <v>0</v>
          </cell>
          <cell r="BE336">
            <v>0</v>
          </cell>
          <cell r="BF336">
            <v>80225.239999999991</v>
          </cell>
          <cell r="BG336">
            <v>189758.40000000002</v>
          </cell>
          <cell r="BH336">
            <v>189758.40000000002</v>
          </cell>
          <cell r="BI336">
            <v>446948.42</v>
          </cell>
          <cell r="BJ336">
            <v>2768400</v>
          </cell>
        </row>
        <row r="337">
          <cell r="B337" t="str">
            <v>xtx467wa</v>
          </cell>
          <cell r="C337" t="str">
            <v>4679 Walzem Road</v>
          </cell>
          <cell r="D337" t="str">
            <v>Unrealized</v>
          </cell>
          <cell r="E337" t="str">
            <v>Logistic Fund II</v>
          </cell>
          <cell r="F337" t="str">
            <v>USD</v>
          </cell>
          <cell r="G337" t="str">
            <v>Last Mile</v>
          </cell>
          <cell r="H337" t="str">
            <v>San Antonio</v>
          </cell>
          <cell r="I337" t="str">
            <v>San Antonio</v>
          </cell>
          <cell r="J337" t="str">
            <v>TX</v>
          </cell>
          <cell r="K337">
            <v>78218</v>
          </cell>
          <cell r="L337" t="str">
            <v>United States</v>
          </cell>
          <cell r="M337" t="str">
            <v>San Antonio-New Braunfels, TX</v>
          </cell>
          <cell r="N337">
            <v>40394</v>
          </cell>
          <cell r="O337">
            <v>1</v>
          </cell>
          <cell r="P337" t="str">
            <v>Single Asset</v>
          </cell>
          <cell r="Q337" t="str">
            <v>Property - Private Equity</v>
          </cell>
          <cell r="R337" t="str">
            <v>Industrial</v>
          </cell>
          <cell r="S337" t="str">
            <v>Warehouse</v>
          </cell>
          <cell r="T337">
            <v>1972</v>
          </cell>
          <cell r="U337" t="str">
            <v>Sq. Feet</v>
          </cell>
          <cell r="V337" t="str">
            <v>Value-Add</v>
          </cell>
          <cell r="W337" t="str">
            <v>Industrial / Logistics</v>
          </cell>
          <cell r="X337" t="str">
            <v>Common Equity</v>
          </cell>
          <cell r="Y337">
            <v>284580</v>
          </cell>
          <cell r="Z337">
            <v>480891</v>
          </cell>
          <cell r="AA337">
            <v>3515222</v>
          </cell>
          <cell r="AB337">
            <v>8.095648013126909E-2</v>
          </cell>
          <cell r="AC337">
            <v>232162</v>
          </cell>
          <cell r="AD337">
            <v>7.7776214405360131E-2</v>
          </cell>
          <cell r="AE337">
            <v>5.2499999999999998E-2</v>
          </cell>
          <cell r="AF337">
            <v>0.21809999999999999</v>
          </cell>
          <cell r="AG337">
            <v>2.93</v>
          </cell>
          <cell r="AH337">
            <v>0.1754</v>
          </cell>
          <cell r="AI337">
            <v>2.83</v>
          </cell>
          <cell r="AJ337">
            <v>0.15558454079623485</v>
          </cell>
          <cell r="AK337">
            <v>0.2406238367591893</v>
          </cell>
          <cell r="AL337">
            <v>2.5904614212285115</v>
          </cell>
          <cell r="AM337">
            <v>0.1166645110403397</v>
          </cell>
          <cell r="AN337">
            <v>0.19262842558326465</v>
          </cell>
          <cell r="AO337">
            <v>2.2036843425377839</v>
          </cell>
          <cell r="AP337" t="str">
            <v>Market deal</v>
          </cell>
          <cell r="AQ337" t="str">
            <v>Lease-up</v>
          </cell>
          <cell r="AR337" t="str">
            <v>Leasing Strategy</v>
          </cell>
          <cell r="AS337">
            <v>44609</v>
          </cell>
          <cell r="AT337">
            <v>2985000</v>
          </cell>
          <cell r="AU337">
            <v>3034331</v>
          </cell>
          <cell r="AV337">
            <v>197040</v>
          </cell>
          <cell r="AW337">
            <v>161693</v>
          </cell>
          <cell r="AX337">
            <v>6.601005025125628E-2</v>
          </cell>
          <cell r="AY337">
            <v>5.4168509212730316E-2</v>
          </cell>
          <cell r="AZ337">
            <v>4.6905327810312798</v>
          </cell>
          <cell r="BA337">
            <v>1</v>
          </cell>
          <cell r="BB337">
            <v>0.86849315069275801</v>
          </cell>
          <cell r="BC337">
            <v>1</v>
          </cell>
          <cell r="BD337">
            <v>0</v>
          </cell>
          <cell r="BE337">
            <v>0</v>
          </cell>
          <cell r="BF337">
            <v>165668.02000000002</v>
          </cell>
          <cell r="BG337">
            <v>287652.46999999997</v>
          </cell>
          <cell r="BH337">
            <v>287652.46999999997</v>
          </cell>
          <cell r="BI337">
            <v>304342.57999999996</v>
          </cell>
          <cell r="BJ337">
            <v>3046727</v>
          </cell>
        </row>
        <row r="338">
          <cell r="B338" t="str">
            <v>xga3350h</v>
          </cell>
          <cell r="C338" t="str">
            <v>3350 Hamilton Boulevard</v>
          </cell>
          <cell r="D338" t="str">
            <v>Unrealized</v>
          </cell>
          <cell r="E338" t="str">
            <v>Logistic Fund II</v>
          </cell>
          <cell r="F338" t="str">
            <v>USD</v>
          </cell>
          <cell r="G338" t="str">
            <v>Last Mile</v>
          </cell>
          <cell r="H338" t="str">
            <v>Atlanta</v>
          </cell>
          <cell r="I338" t="str">
            <v>Atlanta</v>
          </cell>
          <cell r="J338" t="str">
            <v>GA</v>
          </cell>
          <cell r="K338">
            <v>30354</v>
          </cell>
          <cell r="L338" t="str">
            <v>United States</v>
          </cell>
          <cell r="M338" t="str">
            <v>Atlanta-Sandy Springs-Roswell, GA</v>
          </cell>
          <cell r="N338">
            <v>86468</v>
          </cell>
          <cell r="O338">
            <v>1</v>
          </cell>
          <cell r="P338" t="str">
            <v>Single Asset</v>
          </cell>
          <cell r="Q338" t="str">
            <v>Property - Private Equity</v>
          </cell>
          <cell r="R338" t="str">
            <v>Industrial</v>
          </cell>
          <cell r="S338" t="str">
            <v>Warehouse</v>
          </cell>
          <cell r="T338">
            <v>1964</v>
          </cell>
          <cell r="U338" t="str">
            <v>Sq. Feet</v>
          </cell>
          <cell r="V338" t="str">
            <v>Value-Add</v>
          </cell>
          <cell r="W338" t="str">
            <v>Industrial / Logistics</v>
          </cell>
          <cell r="X338" t="str">
            <v>Common Equity</v>
          </cell>
          <cell r="Y338">
            <v>566040</v>
          </cell>
          <cell r="Z338">
            <v>1057330</v>
          </cell>
          <cell r="AA338">
            <v>8057225</v>
          </cell>
          <cell r="AB338">
            <v>7.0252475262885181E-2</v>
          </cell>
          <cell r="AC338">
            <v>444938.1</v>
          </cell>
          <cell r="AD338">
            <v>6.4250989169675088E-2</v>
          </cell>
          <cell r="AE338">
            <v>5.2499999999999998E-2</v>
          </cell>
          <cell r="AF338">
            <v>0.16669999999999999</v>
          </cell>
          <cell r="AG338">
            <v>2.27</v>
          </cell>
          <cell r="AH338">
            <v>0.12859999999999999</v>
          </cell>
          <cell r="AI338">
            <v>2.1800000000000002</v>
          </cell>
          <cell r="AJ338">
            <v>0.12096208553753152</v>
          </cell>
          <cell r="AK338">
            <v>0.17936312495335804</v>
          </cell>
          <cell r="AL338">
            <v>2.0430211003486263</v>
          </cell>
          <cell r="AM338">
            <v>8.6241605763920814E-2</v>
          </cell>
          <cell r="AN338">
            <v>0.13755385283402521</v>
          </cell>
          <cell r="AO338">
            <v>1.767219737051583</v>
          </cell>
          <cell r="AP338" t="str">
            <v>Market deal</v>
          </cell>
          <cell r="AQ338" t="str">
            <v>Rent Optimization</v>
          </cell>
          <cell r="AR338" t="str">
            <v>Leasing Strategy</v>
          </cell>
          <cell r="AS338">
            <v>44614</v>
          </cell>
          <cell r="AT338">
            <v>6925000</v>
          </cell>
          <cell r="AU338">
            <v>6999895</v>
          </cell>
          <cell r="AV338">
            <v>380124</v>
          </cell>
          <cell r="AW338">
            <v>331665</v>
          </cell>
          <cell r="AX338">
            <v>5.4891552346570401E-2</v>
          </cell>
          <cell r="AY338">
            <v>4.7893862815884473E-2</v>
          </cell>
          <cell r="AZ338">
            <v>1.2485250983665099</v>
          </cell>
          <cell r="BA338">
            <v>1</v>
          </cell>
          <cell r="BB338">
            <v>2.45732011870752</v>
          </cell>
          <cell r="BC338">
            <v>1</v>
          </cell>
          <cell r="BD338">
            <v>0</v>
          </cell>
          <cell r="BE338">
            <v>0</v>
          </cell>
          <cell r="BF338">
            <v>298911.13</v>
          </cell>
          <cell r="BG338">
            <v>204652.69999999995</v>
          </cell>
          <cell r="BH338">
            <v>204652.69999999995</v>
          </cell>
          <cell r="BI338">
            <v>13266.630000000005</v>
          </cell>
          <cell r="BJ338">
            <v>8090234.0600000005</v>
          </cell>
        </row>
        <row r="339">
          <cell r="B339" t="str">
            <v>xil121lo</v>
          </cell>
          <cell r="C339" t="str">
            <v>121 South Lombard Road</v>
          </cell>
          <cell r="D339" t="str">
            <v>Unrealized</v>
          </cell>
          <cell r="E339" t="str">
            <v>Logistic Fund II</v>
          </cell>
          <cell r="F339" t="str">
            <v>USD</v>
          </cell>
          <cell r="G339" t="str">
            <v>Last Mile</v>
          </cell>
          <cell r="H339" t="str">
            <v>Chicago</v>
          </cell>
          <cell r="I339" t="str">
            <v>Addison</v>
          </cell>
          <cell r="J339" t="str">
            <v>IL</v>
          </cell>
          <cell r="K339">
            <v>60101</v>
          </cell>
          <cell r="L339" t="str">
            <v>United States</v>
          </cell>
          <cell r="M339" t="str">
            <v>Chicago-Naperville-Elgin, IL-IN-WI</v>
          </cell>
          <cell r="N339">
            <v>20000</v>
          </cell>
          <cell r="O339">
            <v>1</v>
          </cell>
          <cell r="P339" t="str">
            <v>Single Asset</v>
          </cell>
          <cell r="Q339" t="str">
            <v>Property - Private Equity</v>
          </cell>
          <cell r="R339" t="str">
            <v>Industrial</v>
          </cell>
          <cell r="S339" t="str">
            <v>Warehouse</v>
          </cell>
          <cell r="T339">
            <v>1979</v>
          </cell>
          <cell r="U339" t="str">
            <v>Sq. Feet</v>
          </cell>
          <cell r="V339" t="str">
            <v>Value-Add</v>
          </cell>
          <cell r="W339" t="str">
            <v>Industrial / Logistics</v>
          </cell>
          <cell r="X339" t="str">
            <v>Common Equity</v>
          </cell>
          <cell r="Y339">
            <v>195480</v>
          </cell>
          <cell r="Z339">
            <v>182974</v>
          </cell>
          <cell r="AA339">
            <v>2213439</v>
          </cell>
          <cell r="AB339">
            <v>8.8315060862305214E-2</v>
          </cell>
          <cell r="AC339">
            <v>150000</v>
          </cell>
          <cell r="AD339">
            <v>7.8947368421052627E-2</v>
          </cell>
          <cell r="AE339">
            <v>0.06</v>
          </cell>
          <cell r="AF339">
            <v>0.22170000000000001</v>
          </cell>
          <cell r="AG339">
            <v>2.64</v>
          </cell>
          <cell r="AH339">
            <v>0.1764</v>
          </cell>
          <cell r="AI339">
            <v>2.54</v>
          </cell>
          <cell r="AJ339">
            <v>0.152116684223355</v>
          </cell>
          <cell r="AK339">
            <v>0.23865235402140117</v>
          </cell>
          <cell r="AL339">
            <v>2.4655574302019225</v>
          </cell>
          <cell r="AM339">
            <v>0.11314903614980976</v>
          </cell>
          <cell r="AN339">
            <v>0.1898037629667304</v>
          </cell>
          <cell r="AO339">
            <v>2.1048031005995704</v>
          </cell>
          <cell r="AP339" t="str">
            <v>Unsolicited \ Off-market</v>
          </cell>
          <cell r="AQ339" t="str">
            <v>Renewal / Re-tenant</v>
          </cell>
          <cell r="AR339" t="str">
            <v>Leasing Strategy</v>
          </cell>
          <cell r="AS339">
            <v>44620</v>
          </cell>
          <cell r="AT339">
            <v>1900000</v>
          </cell>
          <cell r="AU339">
            <v>2030465</v>
          </cell>
          <cell r="AV339">
            <v>155004</v>
          </cell>
          <cell r="AW339">
            <v>155005</v>
          </cell>
          <cell r="AX339">
            <v>8.1581052631578943E-2</v>
          </cell>
          <cell r="AY339">
            <v>8.1581578947368422E-2</v>
          </cell>
          <cell r="AZ339">
            <v>7.7500020000000003</v>
          </cell>
          <cell r="BA339">
            <v>1</v>
          </cell>
          <cell r="BB339">
            <v>2</v>
          </cell>
          <cell r="BC339">
            <v>1</v>
          </cell>
          <cell r="BD339">
            <v>0</v>
          </cell>
          <cell r="BE339">
            <v>0</v>
          </cell>
          <cell r="BF339">
            <v>126835.74000000002</v>
          </cell>
          <cell r="BG339">
            <v>156768.54</v>
          </cell>
          <cell r="BH339">
            <v>156768.54</v>
          </cell>
          <cell r="BI339">
            <v>158956.11000000002</v>
          </cell>
          <cell r="BJ339">
            <v>2058594.4</v>
          </cell>
        </row>
        <row r="340">
          <cell r="B340" t="str">
            <v>xfl7720p</v>
          </cell>
          <cell r="C340" t="str">
            <v>7720 Philips Highway</v>
          </cell>
          <cell r="D340" t="str">
            <v>Unrealized</v>
          </cell>
          <cell r="E340" t="str">
            <v>Logistic Fund II</v>
          </cell>
          <cell r="F340" t="str">
            <v>USD</v>
          </cell>
          <cell r="G340" t="str">
            <v>Last Mile</v>
          </cell>
          <cell r="H340" t="str">
            <v>Jacksonville</v>
          </cell>
          <cell r="I340" t="str">
            <v>Jacksonville</v>
          </cell>
          <cell r="J340" t="str">
            <v>FL</v>
          </cell>
          <cell r="K340">
            <v>32256</v>
          </cell>
          <cell r="L340" t="str">
            <v>United States</v>
          </cell>
          <cell r="M340" t="str">
            <v>Jacksonville, FL</v>
          </cell>
          <cell r="N340">
            <v>98438</v>
          </cell>
          <cell r="O340">
            <v>1</v>
          </cell>
          <cell r="P340" t="str">
            <v>Single Asset</v>
          </cell>
          <cell r="Q340" t="str">
            <v>Property - Private Equity</v>
          </cell>
          <cell r="R340" t="str">
            <v>Industrial</v>
          </cell>
          <cell r="S340" t="str">
            <v>Warehouse</v>
          </cell>
          <cell r="T340">
            <v>1981</v>
          </cell>
          <cell r="U340" t="str">
            <v>Sq. Feet</v>
          </cell>
          <cell r="V340" t="str">
            <v>Value-Add</v>
          </cell>
          <cell r="W340" t="str">
            <v>Industrial / Logistics</v>
          </cell>
          <cell r="X340" t="str">
            <v>Common Equity</v>
          </cell>
          <cell r="Y340">
            <v>698988</v>
          </cell>
          <cell r="Z340">
            <v>585537</v>
          </cell>
          <cell r="AA340">
            <v>10253324</v>
          </cell>
          <cell r="AB340">
            <v>6.8171843589454509E-2</v>
          </cell>
          <cell r="AC340">
            <v>566018.5</v>
          </cell>
          <cell r="AD340">
            <v>5.8960260416666667E-2</v>
          </cell>
          <cell r="AE340">
            <v>0.05</v>
          </cell>
          <cell r="AF340">
            <v>0.1792</v>
          </cell>
          <cell r="AG340">
            <v>2.2000000000000002</v>
          </cell>
          <cell r="AH340">
            <v>0.13800000000000001</v>
          </cell>
          <cell r="AI340">
            <v>2.1</v>
          </cell>
          <cell r="AJ340">
            <v>0.12377000416365469</v>
          </cell>
          <cell r="AK340">
            <v>0.18518458174818919</v>
          </cell>
          <cell r="AL340">
            <v>2.0868622801635368</v>
          </cell>
          <cell r="AM340">
            <v>8.8635512756867874E-2</v>
          </cell>
          <cell r="AN340">
            <v>0.14260766801322466</v>
          </cell>
          <cell r="AO340">
            <v>1.8016460579440639</v>
          </cell>
          <cell r="AP340" t="str">
            <v>Soft marketed</v>
          </cell>
          <cell r="AQ340" t="str">
            <v>Rent Optimization</v>
          </cell>
          <cell r="AR340" t="str">
            <v>Leasing Strategy</v>
          </cell>
          <cell r="AS340">
            <v>44620</v>
          </cell>
          <cell r="AT340">
            <v>9600000</v>
          </cell>
          <cell r="AU340">
            <v>9667787</v>
          </cell>
          <cell r="AV340">
            <v>500544</v>
          </cell>
          <cell r="AW340">
            <v>504554</v>
          </cell>
          <cell r="AX340">
            <v>5.2139999999999999E-2</v>
          </cell>
          <cell r="AY340">
            <v>5.2557708333333335E-2</v>
          </cell>
          <cell r="AZ340">
            <v>5.0847741725756297</v>
          </cell>
          <cell r="BA340">
            <v>1</v>
          </cell>
          <cell r="BB340">
            <v>4.21104379169629</v>
          </cell>
          <cell r="BC340">
            <v>1</v>
          </cell>
          <cell r="BD340">
            <v>0</v>
          </cell>
          <cell r="BE340">
            <v>0</v>
          </cell>
          <cell r="BF340">
            <v>420090.18999999994</v>
          </cell>
          <cell r="BG340">
            <v>526122.19000000006</v>
          </cell>
          <cell r="BH340">
            <v>526122.19000000006</v>
          </cell>
          <cell r="BI340">
            <v>491278.51999999996</v>
          </cell>
          <cell r="BJ340">
            <v>9680470.8499999996</v>
          </cell>
        </row>
        <row r="341">
          <cell r="B341" t="str">
            <v>xpa4200m</v>
          </cell>
          <cell r="C341" t="str">
            <v>4200 Macalester Street</v>
          </cell>
          <cell r="D341" t="str">
            <v>Unrealized</v>
          </cell>
          <cell r="E341" t="str">
            <v>Logistic Fund II</v>
          </cell>
          <cell r="F341" t="str">
            <v>USD</v>
          </cell>
          <cell r="G341" t="str">
            <v>Last Mile</v>
          </cell>
          <cell r="H341" t="str">
            <v>Philadelphia</v>
          </cell>
          <cell r="I341" t="str">
            <v>Philadelphia</v>
          </cell>
          <cell r="J341" t="str">
            <v>PA</v>
          </cell>
          <cell r="K341">
            <v>19124</v>
          </cell>
          <cell r="L341" t="str">
            <v>United States</v>
          </cell>
          <cell r="M341" t="str">
            <v>Philadelphia-Camden-Wilmington, PA-NJ-DE-MD</v>
          </cell>
          <cell r="N341">
            <v>40791</v>
          </cell>
          <cell r="O341">
            <v>1</v>
          </cell>
          <cell r="P341" t="str">
            <v>Single Asset</v>
          </cell>
          <cell r="Q341" t="str">
            <v>Property - Private Equity</v>
          </cell>
          <cell r="R341" t="str">
            <v>Industrial</v>
          </cell>
          <cell r="S341" t="str">
            <v>Warehouse</v>
          </cell>
          <cell r="T341">
            <v>1981</v>
          </cell>
          <cell r="U341" t="str">
            <v>Sq. Feet</v>
          </cell>
          <cell r="V341" t="str">
            <v>Value-Add</v>
          </cell>
          <cell r="W341" t="str">
            <v>Industrial / Logistics</v>
          </cell>
          <cell r="X341" t="str">
            <v>Common Equity</v>
          </cell>
          <cell r="Y341">
            <v>210180</v>
          </cell>
          <cell r="Z341">
            <v>138221</v>
          </cell>
          <cell r="AA341">
            <v>3235082</v>
          </cell>
          <cell r="AB341">
            <v>6.4968986875757709E-2</v>
          </cell>
          <cell r="AC341">
            <v>280772.5</v>
          </cell>
          <cell r="AD341">
            <v>9.6818103448275863E-2</v>
          </cell>
          <cell r="AE341">
            <v>4.7500000000000001E-2</v>
          </cell>
          <cell r="AF341">
            <v>0.20630000000000001</v>
          </cell>
          <cell r="AG341">
            <v>2.35</v>
          </cell>
          <cell r="AH341">
            <v>0.16139999999999999</v>
          </cell>
          <cell r="AI341">
            <v>2.2599999999999998</v>
          </cell>
          <cell r="AJ341">
            <v>0.13324177713480756</v>
          </cell>
          <cell r="AK341">
            <v>0.20493190033593511</v>
          </cell>
          <cell r="AL341">
            <v>2.2000138825398596</v>
          </cell>
          <cell r="AM341">
            <v>9.6672379993375301E-2</v>
          </cell>
          <cell r="AN341">
            <v>0.15984218394050775</v>
          </cell>
          <cell r="AO341">
            <v>1.891650516736245</v>
          </cell>
          <cell r="AP341" t="str">
            <v>Unsolicited \ Off-market</v>
          </cell>
          <cell r="AQ341" t="str">
            <v>Rent Optimization</v>
          </cell>
          <cell r="AR341" t="str">
            <v>Leasing Strategy</v>
          </cell>
          <cell r="AS341">
            <v>44622</v>
          </cell>
          <cell r="AT341">
            <v>2900000</v>
          </cell>
          <cell r="AU341">
            <v>3096861</v>
          </cell>
          <cell r="AV341">
            <v>192300</v>
          </cell>
          <cell r="AW341">
            <v>192601</v>
          </cell>
          <cell r="AX341">
            <v>6.6310344827586201E-2</v>
          </cell>
          <cell r="AY341">
            <v>6.6414137931034484E-2</v>
          </cell>
          <cell r="AZ341">
            <v>5.18934470839155</v>
          </cell>
          <cell r="BA341">
            <v>1</v>
          </cell>
          <cell r="BB341">
            <v>3.0356164383565001</v>
          </cell>
          <cell r="BC341">
            <v>1</v>
          </cell>
          <cell r="BD341">
            <v>0</v>
          </cell>
          <cell r="BE341">
            <v>0</v>
          </cell>
          <cell r="BF341">
            <v>174991.31</v>
          </cell>
          <cell r="BG341">
            <v>208344.57</v>
          </cell>
          <cell r="BH341">
            <v>208344.57</v>
          </cell>
          <cell r="BI341">
            <v>209226.46</v>
          </cell>
          <cell r="BJ341">
            <v>3610311</v>
          </cell>
        </row>
        <row r="342">
          <cell r="B342" t="str">
            <v>xtx10704</v>
          </cell>
          <cell r="C342" t="str">
            <v>10704 - 10710 Composite Drive</v>
          </cell>
          <cell r="D342" t="str">
            <v>Unrealized</v>
          </cell>
          <cell r="E342" t="str">
            <v>Logistic Fund II</v>
          </cell>
          <cell r="F342" t="str">
            <v>USD</v>
          </cell>
          <cell r="G342" t="str">
            <v>Last Mile</v>
          </cell>
          <cell r="H342" t="str">
            <v>Dallas</v>
          </cell>
          <cell r="I342" t="str">
            <v>Dallas</v>
          </cell>
          <cell r="J342" t="str">
            <v>TX</v>
          </cell>
          <cell r="K342">
            <v>75220</v>
          </cell>
          <cell r="L342" t="str">
            <v>United States</v>
          </cell>
          <cell r="M342" t="str">
            <v>Dallas-Fort Worth-Arlington, TX</v>
          </cell>
          <cell r="N342">
            <v>27300</v>
          </cell>
          <cell r="O342">
            <v>1</v>
          </cell>
          <cell r="P342" t="str">
            <v>Single Asset</v>
          </cell>
          <cell r="Q342" t="str">
            <v>Property - Private Equity</v>
          </cell>
          <cell r="R342" t="str">
            <v>Industrial</v>
          </cell>
          <cell r="S342" t="str">
            <v>Warehouse</v>
          </cell>
          <cell r="T342">
            <v>1973</v>
          </cell>
          <cell r="U342" t="str">
            <v>Sq. Feet</v>
          </cell>
          <cell r="V342" t="str">
            <v>Value-Add</v>
          </cell>
          <cell r="W342" t="str">
            <v>Industrial / Logistics</v>
          </cell>
          <cell r="X342" t="str">
            <v>Common Equity</v>
          </cell>
          <cell r="Y342">
            <v>238704</v>
          </cell>
          <cell r="Z342">
            <v>115434</v>
          </cell>
          <cell r="AA342">
            <v>3192257</v>
          </cell>
          <cell r="AB342">
            <v>7.4775934393753379E-2</v>
          </cell>
          <cell r="AC342">
            <v>185640</v>
          </cell>
          <cell r="AD342">
            <v>6.0865573770491802E-2</v>
          </cell>
          <cell r="AE342">
            <v>0.05</v>
          </cell>
          <cell r="AF342">
            <v>0.1933</v>
          </cell>
          <cell r="AG342">
            <v>2.38</v>
          </cell>
          <cell r="AH342">
            <v>0.1512</v>
          </cell>
          <cell r="AI342">
            <v>2.29</v>
          </cell>
          <cell r="AJ342">
            <v>0.13935990575584767</v>
          </cell>
          <cell r="AK342">
            <v>0.20964716812328477</v>
          </cell>
          <cell r="AL342">
            <v>2.3905534001779811</v>
          </cell>
          <cell r="AM342">
            <v>0.10274661381138572</v>
          </cell>
          <cell r="AN342">
            <v>0.16538657547894209</v>
          </cell>
          <cell r="AO342">
            <v>2.0433451000461282</v>
          </cell>
          <cell r="AP342" t="str">
            <v>Soft marketed</v>
          </cell>
          <cell r="AQ342" t="str">
            <v>Rent Optimization</v>
          </cell>
          <cell r="AR342" t="str">
            <v>Leasing Strategy</v>
          </cell>
          <cell r="AS342">
            <v>44627</v>
          </cell>
          <cell r="AT342">
            <v>3050000</v>
          </cell>
          <cell r="AU342">
            <v>3076823</v>
          </cell>
          <cell r="AV342">
            <v>100380</v>
          </cell>
          <cell r="AW342">
            <v>89973</v>
          </cell>
          <cell r="AX342">
            <v>3.2911475409836063E-2</v>
          </cell>
          <cell r="AY342">
            <v>2.9499344262295082E-2</v>
          </cell>
          <cell r="AZ342">
            <v>5.7</v>
          </cell>
          <cell r="BA342">
            <v>1</v>
          </cell>
          <cell r="BB342">
            <v>0.81917808219780197</v>
          </cell>
          <cell r="BC342">
            <v>1</v>
          </cell>
          <cell r="BD342">
            <v>0</v>
          </cell>
          <cell r="BE342">
            <v>0</v>
          </cell>
          <cell r="BF342">
            <v>123611.15</v>
          </cell>
          <cell r="BG342">
            <v>199175.39</v>
          </cell>
          <cell r="BH342">
            <v>199175.39</v>
          </cell>
          <cell r="BI342">
            <v>219362.52000000002</v>
          </cell>
          <cell r="BJ342">
            <v>3222034.81</v>
          </cell>
        </row>
        <row r="343">
          <cell r="B343" t="str">
            <v>xpa500ma</v>
          </cell>
          <cell r="C343" t="str">
            <v>500 Maryland Avenue</v>
          </cell>
          <cell r="D343" t="str">
            <v>Unrealized</v>
          </cell>
          <cell r="E343" t="str">
            <v>Logistic Fund II</v>
          </cell>
          <cell r="F343" t="str">
            <v>USD</v>
          </cell>
          <cell r="G343" t="str">
            <v>Last Mile</v>
          </cell>
          <cell r="H343" t="str">
            <v>Philadelphia</v>
          </cell>
          <cell r="I343" t="str">
            <v>Fort Washington</v>
          </cell>
          <cell r="J343" t="str">
            <v>PA</v>
          </cell>
          <cell r="K343">
            <v>19034</v>
          </cell>
          <cell r="L343" t="str">
            <v>United States</v>
          </cell>
          <cell r="M343" t="str">
            <v>Philadelphia-Camden-Wilmington, PA-NJ-DE-MD</v>
          </cell>
          <cell r="N343">
            <v>150120</v>
          </cell>
          <cell r="O343">
            <v>1</v>
          </cell>
          <cell r="P343" t="str">
            <v>Single Asset</v>
          </cell>
          <cell r="Q343" t="str">
            <v>Property - Private Equity</v>
          </cell>
          <cell r="R343" t="str">
            <v>Industrial</v>
          </cell>
          <cell r="S343" t="str">
            <v>Warehouse</v>
          </cell>
          <cell r="T343">
            <v>1961</v>
          </cell>
          <cell r="U343" t="str">
            <v>Sq. Feet</v>
          </cell>
          <cell r="V343" t="str">
            <v>Value-Add</v>
          </cell>
          <cell r="W343" t="str">
            <v>Industrial / Logistics</v>
          </cell>
          <cell r="X343" t="str">
            <v>Common Equity</v>
          </cell>
          <cell r="Y343">
            <v>1050144</v>
          </cell>
          <cell r="Z343">
            <v>2072189</v>
          </cell>
          <cell r="AA343">
            <v>10906531</v>
          </cell>
          <cell r="AB343">
            <v>9.6285794264005672E-2</v>
          </cell>
          <cell r="AC343">
            <v>900000</v>
          </cell>
          <cell r="AD343">
            <v>0.10714285714285714</v>
          </cell>
          <cell r="AE343">
            <v>5.5E-2</v>
          </cell>
          <cell r="AF343">
            <v>0.27410000000000001</v>
          </cell>
          <cell r="AG343">
            <v>3.45</v>
          </cell>
          <cell r="AH343">
            <v>0.2243</v>
          </cell>
          <cell r="AI343">
            <v>3.36</v>
          </cell>
          <cell r="AJ343">
            <v>0.18742541822508385</v>
          </cell>
          <cell r="AK343">
            <v>0.29456222868321502</v>
          </cell>
          <cell r="AL343">
            <v>2.9609897572998469</v>
          </cell>
          <cell r="AM343">
            <v>0.14466739631283088</v>
          </cell>
          <cell r="AN343">
            <v>0.24107883546317344</v>
          </cell>
          <cell r="AO343">
            <v>2.504919998935109</v>
          </cell>
          <cell r="AP343" t="str">
            <v>Unsolicited \ Off-market</v>
          </cell>
          <cell r="AQ343" t="str">
            <v>Rent Optimization</v>
          </cell>
          <cell r="AR343" t="str">
            <v>Leasing Strategy</v>
          </cell>
          <cell r="AS343">
            <v>44628</v>
          </cell>
          <cell r="AT343">
            <v>8400000</v>
          </cell>
          <cell r="AU343">
            <v>8834342</v>
          </cell>
          <cell r="AV343">
            <v>564828</v>
          </cell>
          <cell r="AW343">
            <v>564777</v>
          </cell>
          <cell r="AX343">
            <v>6.7241428571428577E-2</v>
          </cell>
          <cell r="AY343">
            <v>6.7235357142857138E-2</v>
          </cell>
          <cell r="AZ343">
            <v>3.8968824940047901</v>
          </cell>
          <cell r="BA343">
            <v>0.921869171329603</v>
          </cell>
          <cell r="BB343">
            <v>4.2102901605648801</v>
          </cell>
          <cell r="BC343">
            <v>1</v>
          </cell>
          <cell r="BD343">
            <v>0</v>
          </cell>
          <cell r="BE343">
            <v>0</v>
          </cell>
          <cell r="BF343">
            <v>441047.97</v>
          </cell>
          <cell r="BG343">
            <v>386294.99000000005</v>
          </cell>
          <cell r="BH343">
            <v>386294.99000000005</v>
          </cell>
          <cell r="BI343">
            <v>350911.66000000003</v>
          </cell>
          <cell r="BJ343">
            <v>9536127.3699999992</v>
          </cell>
        </row>
        <row r="344">
          <cell r="B344" t="str">
            <v>xnj121mo</v>
          </cell>
          <cell r="C344" t="str">
            <v>121 Moonachie Ave</v>
          </cell>
          <cell r="D344" t="str">
            <v>Unrealized</v>
          </cell>
          <cell r="E344" t="str">
            <v>Logistic Fund II</v>
          </cell>
          <cell r="F344" t="str">
            <v>USD</v>
          </cell>
          <cell r="G344" t="str">
            <v>Last Mile</v>
          </cell>
          <cell r="H344" t="str">
            <v>Northern NJ/New York</v>
          </cell>
          <cell r="I344" t="str">
            <v>Moonachie</v>
          </cell>
          <cell r="J344" t="str">
            <v>NJ</v>
          </cell>
          <cell r="K344" t="str">
            <v>07074</v>
          </cell>
          <cell r="L344" t="str">
            <v>United States</v>
          </cell>
          <cell r="M344" t="str">
            <v>New York-Newark-Jersey City, NY-NJ-PA</v>
          </cell>
          <cell r="N344">
            <v>62000</v>
          </cell>
          <cell r="O344">
            <v>1</v>
          </cell>
          <cell r="P344" t="str">
            <v>Single Asset</v>
          </cell>
          <cell r="Q344" t="str">
            <v>Property - Private Equity</v>
          </cell>
          <cell r="R344" t="str">
            <v>Industrial</v>
          </cell>
          <cell r="S344" t="str">
            <v>Warehouse</v>
          </cell>
          <cell r="T344">
            <v>1970</v>
          </cell>
          <cell r="U344" t="str">
            <v>Sq. Feet</v>
          </cell>
          <cell r="V344" t="str">
            <v>Value-Add</v>
          </cell>
          <cell r="W344" t="str">
            <v>Industrial / Logistics</v>
          </cell>
          <cell r="X344" t="str">
            <v>Common Equity</v>
          </cell>
          <cell r="Y344">
            <v>1196796</v>
          </cell>
          <cell r="Z344">
            <v>1521709</v>
          </cell>
          <cell r="AA344">
            <v>19940974</v>
          </cell>
          <cell r="AB344">
            <v>6.0016927959486835E-2</v>
          </cell>
          <cell r="AC344">
            <v>868203.7</v>
          </cell>
          <cell r="AD344">
            <v>4.9051056497175137E-2</v>
          </cell>
          <cell r="AE344">
            <v>4.5999999999999999E-2</v>
          </cell>
          <cell r="AF344">
            <v>0.1406</v>
          </cell>
          <cell r="AG344">
            <v>1.95</v>
          </cell>
          <cell r="AH344">
            <v>0.10440000000000001</v>
          </cell>
          <cell r="AI344">
            <v>1.86</v>
          </cell>
          <cell r="AJ344">
            <v>0.10086138656900445</v>
          </cell>
          <cell r="AK344">
            <v>0.14012601943147063</v>
          </cell>
          <cell r="AL344">
            <v>1.8212626499636491</v>
          </cell>
          <cell r="AM344">
            <v>6.9381579195850085E-2</v>
          </cell>
          <cell r="AN344">
            <v>0.1037970456461188</v>
          </cell>
          <cell r="AO344">
            <v>1.589587692298486</v>
          </cell>
          <cell r="AP344" t="str">
            <v>Unsolicited \ Off-market</v>
          </cell>
          <cell r="AQ344" t="str">
            <v>Rent Optimization</v>
          </cell>
          <cell r="AR344" t="str">
            <v>Leasing Strategy</v>
          </cell>
          <cell r="AS344">
            <v>44635</v>
          </cell>
          <cell r="AT344">
            <v>17700000</v>
          </cell>
          <cell r="AU344">
            <v>18419265</v>
          </cell>
          <cell r="AV344">
            <v>775416</v>
          </cell>
          <cell r="AW344">
            <v>775341</v>
          </cell>
          <cell r="AX344">
            <v>4.3808813559322035E-2</v>
          </cell>
          <cell r="AY344">
            <v>4.3804576271186439E-2</v>
          </cell>
          <cell r="AZ344">
            <v>13.000000645161199</v>
          </cell>
          <cell r="BA344">
            <v>1</v>
          </cell>
          <cell r="BB344">
            <v>3.0465753424677402</v>
          </cell>
          <cell r="BC344">
            <v>1</v>
          </cell>
          <cell r="BD344">
            <v>0</v>
          </cell>
          <cell r="BE344">
            <v>0</v>
          </cell>
          <cell r="BF344">
            <v>629965.96</v>
          </cell>
          <cell r="BG344">
            <v>793456.17</v>
          </cell>
          <cell r="BH344">
            <v>793456.17</v>
          </cell>
          <cell r="BI344">
            <v>784915.08</v>
          </cell>
          <cell r="BJ344">
            <v>18424951.41</v>
          </cell>
        </row>
        <row r="345">
          <cell r="B345" t="str">
            <v>xtx2655</v>
          </cell>
          <cell r="C345" t="str">
            <v>2655 Freewood Drive</v>
          </cell>
          <cell r="D345" t="str">
            <v>Unrealized</v>
          </cell>
          <cell r="E345" t="str">
            <v>Logistic Fund II</v>
          </cell>
          <cell r="F345" t="str">
            <v>USD</v>
          </cell>
          <cell r="G345" t="str">
            <v>Last Mile</v>
          </cell>
          <cell r="H345" t="str">
            <v>Dallas</v>
          </cell>
          <cell r="I345" t="str">
            <v>Dallas</v>
          </cell>
          <cell r="J345" t="str">
            <v>TX</v>
          </cell>
          <cell r="K345">
            <v>75220</v>
          </cell>
          <cell r="L345" t="str">
            <v>United States</v>
          </cell>
          <cell r="M345" t="str">
            <v>Dallas-Fort Worth-Arlington, TX</v>
          </cell>
          <cell r="N345">
            <v>30840</v>
          </cell>
          <cell r="O345">
            <v>1</v>
          </cell>
          <cell r="P345" t="str">
            <v>Single Asset</v>
          </cell>
          <cell r="Q345" t="str">
            <v>Property - Private Equity</v>
          </cell>
          <cell r="R345" t="str">
            <v>Industrial</v>
          </cell>
          <cell r="S345" t="str">
            <v>Warehouse</v>
          </cell>
          <cell r="T345">
            <v>1961</v>
          </cell>
          <cell r="U345" t="str">
            <v>Sq. Feet</v>
          </cell>
          <cell r="V345" t="str">
            <v>Value-Add</v>
          </cell>
          <cell r="W345" t="str">
            <v>Industrial / Logistics</v>
          </cell>
          <cell r="X345" t="str">
            <v>Common Equity</v>
          </cell>
          <cell r="Y345">
            <v>204036</v>
          </cell>
          <cell r="Z345">
            <v>210571</v>
          </cell>
          <cell r="AA345">
            <v>2657693</v>
          </cell>
          <cell r="AB345">
            <v>7.6771846861168697E-2</v>
          </cell>
          <cell r="AC345">
            <v>169620</v>
          </cell>
          <cell r="AD345">
            <v>7.0090909090909093E-2</v>
          </cell>
          <cell r="AE345">
            <v>5.4000000000000006E-2</v>
          </cell>
          <cell r="AF345">
            <v>0.1951</v>
          </cell>
          <cell r="AG345">
            <v>2.37</v>
          </cell>
          <cell r="AH345">
            <v>0.1522</v>
          </cell>
          <cell r="AI345">
            <v>2.27</v>
          </cell>
          <cell r="AJ345">
            <v>0.13308220343353394</v>
          </cell>
          <cell r="AK345">
            <v>0.20097388252239501</v>
          </cell>
          <cell r="AL345">
            <v>2.2267343867839218</v>
          </cell>
          <cell r="AM345">
            <v>9.7111191653935114E-2</v>
          </cell>
          <cell r="AN345">
            <v>0.15719217982941691</v>
          </cell>
          <cell r="AO345">
            <v>1.9150092755248318</v>
          </cell>
          <cell r="AP345" t="str">
            <v>Soft marketed</v>
          </cell>
          <cell r="AQ345" t="str">
            <v>Rent Optimization</v>
          </cell>
          <cell r="AR345" t="str">
            <v>Leasing Strategy</v>
          </cell>
          <cell r="AS345">
            <v>44642</v>
          </cell>
          <cell r="AT345">
            <v>2420000</v>
          </cell>
          <cell r="AU345">
            <v>2447122</v>
          </cell>
          <cell r="AV345">
            <v>129216</v>
          </cell>
          <cell r="AW345">
            <v>131160</v>
          </cell>
          <cell r="AX345">
            <v>5.3395041322314048E-2</v>
          </cell>
          <cell r="AY345">
            <v>5.4198347107438018E-2</v>
          </cell>
          <cell r="AZ345">
            <v>4.1900000000000004</v>
          </cell>
          <cell r="BA345">
            <v>1</v>
          </cell>
          <cell r="BB345">
            <v>1.2739726027237299</v>
          </cell>
          <cell r="BC345">
            <v>1</v>
          </cell>
          <cell r="BD345">
            <v>0</v>
          </cell>
          <cell r="BE345">
            <v>0</v>
          </cell>
          <cell r="BF345">
            <v>87732.7</v>
          </cell>
          <cell r="BG345">
            <v>134202.76</v>
          </cell>
          <cell r="BH345">
            <v>134202.76</v>
          </cell>
          <cell r="BI345">
            <v>147359.81000000006</v>
          </cell>
          <cell r="BJ345">
            <v>2447122</v>
          </cell>
        </row>
        <row r="346">
          <cell r="B346" t="str">
            <v>xtnawg1</v>
          </cell>
          <cell r="C346" t="str">
            <v>4641 Burbank Road</v>
          </cell>
          <cell r="D346" t="str">
            <v>Realized</v>
          </cell>
          <cell r="E346" t="str">
            <v>Logistic Fund II</v>
          </cell>
          <cell r="F346" t="str">
            <v>USD</v>
          </cell>
          <cell r="G346" t="str">
            <v>Last Mile</v>
          </cell>
          <cell r="H346" t="str">
            <v>Memphis</v>
          </cell>
          <cell r="I346" t="str">
            <v>Memphis</v>
          </cell>
          <cell r="J346" t="str">
            <v>TN</v>
          </cell>
          <cell r="K346">
            <v>38118</v>
          </cell>
          <cell r="L346" t="str">
            <v>United States</v>
          </cell>
          <cell r="M346" t="str">
            <v>Memphis, TN-MS-AR</v>
          </cell>
          <cell r="N346">
            <v>287664</v>
          </cell>
          <cell r="O346">
            <v>1</v>
          </cell>
          <cell r="P346" t="str">
            <v>Portfolio</v>
          </cell>
          <cell r="Q346" t="str">
            <v>Property - Private Equity</v>
          </cell>
          <cell r="R346" t="str">
            <v>Industrial</v>
          </cell>
          <cell r="S346" t="str">
            <v>Warehouse</v>
          </cell>
          <cell r="T346">
            <v>1967</v>
          </cell>
          <cell r="U346" t="str">
            <v>Sq. Feet</v>
          </cell>
          <cell r="V346" t="str">
            <v>Value-Add</v>
          </cell>
          <cell r="W346" t="str">
            <v>Industrial / Logistics</v>
          </cell>
          <cell r="X346" t="str">
            <v>Common Equity</v>
          </cell>
          <cell r="Y346">
            <v>991908</v>
          </cell>
          <cell r="Z346">
            <v>1255768</v>
          </cell>
          <cell r="AA346">
            <v>14518178</v>
          </cell>
          <cell r="AB346">
            <v>6.832179630253879E-2</v>
          </cell>
          <cell r="AC346">
            <v>791076</v>
          </cell>
          <cell r="AD346">
            <v>6.0227771577933263E-2</v>
          </cell>
          <cell r="AE346">
            <v>0.05</v>
          </cell>
          <cell r="AF346">
            <v>0.16850000000000001</v>
          </cell>
          <cell r="AG346">
            <v>2.33</v>
          </cell>
          <cell r="AH346">
            <v>0.1303</v>
          </cell>
          <cell r="AI346">
            <v>2.23</v>
          </cell>
          <cell r="AJ346">
            <v>0.10050461658984666</v>
          </cell>
          <cell r="AK346">
            <v>0.14769573758304011</v>
          </cell>
          <cell r="AL346">
            <v>2.0761539341127278</v>
          </cell>
          <cell r="AM346">
            <v>7.2060782238658305E-2</v>
          </cell>
          <cell r="AN346">
            <v>0.1139610689655397</v>
          </cell>
          <cell r="AO346">
            <v>1.7906058088642844</v>
          </cell>
          <cell r="AP346" t="str">
            <v>Market deal</v>
          </cell>
          <cell r="AQ346" t="str">
            <v>Rent Optimization</v>
          </cell>
          <cell r="AR346" t="str">
            <v>Leasing Strategy</v>
          </cell>
          <cell r="AS346">
            <v>44529</v>
          </cell>
          <cell r="AT346">
            <v>13134738</v>
          </cell>
          <cell r="AU346">
            <v>13262410</v>
          </cell>
          <cell r="AV346">
            <v>719160</v>
          </cell>
          <cell r="AW346">
            <v>719162</v>
          </cell>
          <cell r="AX346">
            <v>5.4752519616302966E-2</v>
          </cell>
          <cell r="AY346">
            <v>5.4752671884281207E-2</v>
          </cell>
          <cell r="AZ346">
            <v>2.5</v>
          </cell>
          <cell r="BA346">
            <v>1</v>
          </cell>
          <cell r="BB346">
            <v>2.08767123287585</v>
          </cell>
          <cell r="BC346">
            <v>1</v>
          </cell>
          <cell r="BD346">
            <v>0</v>
          </cell>
          <cell r="BE346">
            <v>62127.43</v>
          </cell>
          <cell r="BF346">
            <v>697406.59</v>
          </cell>
          <cell r="BG346">
            <v>654722.41</v>
          </cell>
          <cell r="BH346">
            <v>654722.41</v>
          </cell>
          <cell r="BI346"/>
          <cell r="BJ346">
            <v>13262410</v>
          </cell>
        </row>
        <row r="347">
          <cell r="B347" t="str">
            <v>xga401wi</v>
          </cell>
          <cell r="C347" t="str">
            <v>401 Windsor Street SW</v>
          </cell>
          <cell r="D347" t="str">
            <v>Unrealized</v>
          </cell>
          <cell r="E347" t="str">
            <v>Logistic Fund II</v>
          </cell>
          <cell r="F347" t="str">
            <v>USD</v>
          </cell>
          <cell r="G347" t="str">
            <v>Last Mile</v>
          </cell>
          <cell r="H347" t="str">
            <v>Atlanta</v>
          </cell>
          <cell r="I347" t="str">
            <v>Atlanta</v>
          </cell>
          <cell r="J347" t="str">
            <v>GA</v>
          </cell>
          <cell r="K347">
            <v>30312</v>
          </cell>
          <cell r="L347" t="str">
            <v>United States</v>
          </cell>
          <cell r="M347" t="str">
            <v>Atlanta-Sandy Springs-Roswell, GA</v>
          </cell>
          <cell r="N347">
            <v>37500</v>
          </cell>
          <cell r="O347">
            <v>1</v>
          </cell>
          <cell r="P347" t="str">
            <v>Single Asset</v>
          </cell>
          <cell r="Q347" t="str">
            <v>Property - Private Equity</v>
          </cell>
          <cell r="R347" t="str">
            <v>Industrial</v>
          </cell>
          <cell r="S347" t="str">
            <v>Warehouse</v>
          </cell>
          <cell r="T347">
            <v>1991</v>
          </cell>
          <cell r="U347" t="str">
            <v>Sq. Feet</v>
          </cell>
          <cell r="V347" t="str">
            <v>Value-Add</v>
          </cell>
          <cell r="W347" t="str">
            <v>Industrial / Logistics</v>
          </cell>
          <cell r="X347" t="str">
            <v>Common Equity</v>
          </cell>
          <cell r="Y347">
            <v>540660</v>
          </cell>
          <cell r="Z347">
            <v>336858</v>
          </cell>
          <cell r="AA347">
            <v>7379533</v>
          </cell>
          <cell r="AB347">
            <v>7.3264798734554076E-2</v>
          </cell>
          <cell r="AC347">
            <v>450000</v>
          </cell>
          <cell r="AD347">
            <v>6.4285714285714279E-2</v>
          </cell>
          <cell r="AE347">
            <v>5.2499999999999998E-2</v>
          </cell>
          <cell r="AF347">
            <v>0.19550000000000001</v>
          </cell>
          <cell r="AG347">
            <v>2.3199999999999998</v>
          </cell>
          <cell r="AH347">
            <v>0.1522</v>
          </cell>
          <cell r="AI347">
            <v>2.2200000000000002</v>
          </cell>
          <cell r="AJ347">
            <v>0.12496886527159101</v>
          </cell>
          <cell r="AK347">
            <v>0.18707988060415182</v>
          </cell>
          <cell r="AL347">
            <v>2.1297078122491828</v>
          </cell>
          <cell r="AM347">
            <v>9.0097885833435587E-2</v>
          </cell>
          <cell r="AN347">
            <v>0.14482223043563258</v>
          </cell>
          <cell r="AO347">
            <v>1.8365596652953695</v>
          </cell>
          <cell r="AP347" t="str">
            <v>Unsolicited \ Off-market</v>
          </cell>
          <cell r="AQ347" t="str">
            <v>Rent Optimization</v>
          </cell>
          <cell r="AR347" t="str">
            <v>Leasing Strategy</v>
          </cell>
          <cell r="AS347">
            <v>44650</v>
          </cell>
          <cell r="AT347">
            <v>7000000</v>
          </cell>
          <cell r="AU347">
            <v>7042675</v>
          </cell>
          <cell r="AV347">
            <v>365628</v>
          </cell>
          <cell r="AW347">
            <v>365629</v>
          </cell>
          <cell r="AX347">
            <v>5.2232571428571427E-2</v>
          </cell>
          <cell r="AY347">
            <v>5.2232714285714285E-2</v>
          </cell>
          <cell r="AZ347">
            <v>9.75</v>
          </cell>
          <cell r="BA347">
            <v>1</v>
          </cell>
          <cell r="BB347">
            <v>4.6739726027466597</v>
          </cell>
          <cell r="BC347">
            <v>1</v>
          </cell>
          <cell r="BD347">
            <v>0</v>
          </cell>
          <cell r="BE347">
            <v>0</v>
          </cell>
          <cell r="BF347">
            <v>258611.87999999998</v>
          </cell>
          <cell r="BG347">
            <v>340517.35</v>
          </cell>
          <cell r="BH347">
            <v>340517.35</v>
          </cell>
          <cell r="BI347">
            <v>340120.35</v>
          </cell>
          <cell r="BJ347">
            <v>7149101.9500000002</v>
          </cell>
        </row>
        <row r="348">
          <cell r="B348" t="str">
            <v>xil1630b</v>
          </cell>
          <cell r="C348" t="str">
            <v>1630 Birchwood Avenue</v>
          </cell>
          <cell r="D348" t="str">
            <v>Unrealized</v>
          </cell>
          <cell r="E348" t="str">
            <v>Logistic Fund II</v>
          </cell>
          <cell r="F348" t="str">
            <v>USD</v>
          </cell>
          <cell r="G348" t="str">
            <v>Last Mile</v>
          </cell>
          <cell r="H348" t="str">
            <v>Chicago</v>
          </cell>
          <cell r="I348" t="str">
            <v>Des Plaines</v>
          </cell>
          <cell r="J348" t="str">
            <v>IL</v>
          </cell>
          <cell r="K348">
            <v>60018</v>
          </cell>
          <cell r="L348" t="str">
            <v>United States</v>
          </cell>
          <cell r="M348" t="str">
            <v>Chicago-Naperville-Elgin, IL-IN-WI</v>
          </cell>
          <cell r="N348">
            <v>40550</v>
          </cell>
          <cell r="O348">
            <v>1</v>
          </cell>
          <cell r="P348" t="str">
            <v>Portfolio</v>
          </cell>
          <cell r="Q348" t="str">
            <v>Property - Private Equity</v>
          </cell>
          <cell r="R348" t="str">
            <v>Industrial</v>
          </cell>
          <cell r="S348" t="str">
            <v>Warehouse</v>
          </cell>
          <cell r="T348">
            <v>1965</v>
          </cell>
          <cell r="U348" t="str">
            <v>Sq. Feet</v>
          </cell>
          <cell r="V348" t="str">
            <v>Value-Add</v>
          </cell>
          <cell r="W348" t="str">
            <v>Industrial / Logistics</v>
          </cell>
          <cell r="X348" t="str">
            <v>Common Equity</v>
          </cell>
          <cell r="Y348">
            <v>302616</v>
          </cell>
          <cell r="Z348">
            <v>53600</v>
          </cell>
          <cell r="AA348">
            <v>3908487</v>
          </cell>
          <cell r="AB348">
            <v>7.7425356666147291E-2</v>
          </cell>
          <cell r="AC348">
            <v>253437.5</v>
          </cell>
          <cell r="AD348">
            <v>6.8868885869565216E-2</v>
          </cell>
          <cell r="AE348">
            <v>5.7500000000000002E-2</v>
          </cell>
          <cell r="AF348">
            <v>0.22620000000000001</v>
          </cell>
          <cell r="AG348">
            <v>2.4500000000000002</v>
          </cell>
          <cell r="AH348">
            <v>0.17899999999999999</v>
          </cell>
          <cell r="AI348">
            <v>2.35</v>
          </cell>
          <cell r="AJ348">
            <v>0.13665651208992324</v>
          </cell>
          <cell r="AK348">
            <v>0.21417313610599642</v>
          </cell>
          <cell r="AL348">
            <v>2.2554418936918124</v>
          </cell>
          <cell r="AM348">
            <v>9.9848003903789451E-2</v>
          </cell>
          <cell r="AN348">
            <v>0.16823634371042351</v>
          </cell>
          <cell r="AO348">
            <v>1.935893569017253</v>
          </cell>
          <cell r="AP348" t="str">
            <v>Unsolicited \ Off-market</v>
          </cell>
          <cell r="AQ348" t="str">
            <v>Renewal / Re-tenant</v>
          </cell>
          <cell r="AR348" t="str">
            <v>Stabilised</v>
          </cell>
          <cell r="AS348">
            <v>44656</v>
          </cell>
          <cell r="AT348">
            <v>3680000</v>
          </cell>
          <cell r="AU348">
            <v>3854887</v>
          </cell>
          <cell r="AV348">
            <v>253428</v>
          </cell>
          <cell r="AW348">
            <v>254063</v>
          </cell>
          <cell r="AX348">
            <v>6.8866304347826091E-2</v>
          </cell>
          <cell r="AY348">
            <v>6.9038858695652169E-2</v>
          </cell>
          <cell r="AZ348">
            <v>6.2499995067817498</v>
          </cell>
          <cell r="BA348">
            <v>1</v>
          </cell>
          <cell r="BB348">
            <v>9.9945205479408106</v>
          </cell>
          <cell r="BC348">
            <v>1</v>
          </cell>
          <cell r="BD348">
            <v>0</v>
          </cell>
          <cell r="BE348">
            <v>0</v>
          </cell>
          <cell r="BF348">
            <v>176930.34</v>
          </cell>
          <cell r="BG348">
            <v>248647.74</v>
          </cell>
          <cell r="BH348">
            <v>248647.74</v>
          </cell>
          <cell r="BI348">
            <v>248314.38</v>
          </cell>
          <cell r="BJ348">
            <v>3854887</v>
          </cell>
        </row>
        <row r="349">
          <cell r="B349" t="str">
            <v>xil1600b</v>
          </cell>
          <cell r="C349" t="str">
            <v>1600 Birchwood Avenue</v>
          </cell>
          <cell r="D349" t="str">
            <v>Unrealized</v>
          </cell>
          <cell r="E349" t="str">
            <v>Logistic Fund II</v>
          </cell>
          <cell r="F349" t="str">
            <v>USD</v>
          </cell>
          <cell r="G349" t="str">
            <v>Last Mile</v>
          </cell>
          <cell r="H349" t="str">
            <v>Chicago</v>
          </cell>
          <cell r="I349" t="str">
            <v>Des Plaines</v>
          </cell>
          <cell r="J349" t="str">
            <v>IL</v>
          </cell>
          <cell r="K349">
            <v>60018</v>
          </cell>
          <cell r="L349" t="str">
            <v>United States</v>
          </cell>
          <cell r="M349" t="str">
            <v>Chicago-Naperville-Elgin, IL-IN-WI</v>
          </cell>
          <cell r="N349">
            <v>64216</v>
          </cell>
          <cell r="O349">
            <v>1</v>
          </cell>
          <cell r="P349" t="str">
            <v>Portfolio</v>
          </cell>
          <cell r="Q349" t="str">
            <v>Property - Private Equity</v>
          </cell>
          <cell r="R349" t="str">
            <v>Industrial</v>
          </cell>
          <cell r="S349" t="str">
            <v>Warehouse</v>
          </cell>
          <cell r="T349">
            <v>1961</v>
          </cell>
          <cell r="U349" t="str">
            <v>Sq. Feet</v>
          </cell>
          <cell r="V349" t="str">
            <v>Value-Add</v>
          </cell>
          <cell r="W349" t="str">
            <v>Industrial / Logistics</v>
          </cell>
          <cell r="X349" t="str">
            <v>Common Equity</v>
          </cell>
          <cell r="Y349">
            <v>479232</v>
          </cell>
          <cell r="Z349">
            <v>123140</v>
          </cell>
          <cell r="AA349">
            <v>5905470</v>
          </cell>
          <cell r="AB349">
            <v>8.115052654572795E-2</v>
          </cell>
          <cell r="AC349">
            <v>401350</v>
          </cell>
          <cell r="AD349">
            <v>7.2708333333333333E-2</v>
          </cell>
          <cell r="AE349">
            <v>5.7500000000000002E-2</v>
          </cell>
          <cell r="AF349">
            <v>0.22620000000000001</v>
          </cell>
          <cell r="AG349">
            <v>2.4500000000000002</v>
          </cell>
          <cell r="AH349">
            <v>0.17899999999999999</v>
          </cell>
          <cell r="AI349">
            <v>2.35</v>
          </cell>
          <cell r="AJ349">
            <v>0.15004372451039849</v>
          </cell>
          <cell r="AK349">
            <v>0.2391718501357567</v>
          </cell>
          <cell r="AL349">
            <v>2.4378870584250083</v>
          </cell>
          <cell r="AM349">
            <v>0.11154037264738736</v>
          </cell>
          <cell r="AN349">
            <v>0.19068466152991559</v>
          </cell>
          <cell r="AO349">
            <v>2.0820438865373285</v>
          </cell>
          <cell r="AP349" t="str">
            <v>Unsolicited \ Off-market</v>
          </cell>
          <cell r="AQ349" t="str">
            <v>Renewal / Re-tenant</v>
          </cell>
          <cell r="AR349" t="str">
            <v>Stabilised</v>
          </cell>
          <cell r="AS349">
            <v>44656</v>
          </cell>
          <cell r="AT349">
            <v>5520000</v>
          </cell>
          <cell r="AU349">
            <v>5782330</v>
          </cell>
          <cell r="AV349">
            <v>401352</v>
          </cell>
          <cell r="AW349">
            <v>402355</v>
          </cell>
          <cell r="AX349">
            <v>7.2708695652173916E-2</v>
          </cell>
          <cell r="AY349">
            <v>7.2890398550724642E-2</v>
          </cell>
          <cell r="AZ349">
            <v>6.2499993771022799</v>
          </cell>
          <cell r="BA349">
            <v>1</v>
          </cell>
          <cell r="BB349">
            <v>9.9945205479475501</v>
          </cell>
          <cell r="BC349">
            <v>1</v>
          </cell>
          <cell r="BD349">
            <v>0</v>
          </cell>
          <cell r="BE349">
            <v>0</v>
          </cell>
          <cell r="BF349">
            <v>302288.99</v>
          </cell>
          <cell r="BG349">
            <v>399320.62999999995</v>
          </cell>
          <cell r="BH349">
            <v>399320.62999999995</v>
          </cell>
          <cell r="BI349">
            <v>398571.33</v>
          </cell>
          <cell r="BJ349">
            <v>5782330</v>
          </cell>
        </row>
        <row r="350">
          <cell r="B350" t="str">
            <v>xtn3961o</v>
          </cell>
          <cell r="C350" t="str">
            <v>3961 Outland Drive</v>
          </cell>
          <cell r="D350" t="str">
            <v>Unrealized</v>
          </cell>
          <cell r="E350" t="str">
            <v>Logistic Fund II</v>
          </cell>
          <cell r="F350" t="str">
            <v>USD</v>
          </cell>
          <cell r="G350" t="str">
            <v>Last Mile</v>
          </cell>
          <cell r="H350" t="str">
            <v>Memphis</v>
          </cell>
          <cell r="I350" t="str">
            <v>Memphis</v>
          </cell>
          <cell r="J350" t="str">
            <v>TN</v>
          </cell>
          <cell r="K350">
            <v>38118</v>
          </cell>
          <cell r="L350" t="str">
            <v>United States</v>
          </cell>
          <cell r="M350" t="str">
            <v>Memphis, TN-MS-AR</v>
          </cell>
          <cell r="N350">
            <v>74906</v>
          </cell>
          <cell r="O350">
            <v>1</v>
          </cell>
          <cell r="P350" t="str">
            <v>Single Asset</v>
          </cell>
          <cell r="Q350" t="str">
            <v>Property - Private Equity</v>
          </cell>
          <cell r="R350" t="str">
            <v>Industrial</v>
          </cell>
          <cell r="S350" t="str">
            <v>Warehouse</v>
          </cell>
          <cell r="T350">
            <v>1978</v>
          </cell>
          <cell r="U350" t="str">
            <v>Sq. Feet</v>
          </cell>
          <cell r="V350" t="str">
            <v>Value-Add</v>
          </cell>
          <cell r="W350" t="str">
            <v>Industrial / Logistics</v>
          </cell>
          <cell r="X350" t="str">
            <v>Common Equity</v>
          </cell>
          <cell r="Y350">
            <v>397092</v>
          </cell>
          <cell r="Z350">
            <v>601483</v>
          </cell>
          <cell r="AA350">
            <v>5439879</v>
          </cell>
          <cell r="AB350">
            <v>7.2996476576041483E-2</v>
          </cell>
          <cell r="AC350">
            <v>314529.59999999998</v>
          </cell>
          <cell r="AD350">
            <v>6.5889391654097532E-2</v>
          </cell>
          <cell r="AE350">
            <v>5.5E-2</v>
          </cell>
          <cell r="AF350">
            <v>0.18110000000000001</v>
          </cell>
          <cell r="AG350">
            <v>2.33</v>
          </cell>
          <cell r="AH350">
            <v>0.14149999999999999</v>
          </cell>
          <cell r="AI350">
            <v>2.2400000000000002</v>
          </cell>
          <cell r="AJ350">
            <v>0.11749404290865262</v>
          </cell>
          <cell r="AK350">
            <v>0.17234776192704482</v>
          </cell>
          <cell r="AL350">
            <v>2.0203184070277738</v>
          </cell>
          <cell r="AM350">
            <v>8.3853786322615198E-2</v>
          </cell>
          <cell r="AN350">
            <v>0.13232772659343683</v>
          </cell>
          <cell r="AO350">
            <v>1.7503222583239624</v>
          </cell>
          <cell r="AP350" t="str">
            <v>Soft marketed</v>
          </cell>
          <cell r="AQ350" t="str">
            <v>Rent Optimization</v>
          </cell>
          <cell r="AR350" t="str">
            <v>Leasing Strategy</v>
          </cell>
          <cell r="AS350">
            <v>44652</v>
          </cell>
          <cell r="AT350">
            <v>4773600</v>
          </cell>
          <cell r="AU350">
            <v>4838396</v>
          </cell>
          <cell r="AV350">
            <v>280836</v>
          </cell>
          <cell r="AW350">
            <v>108366</v>
          </cell>
          <cell r="AX350">
            <v>5.8831070889894421E-2</v>
          </cell>
          <cell r="AY350">
            <v>2.2701106083459023E-2</v>
          </cell>
          <cell r="AZ350">
            <v>3.7500008010039201</v>
          </cell>
          <cell r="BA350">
            <v>1</v>
          </cell>
          <cell r="BB350">
            <v>0.49863013698502101</v>
          </cell>
          <cell r="BC350">
            <v>1</v>
          </cell>
          <cell r="BD350">
            <v>0</v>
          </cell>
          <cell r="BE350">
            <v>0</v>
          </cell>
          <cell r="BF350">
            <v>132802.93</v>
          </cell>
          <cell r="BG350">
            <v>267805.3</v>
          </cell>
          <cell r="BH350">
            <v>267805.3</v>
          </cell>
          <cell r="BI350">
            <v>341377.20999999996</v>
          </cell>
          <cell r="BJ350">
            <v>4962678.83</v>
          </cell>
        </row>
        <row r="351">
          <cell r="B351" t="str">
            <v>xil1200p</v>
          </cell>
          <cell r="C351" t="str">
            <v>1200 Pratt Boulevard</v>
          </cell>
          <cell r="D351" t="str">
            <v>Unrealized</v>
          </cell>
          <cell r="E351" t="str">
            <v>Logistic Fund II</v>
          </cell>
          <cell r="F351" t="str">
            <v>USD</v>
          </cell>
          <cell r="G351" t="str">
            <v>Last Mile</v>
          </cell>
          <cell r="H351" t="str">
            <v>Chicago</v>
          </cell>
          <cell r="I351" t="str">
            <v>Elk Grove Village</v>
          </cell>
          <cell r="J351" t="str">
            <v>IL</v>
          </cell>
          <cell r="K351">
            <v>60007</v>
          </cell>
          <cell r="L351" t="str">
            <v>United States</v>
          </cell>
          <cell r="M351" t="str">
            <v>Chicago-Naperville-Elgin, IL-IN-WI</v>
          </cell>
          <cell r="N351">
            <v>32000</v>
          </cell>
          <cell r="O351">
            <v>1</v>
          </cell>
          <cell r="P351" t="str">
            <v>Single Asset</v>
          </cell>
          <cell r="Q351" t="str">
            <v>Property - Private Equity</v>
          </cell>
          <cell r="R351" t="str">
            <v>Industrial</v>
          </cell>
          <cell r="S351" t="str">
            <v>Warehouse</v>
          </cell>
          <cell r="T351">
            <v>1983</v>
          </cell>
          <cell r="U351" t="str">
            <v>Sq. Feet</v>
          </cell>
          <cell r="V351" t="str">
            <v>Value-Add</v>
          </cell>
          <cell r="W351" t="str">
            <v>Industrial / Logistics</v>
          </cell>
          <cell r="X351" t="str">
            <v>Common Equity</v>
          </cell>
          <cell r="Y351">
            <v>230988</v>
          </cell>
          <cell r="Z351">
            <v>213431</v>
          </cell>
          <cell r="AA351">
            <v>3101884</v>
          </cell>
          <cell r="AB351">
            <v>7.4467001344989042E-2</v>
          </cell>
          <cell r="AC351">
            <v>192000</v>
          </cell>
          <cell r="AD351">
            <v>6.8571428571428575E-2</v>
          </cell>
          <cell r="AE351">
            <v>5.7500000000000002E-2</v>
          </cell>
          <cell r="AF351">
            <v>0.20230000000000001</v>
          </cell>
          <cell r="AG351">
            <v>2.1800000000000002</v>
          </cell>
          <cell r="AH351">
            <v>0.1575</v>
          </cell>
          <cell r="AI351">
            <v>2.09</v>
          </cell>
          <cell r="AJ351">
            <v>0.13113425242965704</v>
          </cell>
          <cell r="AK351">
            <v>0.20608970398560178</v>
          </cell>
          <cell r="AL351">
            <v>2.1049654453192796</v>
          </cell>
          <cell r="AM351">
            <v>9.4824015764233494E-2</v>
          </cell>
          <cell r="AN351">
            <v>0.16060452993153795</v>
          </cell>
          <cell r="AO351">
            <v>1.818357869206519</v>
          </cell>
          <cell r="AP351" t="str">
            <v>Unsolicited \ Off-market</v>
          </cell>
          <cell r="AQ351" t="str">
            <v>Renewal / Re-tenant</v>
          </cell>
          <cell r="AR351" t="str">
            <v>Leasing Strategy</v>
          </cell>
          <cell r="AS351">
            <v>44663</v>
          </cell>
          <cell r="AT351">
            <v>2800000</v>
          </cell>
          <cell r="AU351">
            <v>2888453</v>
          </cell>
          <cell r="AV351">
            <v>208644</v>
          </cell>
          <cell r="AW351">
            <v>212291</v>
          </cell>
          <cell r="AX351">
            <v>7.4515714285714282E-2</v>
          </cell>
          <cell r="AY351">
            <v>7.581821428571428E-2</v>
          </cell>
          <cell r="AZ351">
            <v>6.52091625</v>
          </cell>
          <cell r="BA351">
            <v>1</v>
          </cell>
          <cell r="BB351">
            <v>4.4712328767187497</v>
          </cell>
          <cell r="BC351">
            <v>1</v>
          </cell>
          <cell r="BD351">
            <v>0</v>
          </cell>
          <cell r="BE351">
            <v>0</v>
          </cell>
          <cell r="BF351">
            <v>130412.74</v>
          </cell>
          <cell r="BG351">
            <v>192276.51</v>
          </cell>
          <cell r="BH351">
            <v>192276.51</v>
          </cell>
          <cell r="BI351">
            <v>197112.47999999998</v>
          </cell>
          <cell r="BJ351">
            <v>2911873</v>
          </cell>
        </row>
        <row r="352">
          <cell r="B352" t="str">
            <v>xga9335i</v>
          </cell>
          <cell r="C352" t="str">
            <v>9335 Industrial Trace</v>
          </cell>
          <cell r="D352" t="str">
            <v>Unrealized</v>
          </cell>
          <cell r="E352" t="str">
            <v>Logistic Fund II</v>
          </cell>
          <cell r="F352" t="str">
            <v>USD</v>
          </cell>
          <cell r="G352" t="str">
            <v>Last Mile</v>
          </cell>
          <cell r="H352" t="str">
            <v>Atlanta</v>
          </cell>
          <cell r="I352" t="str">
            <v>Atlanta</v>
          </cell>
          <cell r="J352" t="str">
            <v>GA</v>
          </cell>
          <cell r="K352">
            <v>30004</v>
          </cell>
          <cell r="L352" t="str">
            <v>United States</v>
          </cell>
          <cell r="M352" t="str">
            <v>Atlanta-Sandy Springs-Roswell, GA</v>
          </cell>
          <cell r="N352">
            <v>20080</v>
          </cell>
          <cell r="O352">
            <v>1</v>
          </cell>
          <cell r="P352" t="str">
            <v>Single Asset</v>
          </cell>
          <cell r="Q352" t="str">
            <v>Property - Private Equity</v>
          </cell>
          <cell r="R352" t="str">
            <v>Industrial</v>
          </cell>
          <cell r="S352" t="str">
            <v>Warehouse</v>
          </cell>
          <cell r="T352">
            <v>1988</v>
          </cell>
          <cell r="U352" t="str">
            <v>Sq. Feet</v>
          </cell>
          <cell r="V352" t="str">
            <v>Value-Add</v>
          </cell>
          <cell r="W352" t="str">
            <v>Industrial / Logistics</v>
          </cell>
          <cell r="X352" t="str">
            <v>Common Equity</v>
          </cell>
          <cell r="Y352">
            <v>233004</v>
          </cell>
          <cell r="Z352">
            <v>231917</v>
          </cell>
          <cell r="AA352">
            <v>3567541</v>
          </cell>
          <cell r="AB352">
            <v>6.5312213650803169E-2</v>
          </cell>
          <cell r="AC352">
            <v>180180</v>
          </cell>
          <cell r="AD352">
            <v>5.4600000000000003E-2</v>
          </cell>
          <cell r="AE352">
            <v>5.2499999999999998E-2</v>
          </cell>
          <cell r="AF352">
            <v>0.15870000000000001</v>
          </cell>
          <cell r="AG352">
            <v>1.95</v>
          </cell>
          <cell r="AH352">
            <v>0.1195</v>
          </cell>
          <cell r="AI352">
            <v>1.86</v>
          </cell>
          <cell r="AJ352">
            <v>0.10523649297750914</v>
          </cell>
          <cell r="AK352">
            <v>0.15242713546664577</v>
          </cell>
          <cell r="AL352">
            <v>1.8228547241187589</v>
          </cell>
          <cell r="AM352">
            <v>7.2937438378070318E-2</v>
          </cell>
          <cell r="AN352">
            <v>0.11398477265386764</v>
          </cell>
          <cell r="AO352">
            <v>1.5928599548751838</v>
          </cell>
          <cell r="AP352" t="str">
            <v>Unsolicited \ Off-market</v>
          </cell>
          <cell r="AQ352" t="str">
            <v>Renewal / Re-tenant</v>
          </cell>
          <cell r="AR352" t="str">
            <v>Stabilised</v>
          </cell>
          <cell r="AS352">
            <v>44669</v>
          </cell>
          <cell r="AT352">
            <v>3300000</v>
          </cell>
          <cell r="AU352">
            <v>3335624</v>
          </cell>
          <cell r="AV352">
            <v>180192</v>
          </cell>
          <cell r="AW352">
            <v>180641</v>
          </cell>
          <cell r="AX352">
            <v>5.4603636363636361E-2</v>
          </cell>
          <cell r="AY352">
            <v>5.4739696969696973E-2</v>
          </cell>
          <cell r="AZ352">
            <v>9</v>
          </cell>
          <cell r="BA352">
            <v>1</v>
          </cell>
          <cell r="BB352">
            <v>3.0356164383466102</v>
          </cell>
          <cell r="BC352">
            <v>1</v>
          </cell>
          <cell r="BD352">
            <v>0</v>
          </cell>
          <cell r="BE352">
            <v>0</v>
          </cell>
          <cell r="BF352">
            <v>128225.69</v>
          </cell>
          <cell r="BG352">
            <v>133287.01</v>
          </cell>
          <cell r="BH352">
            <v>133287.01</v>
          </cell>
          <cell r="BI352">
            <v>120443.46999999997</v>
          </cell>
          <cell r="BJ352">
            <v>3335624</v>
          </cell>
        </row>
        <row r="353">
          <cell r="B353" t="str">
            <v>xil141be</v>
          </cell>
          <cell r="C353" t="str">
            <v>141-145 Bernice</v>
          </cell>
          <cell r="D353" t="str">
            <v>Unrealized</v>
          </cell>
          <cell r="E353" t="str">
            <v>Logistic Fund II</v>
          </cell>
          <cell r="F353" t="str">
            <v>USD</v>
          </cell>
          <cell r="G353" t="str">
            <v>Last Mile</v>
          </cell>
          <cell r="H353" t="str">
            <v>Chicago</v>
          </cell>
          <cell r="I353" t="str">
            <v>Bensenville</v>
          </cell>
          <cell r="J353" t="str">
            <v>IL</v>
          </cell>
          <cell r="K353">
            <v>60106</v>
          </cell>
          <cell r="L353" t="str">
            <v>United States</v>
          </cell>
          <cell r="M353" t="str">
            <v>Chicago-Naperville-Elgin, IL-IN-WI</v>
          </cell>
          <cell r="N353">
            <v>11700</v>
          </cell>
          <cell r="O353">
            <v>1</v>
          </cell>
          <cell r="P353" t="str">
            <v>Portfolio</v>
          </cell>
          <cell r="Q353" t="str">
            <v>Property - Private Equity</v>
          </cell>
          <cell r="R353" t="str">
            <v>Industrial</v>
          </cell>
          <cell r="S353" t="str">
            <v>Warehouse</v>
          </cell>
          <cell r="T353">
            <v>1982</v>
          </cell>
          <cell r="U353" t="str">
            <v>Sq. Feet</v>
          </cell>
          <cell r="V353" t="str">
            <v>Value-Add</v>
          </cell>
          <cell r="W353" t="str">
            <v>Industrial / Logistics</v>
          </cell>
          <cell r="X353" t="str">
            <v>Common Equity</v>
          </cell>
          <cell r="Y353">
            <v>120084</v>
          </cell>
          <cell r="Z353">
            <v>171185</v>
          </cell>
          <cell r="AA353">
            <v>1377150</v>
          </cell>
          <cell r="AB353">
            <v>8.7197473042152265E-2</v>
          </cell>
          <cell r="AC353">
            <v>93600</v>
          </cell>
          <cell r="AD353">
            <v>7.9985711954018476E-2</v>
          </cell>
          <cell r="AE353">
            <v>5.7500000000000002E-2</v>
          </cell>
          <cell r="AF353">
            <v>0.2215</v>
          </cell>
          <cell r="AG353">
            <v>2.71</v>
          </cell>
          <cell r="AH353">
            <v>0.17710000000000001</v>
          </cell>
          <cell r="AI353">
            <v>2.62</v>
          </cell>
          <cell r="AJ353">
            <v>0.15754838497146029</v>
          </cell>
          <cell r="AK353">
            <v>0.24785948762226462</v>
          </cell>
          <cell r="AL353">
            <v>2.5046078111859003</v>
          </cell>
          <cell r="AM353">
            <v>0.11861389466746419</v>
          </cell>
          <cell r="AN353">
            <v>0.1992606466668605</v>
          </cell>
          <cell r="AO353">
            <v>2.1401746226448437</v>
          </cell>
          <cell r="AP353" t="str">
            <v>Unsolicited \ Off-market</v>
          </cell>
          <cell r="AQ353" t="str">
            <v>Rent Optimization</v>
          </cell>
          <cell r="AR353" t="str">
            <v>Leasing Strategy</v>
          </cell>
          <cell r="AS353">
            <v>44676</v>
          </cell>
          <cell r="AT353">
            <v>1170209</v>
          </cell>
          <cell r="AU353">
            <v>1205965</v>
          </cell>
          <cell r="AV353">
            <v>78000</v>
          </cell>
          <cell r="AW353">
            <v>77940</v>
          </cell>
          <cell r="AX353">
            <v>6.6654759961682061E-2</v>
          </cell>
          <cell r="AY353">
            <v>6.6603487069403847E-2</v>
          </cell>
          <cell r="AZ353">
            <v>8.6583794871794808</v>
          </cell>
          <cell r="BA353">
            <v>1</v>
          </cell>
          <cell r="BB353">
            <v>2.2458904109401701</v>
          </cell>
          <cell r="BC353">
            <v>1</v>
          </cell>
          <cell r="BD353">
            <v>0</v>
          </cell>
          <cell r="BE353">
            <v>0</v>
          </cell>
          <cell r="BF353">
            <v>40495.020000000004</v>
          </cell>
          <cell r="BG353">
            <v>89427.050000000017</v>
          </cell>
          <cell r="BH353">
            <v>89427.050000000017</v>
          </cell>
          <cell r="BI353">
            <v>78849.080000000016</v>
          </cell>
          <cell r="BJ353">
            <v>1210664.76</v>
          </cell>
        </row>
        <row r="354">
          <cell r="B354" t="str">
            <v>xil201ja</v>
          </cell>
          <cell r="C354" t="str">
            <v>201 James Street</v>
          </cell>
          <cell r="D354" t="str">
            <v>Unrealized</v>
          </cell>
          <cell r="E354" t="str">
            <v>Logistic Fund II</v>
          </cell>
          <cell r="F354" t="str">
            <v>USD</v>
          </cell>
          <cell r="G354" t="str">
            <v>Last Mile</v>
          </cell>
          <cell r="H354" t="str">
            <v>Chicago</v>
          </cell>
          <cell r="I354" t="str">
            <v>Bensenville</v>
          </cell>
          <cell r="J354" t="str">
            <v>IL</v>
          </cell>
          <cell r="K354">
            <v>60106</v>
          </cell>
          <cell r="L354" t="str">
            <v>United States</v>
          </cell>
          <cell r="M354" t="str">
            <v>Chicago-Naperville-Elgin, IL-IN-WI</v>
          </cell>
          <cell r="N354">
            <v>21987</v>
          </cell>
          <cell r="O354">
            <v>1</v>
          </cell>
          <cell r="P354" t="str">
            <v>Portfolio</v>
          </cell>
          <cell r="Q354" t="str">
            <v>Property - Private Equity</v>
          </cell>
          <cell r="R354" t="str">
            <v>Industrial</v>
          </cell>
          <cell r="S354" t="str">
            <v>Warehouse</v>
          </cell>
          <cell r="T354">
            <v>1982</v>
          </cell>
          <cell r="U354" t="str">
            <v>Sq. Feet</v>
          </cell>
          <cell r="V354" t="str">
            <v>Value-Add</v>
          </cell>
          <cell r="W354" t="str">
            <v>Industrial / Logistics</v>
          </cell>
          <cell r="X354" t="str">
            <v>Common Equity</v>
          </cell>
          <cell r="Y354">
            <v>221196</v>
          </cell>
          <cell r="Z354">
            <v>310901</v>
          </cell>
          <cell r="AA354">
            <v>2576309</v>
          </cell>
          <cell r="AB354">
            <v>8.5857713496323623E-2</v>
          </cell>
          <cell r="AC354">
            <v>175896</v>
          </cell>
          <cell r="AD354">
            <v>7.9985739568876613E-2</v>
          </cell>
          <cell r="AE354">
            <v>5.7500000000000002E-2</v>
          </cell>
          <cell r="AF354">
            <v>0.2215</v>
          </cell>
          <cell r="AG354">
            <v>2.71</v>
          </cell>
          <cell r="AH354">
            <v>0.17710000000000001</v>
          </cell>
          <cell r="AI354">
            <v>2.62</v>
          </cell>
          <cell r="AJ354">
            <v>0.14636286344821392</v>
          </cell>
          <cell r="AK354">
            <v>0.22515533801568854</v>
          </cell>
          <cell r="AL354">
            <v>2.4185196096865864</v>
          </cell>
          <cell r="AM354">
            <v>0.10898882832877876</v>
          </cell>
          <cell r="AN354">
            <v>0.17898224533434504</v>
          </cell>
          <cell r="AO354">
            <v>2.0699736321583986</v>
          </cell>
          <cell r="AP354" t="str">
            <v>Unsolicited \ Off-market</v>
          </cell>
          <cell r="AQ354" t="str">
            <v>Rent Optimization</v>
          </cell>
          <cell r="AR354" t="str">
            <v>Leasing Strategy</v>
          </cell>
          <cell r="AS354">
            <v>44676</v>
          </cell>
          <cell r="AT354">
            <v>2199092</v>
          </cell>
          <cell r="AU354">
            <v>2265408</v>
          </cell>
          <cell r="AV354">
            <v>133920</v>
          </cell>
          <cell r="AW354">
            <v>136355</v>
          </cell>
          <cell r="AX354">
            <v>6.0897861481011256E-2</v>
          </cell>
          <cell r="AY354">
            <v>6.2005136665496487E-2</v>
          </cell>
          <cell r="AZ354">
            <v>8.3884404420794105</v>
          </cell>
          <cell r="BA354">
            <v>1</v>
          </cell>
          <cell r="BB354">
            <v>1.6287654411243</v>
          </cell>
          <cell r="BC354">
            <v>1</v>
          </cell>
          <cell r="BD354">
            <v>0</v>
          </cell>
          <cell r="BE354">
            <v>0</v>
          </cell>
          <cell r="BF354">
            <v>98992.859999999986</v>
          </cell>
          <cell r="BG354">
            <v>146377.79999999999</v>
          </cell>
          <cell r="BH354">
            <v>146377.79999999999</v>
          </cell>
          <cell r="BI354">
            <v>160065.04000000004</v>
          </cell>
          <cell r="BJ354">
            <v>2293744.8199999998</v>
          </cell>
        </row>
        <row r="355">
          <cell r="B355" t="str">
            <v>xtxdrysd</v>
          </cell>
          <cell r="C355" t="str">
            <v>9820 Drysdale Lane</v>
          </cell>
          <cell r="D355" t="str">
            <v>Realized</v>
          </cell>
          <cell r="E355" t="str">
            <v>Logistic Fund II</v>
          </cell>
          <cell r="F355" t="str">
            <v>USD</v>
          </cell>
          <cell r="G355" t="str">
            <v>Last Mile</v>
          </cell>
          <cell r="H355" t="str">
            <v>Houston</v>
          </cell>
          <cell r="I355" t="str">
            <v>Houston</v>
          </cell>
          <cell r="J355" t="str">
            <v>TX</v>
          </cell>
          <cell r="K355">
            <v>77041</v>
          </cell>
          <cell r="L355" t="str">
            <v>United States</v>
          </cell>
          <cell r="M355" t="str">
            <v>Houston-The Woodlands-Sugar Land, TX</v>
          </cell>
          <cell r="N355">
            <v>26448</v>
          </cell>
          <cell r="O355">
            <v>1</v>
          </cell>
          <cell r="P355" t="str">
            <v>Single Asset</v>
          </cell>
          <cell r="Q355" t="str">
            <v>Property - Private Equity</v>
          </cell>
          <cell r="R355" t="str">
            <v>Industrial</v>
          </cell>
          <cell r="S355" t="str">
            <v>Warehouse</v>
          </cell>
          <cell r="T355">
            <v>1980</v>
          </cell>
          <cell r="U355" t="str">
            <v>Sq. Feet</v>
          </cell>
          <cell r="V355" t="str">
            <v>Value-Add</v>
          </cell>
          <cell r="W355" t="str">
            <v>Industrial / Logistics</v>
          </cell>
          <cell r="X355" t="str">
            <v>Common Equity</v>
          </cell>
          <cell r="Y355">
            <v>246984</v>
          </cell>
          <cell r="Z355">
            <v>467149</v>
          </cell>
          <cell r="AA355">
            <v>2892835</v>
          </cell>
          <cell r="AB355">
            <v>8.537783869456779E-2</v>
          </cell>
          <cell r="AC355">
            <v>206294.39999999999</v>
          </cell>
          <cell r="AD355">
            <v>8.5706024096385544E-2</v>
          </cell>
          <cell r="AE355">
            <v>0.06</v>
          </cell>
          <cell r="AF355">
            <v>0.1817</v>
          </cell>
          <cell r="AG355">
            <v>2.8</v>
          </cell>
          <cell r="AH355">
            <v>0.1452</v>
          </cell>
          <cell r="AI355">
            <v>2.7</v>
          </cell>
          <cell r="AJ355">
            <v>0.12066316300474433</v>
          </cell>
          <cell r="AK355">
            <v>0.18163878117720422</v>
          </cell>
          <cell r="AL355">
            <v>2.389216572654528</v>
          </cell>
          <cell r="AM355">
            <v>8.8488993668875748E-2</v>
          </cell>
          <cell r="AN355">
            <v>0.14357245470817381</v>
          </cell>
          <cell r="AO355">
            <v>2.0352462286511122</v>
          </cell>
          <cell r="AP355" t="str">
            <v>Unsolicited \ Off-market</v>
          </cell>
          <cell r="AQ355" t="str">
            <v>Lease-up</v>
          </cell>
          <cell r="AR355" t="str">
            <v>Leasing Strategy</v>
          </cell>
          <cell r="AS355">
            <v>44327</v>
          </cell>
          <cell r="AT355">
            <v>2407000</v>
          </cell>
          <cell r="AU355">
            <v>2425686</v>
          </cell>
          <cell r="AV355">
            <v>-42168</v>
          </cell>
          <cell r="AW355">
            <v>21496</v>
          </cell>
          <cell r="AX355">
            <v>-1.7518903199002907E-2</v>
          </cell>
          <cell r="AY355">
            <v>8.9306190278354795E-3</v>
          </cell>
          <cell r="AZ355">
            <v>0</v>
          </cell>
          <cell r="BA355">
            <v>0</v>
          </cell>
          <cell r="BB355">
            <v>0</v>
          </cell>
          <cell r="BC355">
            <v>1</v>
          </cell>
          <cell r="BD355">
            <v>0</v>
          </cell>
          <cell r="BE355">
            <v>-15977.24</v>
          </cell>
          <cell r="BF355">
            <v>139357.69000000003</v>
          </cell>
          <cell r="BG355">
            <v>-86266.65</v>
          </cell>
          <cell r="BH355">
            <v>-86266.65</v>
          </cell>
          <cell r="BI355"/>
          <cell r="BJ355">
            <v>2594974.5699999998</v>
          </cell>
        </row>
        <row r="356">
          <cell r="B356" t="str">
            <v>xil231ja</v>
          </cell>
          <cell r="C356" t="str">
            <v>231 James Street</v>
          </cell>
          <cell r="D356" t="str">
            <v>Unrealized</v>
          </cell>
          <cell r="E356" t="str">
            <v>Logistic Fund II</v>
          </cell>
          <cell r="F356" t="str">
            <v>USD</v>
          </cell>
          <cell r="G356" t="str">
            <v>Last Mile</v>
          </cell>
          <cell r="H356" t="str">
            <v>Chicago</v>
          </cell>
          <cell r="I356" t="str">
            <v>Bensenville</v>
          </cell>
          <cell r="J356" t="str">
            <v>IL</v>
          </cell>
          <cell r="K356">
            <v>60106</v>
          </cell>
          <cell r="L356" t="str">
            <v>United States</v>
          </cell>
          <cell r="M356" t="str">
            <v>Chicago-Naperville-Elgin, IL-IN-WI</v>
          </cell>
          <cell r="N356">
            <v>40308</v>
          </cell>
          <cell r="O356">
            <v>1</v>
          </cell>
          <cell r="P356" t="str">
            <v>Portfolio</v>
          </cell>
          <cell r="Q356" t="str">
            <v>Property - Private Equity</v>
          </cell>
          <cell r="R356" t="str">
            <v>Industrial</v>
          </cell>
          <cell r="S356" t="str">
            <v>Warehouse</v>
          </cell>
          <cell r="T356">
            <v>1980</v>
          </cell>
          <cell r="U356" t="str">
            <v>Sq. Feet</v>
          </cell>
          <cell r="V356" t="str">
            <v>Value-Add</v>
          </cell>
          <cell r="W356" t="str">
            <v>Industrial / Logistics</v>
          </cell>
          <cell r="X356" t="str">
            <v>Common Equity</v>
          </cell>
          <cell r="Y356">
            <v>407940</v>
          </cell>
          <cell r="Z356">
            <v>639762</v>
          </cell>
          <cell r="AA356">
            <v>4785946</v>
          </cell>
          <cell r="AB356">
            <v>8.5237067029172497E-2</v>
          </cell>
          <cell r="AC356">
            <v>322144</v>
          </cell>
          <cell r="AD356">
            <v>8.0023489561105901E-2</v>
          </cell>
          <cell r="AE356">
            <v>5.7500000000000002E-2</v>
          </cell>
          <cell r="AF356">
            <v>0.2215</v>
          </cell>
          <cell r="AG356">
            <v>2.71</v>
          </cell>
          <cell r="AH356">
            <v>0.17710000000000001</v>
          </cell>
          <cell r="AI356">
            <v>2.62</v>
          </cell>
          <cell r="AJ356">
            <v>0.14651954672786083</v>
          </cell>
          <cell r="AK356">
            <v>0.22465607581211633</v>
          </cell>
          <cell r="AL356">
            <v>2.424971721632462</v>
          </cell>
          <cell r="AM356">
            <v>0.10932823398836344</v>
          </cell>
          <cell r="AN356">
            <v>0.17908938822863485</v>
          </cell>
          <cell r="AO356">
            <v>2.075282882060991</v>
          </cell>
          <cell r="AP356" t="str">
            <v>Unsolicited \ Off-market</v>
          </cell>
          <cell r="AQ356" t="str">
            <v>Rent Optimization</v>
          </cell>
          <cell r="AR356" t="str">
            <v>Leasing Strategy</v>
          </cell>
          <cell r="AS356">
            <v>44676</v>
          </cell>
          <cell r="AT356">
            <v>4025618</v>
          </cell>
          <cell r="AU356">
            <v>4146184</v>
          </cell>
          <cell r="AV356">
            <v>238440</v>
          </cell>
          <cell r="AW356">
            <v>133696</v>
          </cell>
          <cell r="AX356">
            <v>5.9230657255606466E-2</v>
          </cell>
          <cell r="AY356">
            <v>3.3211298240419233E-2</v>
          </cell>
          <cell r="AZ356">
            <v>7.6811294328002298</v>
          </cell>
          <cell r="BA356">
            <v>1</v>
          </cell>
          <cell r="BB356">
            <v>1.1425595768600301</v>
          </cell>
          <cell r="BC356">
            <v>1</v>
          </cell>
          <cell r="BD356">
            <v>0</v>
          </cell>
          <cell r="BE356">
            <v>0</v>
          </cell>
          <cell r="BF356">
            <v>114429.95999999999</v>
          </cell>
          <cell r="BG356">
            <v>221421.13000000003</v>
          </cell>
          <cell r="BH356">
            <v>221421.13000000003</v>
          </cell>
          <cell r="BI356">
            <v>315095.62</v>
          </cell>
          <cell r="BJ356">
            <v>4327794.3499999996</v>
          </cell>
        </row>
        <row r="357">
          <cell r="B357" t="str">
            <v>xil11697</v>
          </cell>
          <cell r="C357" t="str">
            <v>11697 W Grand</v>
          </cell>
          <cell r="D357" t="str">
            <v>Unrealized</v>
          </cell>
          <cell r="E357" t="str">
            <v>Logistic Fund II</v>
          </cell>
          <cell r="F357" t="str">
            <v>USD</v>
          </cell>
          <cell r="G357" t="str">
            <v>Last Mile</v>
          </cell>
          <cell r="H357" t="str">
            <v>Chicago</v>
          </cell>
          <cell r="I357" t="str">
            <v>Northlake</v>
          </cell>
          <cell r="J357" t="str">
            <v>IL</v>
          </cell>
          <cell r="K357">
            <v>60164</v>
          </cell>
          <cell r="L357" t="str">
            <v>United States</v>
          </cell>
          <cell r="M357" t="str">
            <v>Chicago-Naperville-Elgin, IL-IN-WI</v>
          </cell>
          <cell r="N357">
            <v>48340</v>
          </cell>
          <cell r="O357">
            <v>1</v>
          </cell>
          <cell r="P357" t="str">
            <v>Single Asset</v>
          </cell>
          <cell r="Q357" t="str">
            <v>Property - Private Equity</v>
          </cell>
          <cell r="R357" t="str">
            <v>Industrial</v>
          </cell>
          <cell r="S357" t="str">
            <v>Warehouse</v>
          </cell>
          <cell r="T357">
            <v>2003</v>
          </cell>
          <cell r="U357" t="str">
            <v>Sq. Feet</v>
          </cell>
          <cell r="V357" t="str">
            <v>Value-Add</v>
          </cell>
          <cell r="W357" t="str">
            <v>Industrial / Logistics</v>
          </cell>
          <cell r="X357" t="str">
            <v>Common Equity</v>
          </cell>
          <cell r="Y357">
            <v>318672</v>
          </cell>
          <cell r="Z357">
            <v>357254</v>
          </cell>
          <cell r="AA357">
            <v>4598278</v>
          </cell>
          <cell r="AB357">
            <v>6.9302464966233018E-2</v>
          </cell>
          <cell r="AC357">
            <v>253785</v>
          </cell>
          <cell r="AD357">
            <v>6.0425E-2</v>
          </cell>
          <cell r="AE357">
            <v>5.5E-2</v>
          </cell>
          <cell r="AF357">
            <v>0.16420000000000001</v>
          </cell>
          <cell r="AG357">
            <v>2.0699999999999998</v>
          </cell>
          <cell r="AH357">
            <v>0.12520000000000001</v>
          </cell>
          <cell r="AI357">
            <v>1.98</v>
          </cell>
          <cell r="AJ357">
            <v>0.11242319957240632</v>
          </cell>
          <cell r="AK357">
            <v>0.16716123688613727</v>
          </cell>
          <cell r="AL357">
            <v>1.9443922303896448</v>
          </cell>
          <cell r="AM357">
            <v>7.9162552098319461E-2</v>
          </cell>
          <cell r="AN357">
            <v>0.12687818407130447</v>
          </cell>
          <cell r="AO357">
            <v>1.6881220991563433</v>
          </cell>
          <cell r="AP357" t="str">
            <v>Market deal</v>
          </cell>
          <cell r="AQ357" t="str">
            <v>Renewal / Re-tenant</v>
          </cell>
          <cell r="AR357" t="str">
            <v>Stabilised</v>
          </cell>
          <cell r="AS357">
            <v>44676</v>
          </cell>
          <cell r="AT357">
            <v>4200000</v>
          </cell>
          <cell r="AU357">
            <v>4241024</v>
          </cell>
          <cell r="AV357">
            <v>251856</v>
          </cell>
          <cell r="AW357">
            <v>252695</v>
          </cell>
          <cell r="AX357">
            <v>5.9965714285714289E-2</v>
          </cell>
          <cell r="AY357">
            <v>6.0165476190476193E-2</v>
          </cell>
          <cell r="AZ357">
            <v>5.2100008274720704</v>
          </cell>
          <cell r="BA357">
            <v>1</v>
          </cell>
          <cell r="BB357">
            <v>7.0191780821886596</v>
          </cell>
          <cell r="BC357">
            <v>1</v>
          </cell>
          <cell r="BD357">
            <v>0</v>
          </cell>
          <cell r="BE357">
            <v>0</v>
          </cell>
          <cell r="BF357">
            <v>164829.84</v>
          </cell>
          <cell r="BG357">
            <v>243343.58000000002</v>
          </cell>
          <cell r="BH357">
            <v>243343.58000000002</v>
          </cell>
          <cell r="BI357">
            <v>247093.56</v>
          </cell>
          <cell r="BJ357">
            <v>4241024</v>
          </cell>
        </row>
        <row r="358">
          <cell r="B358" t="str">
            <v>xnj2050h</v>
          </cell>
          <cell r="C358" t="str">
            <v>20-50 Harkins Drive</v>
          </cell>
          <cell r="D358" t="str">
            <v>Unrealized</v>
          </cell>
          <cell r="E358" t="str">
            <v>Logistic Fund II</v>
          </cell>
          <cell r="F358" t="str">
            <v>USD</v>
          </cell>
          <cell r="G358" t="str">
            <v>Last Mile</v>
          </cell>
          <cell r="H358" t="str">
            <v>Philadelphia</v>
          </cell>
          <cell r="I358" t="str">
            <v>Burlington</v>
          </cell>
          <cell r="J358" t="str">
            <v>NJ</v>
          </cell>
          <cell r="K358" t="str">
            <v>08016</v>
          </cell>
          <cell r="L358" t="str">
            <v>United States</v>
          </cell>
          <cell r="M358" t="str">
            <v>Philadelphia-Camden-Wilmington, PA-NJ-DE-MD</v>
          </cell>
          <cell r="N358">
            <v>24000</v>
          </cell>
          <cell r="O358">
            <v>1</v>
          </cell>
          <cell r="P358" t="str">
            <v>Single Asset</v>
          </cell>
          <cell r="Q358" t="str">
            <v>Property - Private Equity</v>
          </cell>
          <cell r="R358" t="str">
            <v>Industrial</v>
          </cell>
          <cell r="S358" t="str">
            <v>Warehouse</v>
          </cell>
          <cell r="T358">
            <v>1970</v>
          </cell>
          <cell r="U358" t="str">
            <v>Sq. Feet</v>
          </cell>
          <cell r="V358" t="str">
            <v>Value-Add</v>
          </cell>
          <cell r="W358" t="str">
            <v>Industrial / Logistics</v>
          </cell>
          <cell r="X358" t="str">
            <v>Common Equity</v>
          </cell>
          <cell r="Y358">
            <v>240168</v>
          </cell>
          <cell r="Z358">
            <v>245055</v>
          </cell>
          <cell r="AA358">
            <v>3295920</v>
          </cell>
          <cell r="AB358">
            <v>7.2868273501784028E-2</v>
          </cell>
          <cell r="AC358">
            <v>192000</v>
          </cell>
          <cell r="AD358">
            <v>6.4000000000000001E-2</v>
          </cell>
          <cell r="AE358">
            <v>5.5E-2</v>
          </cell>
          <cell r="AF358">
            <v>0.2024</v>
          </cell>
          <cell r="AG358">
            <v>2.29</v>
          </cell>
          <cell r="AH358">
            <v>0.15859999999999999</v>
          </cell>
          <cell r="AI358">
            <v>2.2000000000000002</v>
          </cell>
          <cell r="AJ358">
            <v>0.12841930745966779</v>
          </cell>
          <cell r="AK358">
            <v>0.19826496518421299</v>
          </cell>
          <cell r="AL358">
            <v>2.1118208412991009</v>
          </cell>
          <cell r="AM358">
            <v>9.2944959368503666E-2</v>
          </cell>
          <cell r="AN358">
            <v>0.15438454705895222</v>
          </cell>
          <cell r="AO358">
            <v>1.8240814467769721</v>
          </cell>
          <cell r="AP358" t="str">
            <v>Unsolicited \ Off-market</v>
          </cell>
          <cell r="AQ358" t="str">
            <v>Renewal / Re-tenant</v>
          </cell>
          <cell r="AR358" t="str">
            <v>Stabilised</v>
          </cell>
          <cell r="AS358">
            <v>44677</v>
          </cell>
          <cell r="AT358">
            <v>3000000</v>
          </cell>
          <cell r="AU358">
            <v>3050865</v>
          </cell>
          <cell r="AV358">
            <v>195600</v>
          </cell>
          <cell r="AW358">
            <v>198534</v>
          </cell>
          <cell r="AX358">
            <v>6.5199999999999994E-2</v>
          </cell>
          <cell r="AY358">
            <v>6.6178000000000001E-2</v>
          </cell>
          <cell r="AZ358">
            <v>8.15</v>
          </cell>
          <cell r="BA358">
            <v>1</v>
          </cell>
          <cell r="BB358">
            <v>5.0136986301249999</v>
          </cell>
          <cell r="BC358">
            <v>1</v>
          </cell>
          <cell r="BD358">
            <v>0</v>
          </cell>
          <cell r="BE358">
            <v>0</v>
          </cell>
          <cell r="BF358">
            <v>123659.49</v>
          </cell>
          <cell r="BG358">
            <v>194789.44</v>
          </cell>
          <cell r="BH358">
            <v>194789.44</v>
          </cell>
          <cell r="BI358">
            <v>198585.45</v>
          </cell>
          <cell r="BJ358">
            <v>3050865</v>
          </cell>
        </row>
        <row r="359">
          <cell r="B359" t="str">
            <v>xnj6925s</v>
          </cell>
          <cell r="C359" t="str">
            <v>6925 Sherman Ave</v>
          </cell>
          <cell r="D359" t="str">
            <v>Unrealized</v>
          </cell>
          <cell r="E359" t="str">
            <v>Logistic Fund II</v>
          </cell>
          <cell r="F359" t="str">
            <v>USD</v>
          </cell>
          <cell r="G359" t="str">
            <v>Last Mile</v>
          </cell>
          <cell r="H359" t="str">
            <v>Philadelphia</v>
          </cell>
          <cell r="I359" t="str">
            <v>Pennsauken</v>
          </cell>
          <cell r="J359" t="str">
            <v>NJ</v>
          </cell>
          <cell r="K359" t="str">
            <v>07307</v>
          </cell>
          <cell r="L359" t="str">
            <v>United States</v>
          </cell>
          <cell r="M359" t="str">
            <v>Philadelphia-Camden-Wilmington, PA-NJ-DE-MD</v>
          </cell>
          <cell r="N359">
            <v>30000</v>
          </cell>
          <cell r="O359">
            <v>1</v>
          </cell>
          <cell r="P359" t="str">
            <v>Single Asset</v>
          </cell>
          <cell r="Q359" t="str">
            <v>Property - Private Equity</v>
          </cell>
          <cell r="R359" t="str">
            <v>Industrial</v>
          </cell>
          <cell r="S359" t="str">
            <v>Warehouse</v>
          </cell>
          <cell r="T359">
            <v>1966</v>
          </cell>
          <cell r="U359" t="str">
            <v>Sq. Feet</v>
          </cell>
          <cell r="V359" t="str">
            <v>Value-Add</v>
          </cell>
          <cell r="W359" t="str">
            <v>Industrial / Logistics</v>
          </cell>
          <cell r="X359" t="str">
            <v>Common Equity</v>
          </cell>
          <cell r="Y359">
            <v>193896</v>
          </cell>
          <cell r="Z359">
            <v>150000</v>
          </cell>
          <cell r="AA359">
            <v>2494215</v>
          </cell>
          <cell r="AB359">
            <v>7.7738286394717374E-2</v>
          </cell>
          <cell r="AC359">
            <v>167200</v>
          </cell>
          <cell r="AD359">
            <v>7.269565217391305E-2</v>
          </cell>
          <cell r="AE359">
            <v>6.25E-2</v>
          </cell>
          <cell r="AF359">
            <v>0.21129999999999999</v>
          </cell>
          <cell r="AG359">
            <v>2.23</v>
          </cell>
          <cell r="AH359">
            <v>0.16550000000000001</v>
          </cell>
          <cell r="AI359">
            <v>2.14</v>
          </cell>
          <cell r="AJ359">
            <v>0.12828176619844722</v>
          </cell>
          <cell r="AK359">
            <v>0.20133515139383107</v>
          </cell>
          <cell r="AL359">
            <v>2.0658965087400984</v>
          </cell>
          <cell r="AM359">
            <v>9.2445858361063449E-2</v>
          </cell>
          <cell r="AN359">
            <v>0.15647255676269878</v>
          </cell>
          <cell r="AO359">
            <v>1.7875490677315287</v>
          </cell>
          <cell r="AP359" t="str">
            <v>Unsolicited \ Off-market</v>
          </cell>
          <cell r="AQ359" t="str">
            <v>Renewal / Re-tenant</v>
          </cell>
          <cell r="AR359" t="str">
            <v>Stabilised</v>
          </cell>
          <cell r="AS359">
            <v>44677</v>
          </cell>
          <cell r="AT359">
            <v>2300000</v>
          </cell>
          <cell r="AU359">
            <v>2344215</v>
          </cell>
          <cell r="AV359">
            <v>167184</v>
          </cell>
          <cell r="AW359">
            <v>169279</v>
          </cell>
          <cell r="AX359">
            <v>7.268869565217391E-2</v>
          </cell>
          <cell r="AY359">
            <v>7.3599565217391305E-2</v>
          </cell>
          <cell r="AZ359">
            <v>5.5</v>
          </cell>
          <cell r="BA359">
            <v>1</v>
          </cell>
          <cell r="BB359">
            <v>7.0164383561666597</v>
          </cell>
          <cell r="BC359">
            <v>1</v>
          </cell>
          <cell r="BD359">
            <v>0</v>
          </cell>
          <cell r="BE359">
            <v>0</v>
          </cell>
          <cell r="BF359">
            <v>32662.490000000005</v>
          </cell>
          <cell r="BG359">
            <v>204745.96</v>
          </cell>
          <cell r="BH359">
            <v>204745.96</v>
          </cell>
          <cell r="BI359">
            <v>143291.74000000002</v>
          </cell>
          <cell r="BJ359">
            <v>2344215</v>
          </cell>
        </row>
        <row r="360">
          <cell r="B360" t="str">
            <v>xtx1709s</v>
          </cell>
          <cell r="C360" t="str">
            <v>I-45 Logistics Center</v>
          </cell>
          <cell r="D360" t="str">
            <v>Unrealized</v>
          </cell>
          <cell r="E360" t="str">
            <v>Logistic Fund II</v>
          </cell>
          <cell r="F360" t="str">
            <v>USD</v>
          </cell>
          <cell r="G360" t="str">
            <v>Last Mile</v>
          </cell>
          <cell r="H360" t="str">
            <v>Dallas</v>
          </cell>
          <cell r="I360" t="str">
            <v>Hutchins</v>
          </cell>
          <cell r="J360" t="str">
            <v>TX</v>
          </cell>
          <cell r="K360">
            <v>75141</v>
          </cell>
          <cell r="L360" t="str">
            <v>United States</v>
          </cell>
          <cell r="M360" t="str">
            <v>Dallas-Fort Worth-Arlington, TX</v>
          </cell>
          <cell r="N360">
            <v>245299</v>
          </cell>
          <cell r="O360">
            <v>1</v>
          </cell>
          <cell r="P360" t="str">
            <v>Single Asset</v>
          </cell>
          <cell r="Q360" t="str">
            <v>Property - Private Equity</v>
          </cell>
          <cell r="R360" t="str">
            <v>Industrial</v>
          </cell>
          <cell r="S360" t="str">
            <v>Warehouse</v>
          </cell>
          <cell r="T360">
            <v>1986</v>
          </cell>
          <cell r="U360" t="str">
            <v>Sq. Feet</v>
          </cell>
          <cell r="V360" t="str">
            <v>Value-Add</v>
          </cell>
          <cell r="W360" t="str">
            <v>Industrial / Logistics</v>
          </cell>
          <cell r="X360" t="str">
            <v>Common Equity</v>
          </cell>
          <cell r="Y360">
            <v>1458456</v>
          </cell>
          <cell r="Z360">
            <v>477459</v>
          </cell>
          <cell r="AA360">
            <v>24251887</v>
          </cell>
          <cell r="AB360">
            <v>6.0137835872317892E-2</v>
          </cell>
          <cell r="AC360">
            <v>1067050.6499999999</v>
          </cell>
          <cell r="AD360">
            <v>4.4975791359325605E-2</v>
          </cell>
          <cell r="AE360">
            <v>4.2500000000000003E-2</v>
          </cell>
          <cell r="AF360">
            <v>0.1467</v>
          </cell>
          <cell r="AG360">
            <v>1.88</v>
          </cell>
          <cell r="AH360">
            <v>0.1089</v>
          </cell>
          <cell r="AI360">
            <v>1.78</v>
          </cell>
          <cell r="AJ360">
            <v>0.11615203647632355</v>
          </cell>
          <cell r="AK360">
            <v>0.16921825427864245</v>
          </cell>
          <cell r="AL360">
            <v>2.0613211872202744</v>
          </cell>
          <cell r="AM360">
            <v>8.3129558296188399E-2</v>
          </cell>
          <cell r="AN360">
            <v>0.12999188122099237</v>
          </cell>
          <cell r="AO360">
            <v>1.7823329549365148</v>
          </cell>
          <cell r="AP360" t="str">
            <v>Market deal</v>
          </cell>
          <cell r="AQ360" t="str">
            <v>Renewal / Re-tenant</v>
          </cell>
          <cell r="AR360" t="str">
            <v>Stabilised</v>
          </cell>
          <cell r="AS360">
            <v>44687</v>
          </cell>
          <cell r="AT360">
            <v>23725000</v>
          </cell>
          <cell r="AU360">
            <v>23774428</v>
          </cell>
          <cell r="AV360">
            <v>863400</v>
          </cell>
          <cell r="AW360">
            <v>955819</v>
          </cell>
          <cell r="AX360">
            <v>3.6391991570073765E-2</v>
          </cell>
          <cell r="AY360">
            <v>4.0287418335089566E-2</v>
          </cell>
          <cell r="AZ360">
            <v>3.8256224444453499</v>
          </cell>
          <cell r="BA360">
            <v>1</v>
          </cell>
          <cell r="BB360">
            <v>5.6521672767601903</v>
          </cell>
          <cell r="BC360">
            <v>1</v>
          </cell>
          <cell r="BD360">
            <v>0</v>
          </cell>
          <cell r="BE360">
            <v>0</v>
          </cell>
          <cell r="BF360">
            <v>682265.72000000009</v>
          </cell>
          <cell r="BG360">
            <v>1062925.77</v>
          </cell>
          <cell r="BH360">
            <v>1062925.77</v>
          </cell>
          <cell r="BI360">
            <v>1127915.53</v>
          </cell>
          <cell r="BJ360">
            <v>23777678</v>
          </cell>
        </row>
        <row r="361">
          <cell r="B361" t="str">
            <v>xtx3857m</v>
          </cell>
          <cell r="C361" t="str">
            <v>3857 Miller Park Drive</v>
          </cell>
          <cell r="D361" t="str">
            <v>Unrealized</v>
          </cell>
          <cell r="E361" t="str">
            <v>Logistic Fund II</v>
          </cell>
          <cell r="F361" t="str">
            <v>USD</v>
          </cell>
          <cell r="G361" t="str">
            <v>Last Mile</v>
          </cell>
          <cell r="H361" t="str">
            <v>Dallas</v>
          </cell>
          <cell r="I361" t="str">
            <v>Garland</v>
          </cell>
          <cell r="J361" t="str">
            <v>TX</v>
          </cell>
          <cell r="K361">
            <v>75042</v>
          </cell>
          <cell r="L361" t="str">
            <v>United States</v>
          </cell>
          <cell r="M361" t="str">
            <v>Dallas-Fort Worth-Arlington, TX</v>
          </cell>
          <cell r="N361">
            <v>59028</v>
          </cell>
          <cell r="O361">
            <v>1</v>
          </cell>
          <cell r="P361" t="str">
            <v>Single Asset</v>
          </cell>
          <cell r="Q361" t="str">
            <v>Property - Private Equity</v>
          </cell>
          <cell r="R361" t="str">
            <v>Industrial</v>
          </cell>
          <cell r="S361" t="str">
            <v>Warehouse</v>
          </cell>
          <cell r="T361">
            <v>1979</v>
          </cell>
          <cell r="U361" t="str">
            <v>Sq. Feet</v>
          </cell>
          <cell r="V361" t="str">
            <v>Value-Add</v>
          </cell>
          <cell r="W361" t="str">
            <v>Industrial / Logistics</v>
          </cell>
          <cell r="X361" t="str">
            <v>Common Equity</v>
          </cell>
          <cell r="Y361">
            <v>395184</v>
          </cell>
          <cell r="Z361">
            <v>1224488</v>
          </cell>
          <cell r="AA361">
            <v>5385793</v>
          </cell>
          <cell r="AB361">
            <v>7.3375267114796278E-2</v>
          </cell>
          <cell r="AC361">
            <v>383682</v>
          </cell>
          <cell r="AD361">
            <v>9.3126699029126209E-2</v>
          </cell>
          <cell r="AE361">
            <v>0.05</v>
          </cell>
          <cell r="AF361">
            <v>0.20730000000000001</v>
          </cell>
          <cell r="AG361">
            <v>2.92</v>
          </cell>
          <cell r="AH361">
            <v>0.16650000000000001</v>
          </cell>
          <cell r="AI361">
            <v>2.83</v>
          </cell>
          <cell r="AJ361">
            <v>0.14445433253718321</v>
          </cell>
          <cell r="AK361">
            <v>0.22530249724928364</v>
          </cell>
          <cell r="AL361">
            <v>2.3962340869690792</v>
          </cell>
          <cell r="AM361">
            <v>0.10759891056858017</v>
          </cell>
          <cell r="AN361">
            <v>0.17950306362467505</v>
          </cell>
          <cell r="AO361">
            <v>2.0519843515607912</v>
          </cell>
          <cell r="AP361" t="str">
            <v>Unsolicited \ Off-market</v>
          </cell>
          <cell r="AQ361" t="str">
            <v>Rent Optimization</v>
          </cell>
          <cell r="AR361" t="str">
            <v>Stabilised</v>
          </cell>
          <cell r="AS361">
            <v>44691</v>
          </cell>
          <cell r="AT361">
            <v>4120000</v>
          </cell>
          <cell r="AU361">
            <v>4161305</v>
          </cell>
          <cell r="AV361">
            <v>309912</v>
          </cell>
          <cell r="AW361">
            <v>310684</v>
          </cell>
          <cell r="AX361">
            <v>7.5221359223300976E-2</v>
          </cell>
          <cell r="AY361">
            <v>7.5408737864077674E-2</v>
          </cell>
          <cell r="AZ361">
            <v>5.25</v>
          </cell>
          <cell r="BA361">
            <v>1</v>
          </cell>
          <cell r="BB361">
            <v>5.06027397260622</v>
          </cell>
          <cell r="BC361">
            <v>1</v>
          </cell>
          <cell r="BD361">
            <v>0</v>
          </cell>
          <cell r="BE361">
            <v>0</v>
          </cell>
          <cell r="BF361">
            <v>186299.34</v>
          </cell>
          <cell r="BG361">
            <v>246429.7</v>
          </cell>
          <cell r="BH361">
            <v>246429.7</v>
          </cell>
          <cell r="BI361">
            <v>303016.95999999996</v>
          </cell>
          <cell r="BJ361">
            <v>4902158.26</v>
          </cell>
        </row>
        <row r="362">
          <cell r="B362" t="str">
            <v>xtx1050k</v>
          </cell>
          <cell r="C362" t="str">
            <v>10501 King William Drive</v>
          </cell>
          <cell r="D362" t="str">
            <v>Unrealized</v>
          </cell>
          <cell r="E362" t="str">
            <v>Logistic Fund II</v>
          </cell>
          <cell r="F362" t="str">
            <v>USD</v>
          </cell>
          <cell r="G362" t="str">
            <v>Last Mile</v>
          </cell>
          <cell r="H362" t="str">
            <v>Dallas</v>
          </cell>
          <cell r="I362" t="str">
            <v>Dallas</v>
          </cell>
          <cell r="J362" t="str">
            <v>TX</v>
          </cell>
          <cell r="K362">
            <v>75220</v>
          </cell>
          <cell r="L362" t="str">
            <v>United States</v>
          </cell>
          <cell r="M362" t="str">
            <v>Dallas-Fort Worth-Arlington, TX</v>
          </cell>
          <cell r="N362">
            <v>48738</v>
          </cell>
          <cell r="O362">
            <v>1</v>
          </cell>
          <cell r="P362" t="str">
            <v>Single Asset</v>
          </cell>
          <cell r="Q362" t="str">
            <v>Property - Private Equity</v>
          </cell>
          <cell r="R362" t="str">
            <v>Industrial</v>
          </cell>
          <cell r="S362" t="str">
            <v>Warehouse</v>
          </cell>
          <cell r="T362">
            <v>1979</v>
          </cell>
          <cell r="U362" t="str">
            <v>Sq. Feet</v>
          </cell>
          <cell r="V362" t="str">
            <v>Value-Add</v>
          </cell>
          <cell r="W362" t="str">
            <v>Industrial / Logistics</v>
          </cell>
          <cell r="X362" t="str">
            <v>Common Equity</v>
          </cell>
          <cell r="Y362">
            <v>444120</v>
          </cell>
          <cell r="Z362">
            <v>593528</v>
          </cell>
          <cell r="AA362">
            <v>6556373</v>
          </cell>
          <cell r="AB362">
            <v>6.7738671976106307E-2</v>
          </cell>
          <cell r="AC362">
            <v>341250</v>
          </cell>
          <cell r="AD362">
            <v>5.9322033898305086E-2</v>
          </cell>
          <cell r="AE362">
            <v>4.7500000000000001E-2</v>
          </cell>
          <cell r="AF362">
            <v>0.16789999999999999</v>
          </cell>
          <cell r="AG362">
            <v>2.14</v>
          </cell>
          <cell r="AH362">
            <v>0.12859999999999999</v>
          </cell>
          <cell r="AI362">
            <v>2.0499999999999998</v>
          </cell>
          <cell r="AJ362">
            <v>0.12479634600127709</v>
          </cell>
          <cell r="AK362">
            <v>0.18392812428036098</v>
          </cell>
          <cell r="AL362">
            <v>2.1525862222494507</v>
          </cell>
          <cell r="AM362">
            <v>9.0757564407661917E-2</v>
          </cell>
          <cell r="AN362">
            <v>0.14324933945739771</v>
          </cell>
          <cell r="AO362">
            <v>1.8579009725913518</v>
          </cell>
          <cell r="AP362" t="str">
            <v>Unsolicited \ Off-market</v>
          </cell>
          <cell r="AQ362" t="str">
            <v>Rent Optimization</v>
          </cell>
          <cell r="AR362" t="str">
            <v>Leasing Strategy</v>
          </cell>
          <cell r="AS362">
            <v>44697</v>
          </cell>
          <cell r="AT362">
            <v>5752500</v>
          </cell>
          <cell r="AU362">
            <v>5962845</v>
          </cell>
          <cell r="AV362">
            <v>183840</v>
          </cell>
          <cell r="AW362">
            <v>168169</v>
          </cell>
          <cell r="AX362">
            <v>3.195827900912647E-2</v>
          </cell>
          <cell r="AY362">
            <v>2.9234072142546717E-2</v>
          </cell>
          <cell r="AZ362">
            <v>7.0030769230769199</v>
          </cell>
          <cell r="BA362">
            <v>1</v>
          </cell>
          <cell r="BB362">
            <v>1.31810186162051</v>
          </cell>
          <cell r="BC362">
            <v>1</v>
          </cell>
          <cell r="BD362">
            <v>0</v>
          </cell>
          <cell r="BE362">
            <v>0</v>
          </cell>
          <cell r="BF362">
            <v>131756.12</v>
          </cell>
          <cell r="BG362">
            <v>245874.47999999998</v>
          </cell>
          <cell r="BH362">
            <v>245874.47999999998</v>
          </cell>
          <cell r="BI362">
            <v>356101.93000000005</v>
          </cell>
          <cell r="BJ362">
            <v>6120226.1299999999</v>
          </cell>
        </row>
        <row r="363">
          <cell r="B363" t="str">
            <v>xtx2445s</v>
          </cell>
          <cell r="C363" t="str">
            <v>2445 Santa Anna Avenue</v>
          </cell>
          <cell r="D363" t="str">
            <v>Unrealized</v>
          </cell>
          <cell r="E363" t="str">
            <v>Logistic Fund II</v>
          </cell>
          <cell r="F363" t="str">
            <v>USD</v>
          </cell>
          <cell r="G363" t="str">
            <v>Last Mile</v>
          </cell>
          <cell r="H363" t="str">
            <v>Dallas</v>
          </cell>
          <cell r="I363" t="str">
            <v>Dallas</v>
          </cell>
          <cell r="J363" t="str">
            <v>TX</v>
          </cell>
          <cell r="K363">
            <v>75228</v>
          </cell>
          <cell r="L363" t="str">
            <v>United States</v>
          </cell>
          <cell r="M363" t="str">
            <v>Dallas-Fort Worth-Arlington, TX</v>
          </cell>
          <cell r="N363">
            <v>40116</v>
          </cell>
          <cell r="O363">
            <v>1</v>
          </cell>
          <cell r="P363" t="str">
            <v>Single Asset</v>
          </cell>
          <cell r="Q363" t="str">
            <v>Property - Private Equity</v>
          </cell>
          <cell r="R363" t="str">
            <v>Industrial</v>
          </cell>
          <cell r="S363" t="str">
            <v>Warehouse</v>
          </cell>
          <cell r="T363">
            <v>1984</v>
          </cell>
          <cell r="U363" t="str">
            <v>Sq. Feet</v>
          </cell>
          <cell r="V363" t="str">
            <v>Value-Add</v>
          </cell>
          <cell r="W363" t="str">
            <v>Industrial / Logistics</v>
          </cell>
          <cell r="X363" t="str">
            <v>Common Equity</v>
          </cell>
          <cell r="Y363">
            <v>380856</v>
          </cell>
          <cell r="Z363">
            <v>162864</v>
          </cell>
          <cell r="AA363">
            <v>5612326</v>
          </cell>
          <cell r="AB363">
            <v>6.7860633897603245E-2</v>
          </cell>
          <cell r="AC363">
            <v>280812</v>
          </cell>
          <cell r="AD363">
            <v>5.1858171745152358E-2</v>
          </cell>
          <cell r="AE363">
            <v>0.05</v>
          </cell>
          <cell r="AF363">
            <v>0.1832</v>
          </cell>
          <cell r="AG363">
            <v>2.13</v>
          </cell>
          <cell r="AH363">
            <v>0.1409</v>
          </cell>
          <cell r="AI363">
            <v>2.0299999999999998</v>
          </cell>
          <cell r="AJ363">
            <v>0.11686707427597809</v>
          </cell>
          <cell r="AK363">
            <v>0.17333620283798257</v>
          </cell>
          <cell r="AL363">
            <v>2.0305054888676106</v>
          </cell>
          <cell r="AM363">
            <v>8.3561024135136996E-2</v>
          </cell>
          <cell r="AN363">
            <v>0.13322027892346333</v>
          </cell>
          <cell r="AO363">
            <v>1.7585617183417821</v>
          </cell>
          <cell r="AP363" t="str">
            <v>Unsolicited \ Off-market</v>
          </cell>
          <cell r="AQ363" t="str">
            <v>Renewal / Re-tenant</v>
          </cell>
          <cell r="AR363" t="str">
            <v>Stabilised</v>
          </cell>
          <cell r="AS363">
            <v>44700</v>
          </cell>
          <cell r="AT363">
            <v>5415000</v>
          </cell>
          <cell r="AU363">
            <v>5449462</v>
          </cell>
          <cell r="AV363">
            <v>274800</v>
          </cell>
          <cell r="AW363">
            <v>275487</v>
          </cell>
          <cell r="AX363">
            <v>5.0747922437673128E-2</v>
          </cell>
          <cell r="AY363">
            <v>5.0874792243767314E-2</v>
          </cell>
          <cell r="AZ363">
            <v>6.85</v>
          </cell>
          <cell r="BA363">
            <v>1</v>
          </cell>
          <cell r="BB363">
            <v>5.0356164383537703</v>
          </cell>
          <cell r="BC363">
            <v>1</v>
          </cell>
          <cell r="BD363">
            <v>0</v>
          </cell>
          <cell r="BE363">
            <v>0</v>
          </cell>
          <cell r="BF363">
            <v>148747.6</v>
          </cell>
          <cell r="BG363">
            <v>279253.97000000003</v>
          </cell>
          <cell r="BH363">
            <v>279253.97000000003</v>
          </cell>
          <cell r="BI363">
            <v>273563.88</v>
          </cell>
          <cell r="BJ363">
            <v>5449462</v>
          </cell>
        </row>
        <row r="364">
          <cell r="B364" t="str">
            <v>xtx11839</v>
          </cell>
          <cell r="C364" t="str">
            <v>11839 Shiloh Rd</v>
          </cell>
          <cell r="D364" t="str">
            <v>Unrealized</v>
          </cell>
          <cell r="E364" t="str">
            <v>Logistic Fund II</v>
          </cell>
          <cell r="F364" t="str">
            <v>USD</v>
          </cell>
          <cell r="G364" t="str">
            <v>Last Mile</v>
          </cell>
          <cell r="H364" t="str">
            <v>Dallas</v>
          </cell>
          <cell r="I364" t="str">
            <v>Dallas</v>
          </cell>
          <cell r="J364" t="str">
            <v>TX</v>
          </cell>
          <cell r="K364">
            <v>75228</v>
          </cell>
          <cell r="L364" t="str">
            <v>United States</v>
          </cell>
          <cell r="M364" t="str">
            <v>Dallas-Fort Worth-Arlington, TX</v>
          </cell>
          <cell r="N364">
            <v>99750</v>
          </cell>
          <cell r="O364">
            <v>1</v>
          </cell>
          <cell r="P364" t="str">
            <v>Single Asset</v>
          </cell>
          <cell r="Q364" t="str">
            <v>Property - Private Equity</v>
          </cell>
          <cell r="R364" t="str">
            <v>Industrial</v>
          </cell>
          <cell r="S364" t="str">
            <v>Warehouse</v>
          </cell>
          <cell r="T364">
            <v>1973</v>
          </cell>
          <cell r="U364" t="str">
            <v>Sq. Feet</v>
          </cell>
          <cell r="V364" t="str">
            <v>Value-Add</v>
          </cell>
          <cell r="W364" t="str">
            <v>Industrial / Logistics</v>
          </cell>
          <cell r="X364" t="str">
            <v>Common Equity</v>
          </cell>
          <cell r="Y364">
            <v>967140</v>
          </cell>
          <cell r="Z364">
            <v>425986</v>
          </cell>
          <cell r="AA364">
            <v>15481386</v>
          </cell>
          <cell r="AB364">
            <v>6.2471150838820245E-2</v>
          </cell>
          <cell r="AC364">
            <v>748125</v>
          </cell>
          <cell r="AD364">
            <v>4.98152217339193E-2</v>
          </cell>
          <cell r="AE364">
            <v>4.7500000000000001E-2</v>
          </cell>
          <cell r="AF364">
            <v>0.16769999999999999</v>
          </cell>
          <cell r="AG364">
            <v>2.02</v>
          </cell>
          <cell r="AH364">
            <v>0.12709999999999999</v>
          </cell>
          <cell r="AI364">
            <v>1.93</v>
          </cell>
          <cell r="AJ364">
            <v>0.1101092232320835</v>
          </cell>
          <cell r="AK364">
            <v>0.16068133758251579</v>
          </cell>
          <cell r="AL364">
            <v>1.9488221737670759</v>
          </cell>
          <cell r="AM364">
            <v>7.7714120539378539E-2</v>
          </cell>
          <cell r="AN364">
            <v>0.12202352313083731</v>
          </cell>
          <cell r="AO364">
            <v>1.6926575301186975</v>
          </cell>
          <cell r="AP364" t="str">
            <v>Soft marketed</v>
          </cell>
          <cell r="AQ364" t="str">
            <v>Renewal / Re-tenant</v>
          </cell>
          <cell r="AR364" t="str">
            <v>Leasing Strategy</v>
          </cell>
          <cell r="AS364">
            <v>44700</v>
          </cell>
          <cell r="AT364">
            <v>15018000</v>
          </cell>
          <cell r="AU364">
            <v>15055400</v>
          </cell>
          <cell r="AV364">
            <v>750132</v>
          </cell>
          <cell r="AW364">
            <v>752005</v>
          </cell>
          <cell r="AX364">
            <v>4.994886136636037E-2</v>
          </cell>
          <cell r="AY364">
            <v>5.0073578372619526E-2</v>
          </cell>
          <cell r="AZ364">
            <v>7.52</v>
          </cell>
          <cell r="BA364">
            <v>1</v>
          </cell>
          <cell r="BB364">
            <v>3.0356164383558899</v>
          </cell>
          <cell r="BC364">
            <v>1</v>
          </cell>
          <cell r="BD364">
            <v>0</v>
          </cell>
          <cell r="BE364">
            <v>0</v>
          </cell>
          <cell r="BF364">
            <v>495364.29000000004</v>
          </cell>
          <cell r="BG364">
            <v>754694.66</v>
          </cell>
          <cell r="BH364">
            <v>754694.66</v>
          </cell>
          <cell r="BI364">
            <v>762357.36</v>
          </cell>
          <cell r="BJ364">
            <v>15055400</v>
          </cell>
        </row>
        <row r="365">
          <cell r="B365" t="str">
            <v>xtx1721s</v>
          </cell>
          <cell r="C365" t="str">
            <v>1721 Susan Dr</v>
          </cell>
          <cell r="D365" t="str">
            <v>Unrealized</v>
          </cell>
          <cell r="E365" t="str">
            <v>Logistic Fund II</v>
          </cell>
          <cell r="F365" t="str">
            <v>USD</v>
          </cell>
          <cell r="G365" t="str">
            <v>Last Mile</v>
          </cell>
          <cell r="H365" t="str">
            <v>Dallas</v>
          </cell>
          <cell r="I365" t="str">
            <v>Arlington</v>
          </cell>
          <cell r="J365" t="str">
            <v>TX</v>
          </cell>
          <cell r="K365">
            <v>76010</v>
          </cell>
          <cell r="L365" t="str">
            <v>United States</v>
          </cell>
          <cell r="M365" t="str">
            <v>Dallas-Fort Worth-Arlington, TX</v>
          </cell>
          <cell r="N365">
            <v>58841</v>
          </cell>
          <cell r="O365">
            <v>1</v>
          </cell>
          <cell r="P365" t="str">
            <v>Single Asset</v>
          </cell>
          <cell r="Q365" t="str">
            <v>Property - Private Equity</v>
          </cell>
          <cell r="R365" t="str">
            <v>Industrial</v>
          </cell>
          <cell r="S365" t="str">
            <v>Warehouse</v>
          </cell>
          <cell r="T365">
            <v>1985</v>
          </cell>
          <cell r="U365" t="str">
            <v>Sq. Feet</v>
          </cell>
          <cell r="V365" t="str">
            <v>Value-Add</v>
          </cell>
          <cell r="W365" t="str">
            <v>Industrial / Logistics</v>
          </cell>
          <cell r="X365" t="str">
            <v>Common Equity</v>
          </cell>
          <cell r="Y365">
            <v>411216</v>
          </cell>
          <cell r="Z365">
            <v>432271</v>
          </cell>
          <cell r="AA365">
            <v>5327615</v>
          </cell>
          <cell r="AB365">
            <v>7.7185757604481556E-2</v>
          </cell>
          <cell r="AC365">
            <v>312625.5</v>
          </cell>
          <cell r="AD365">
            <v>6.4458865979381441E-2</v>
          </cell>
          <cell r="AE365">
            <v>5.2499999999999998E-2</v>
          </cell>
          <cell r="AF365">
            <v>0.18720000000000001</v>
          </cell>
          <cell r="AG365">
            <v>2.29</v>
          </cell>
          <cell r="AH365">
            <v>0.14530000000000001</v>
          </cell>
          <cell r="AI365">
            <v>2.19</v>
          </cell>
          <cell r="AJ365">
            <v>0.13295553102059321</v>
          </cell>
          <cell r="AK365">
            <v>0.20104267739733261</v>
          </cell>
          <cell r="AL365">
            <v>2.2337949140993025</v>
          </cell>
          <cell r="AM365">
            <v>9.7696085195292826E-2</v>
          </cell>
          <cell r="AN365">
            <v>0.15799254757930292</v>
          </cell>
          <cell r="AO365">
            <v>1.9236723091585206</v>
          </cell>
          <cell r="AP365" t="str">
            <v>Unsolicited \ Off-market</v>
          </cell>
          <cell r="AQ365" t="str">
            <v>Rent Optimization</v>
          </cell>
          <cell r="AR365" t="str">
            <v>Leasing Strategy</v>
          </cell>
          <cell r="AS365">
            <v>44708</v>
          </cell>
          <cell r="AT365">
            <v>4850000</v>
          </cell>
          <cell r="AU365">
            <v>4895344</v>
          </cell>
          <cell r="AV365">
            <v>244980</v>
          </cell>
          <cell r="AW365">
            <v>247024</v>
          </cell>
          <cell r="AX365">
            <v>5.051134020618557E-2</v>
          </cell>
          <cell r="AY365">
            <v>5.0932783505154636E-2</v>
          </cell>
          <cell r="AZ365">
            <v>4.16</v>
          </cell>
          <cell r="BA365">
            <v>1</v>
          </cell>
          <cell r="BB365">
            <v>3.9287671232813799</v>
          </cell>
          <cell r="BC365">
            <v>1</v>
          </cell>
          <cell r="BD365">
            <v>0</v>
          </cell>
          <cell r="BE365">
            <v>0</v>
          </cell>
          <cell r="BF365">
            <v>159299.90999999997</v>
          </cell>
          <cell r="BG365">
            <v>237267.43</v>
          </cell>
          <cell r="BH365">
            <v>237267.43</v>
          </cell>
          <cell r="BI365">
            <v>246568.12</v>
          </cell>
          <cell r="BJ365">
            <v>4895774.5</v>
          </cell>
        </row>
        <row r="366">
          <cell r="B366" t="str">
            <v>xga3471a</v>
          </cell>
          <cell r="C366" t="str">
            <v>3471 Atlanta Industrial Parkway</v>
          </cell>
          <cell r="D366" t="str">
            <v>Unrealized</v>
          </cell>
          <cell r="E366" t="str">
            <v>Logistic Fund II</v>
          </cell>
          <cell r="F366" t="str">
            <v>USD</v>
          </cell>
          <cell r="G366" t="str">
            <v>Last Mile</v>
          </cell>
          <cell r="H366" t="str">
            <v>Atlanta</v>
          </cell>
          <cell r="I366" t="str">
            <v>Atlanta</v>
          </cell>
          <cell r="J366" t="str">
            <v>GA</v>
          </cell>
          <cell r="K366">
            <v>30331</v>
          </cell>
          <cell r="L366" t="str">
            <v>United States</v>
          </cell>
          <cell r="M366" t="str">
            <v>Atlanta-Sandy Springs-Roswell, GA</v>
          </cell>
          <cell r="N366">
            <v>36072</v>
          </cell>
          <cell r="O366">
            <v>1</v>
          </cell>
          <cell r="P366" t="str">
            <v>Single Asset</v>
          </cell>
          <cell r="Q366" t="str">
            <v>Property - Private Equity</v>
          </cell>
          <cell r="R366" t="str">
            <v>Industrial</v>
          </cell>
          <cell r="S366" t="str">
            <v>Warehouse</v>
          </cell>
          <cell r="T366">
            <v>1987</v>
          </cell>
          <cell r="U366" t="str">
            <v>Sq. Feet</v>
          </cell>
          <cell r="V366" t="str">
            <v>Value-Add</v>
          </cell>
          <cell r="W366" t="str">
            <v>Industrial / Logistics</v>
          </cell>
          <cell r="X366" t="str">
            <v>Common Equity</v>
          </cell>
          <cell r="Y366">
            <v>315732</v>
          </cell>
          <cell r="Z366">
            <v>162054</v>
          </cell>
          <cell r="AA366">
            <v>4804118</v>
          </cell>
          <cell r="AB366">
            <v>6.5721116758580861E-2</v>
          </cell>
          <cell r="AC366">
            <v>252000</v>
          </cell>
          <cell r="AD366">
            <v>5.4782608695652171E-2</v>
          </cell>
          <cell r="AE366">
            <v>0.05</v>
          </cell>
          <cell r="AF366">
            <v>0.14499999999999999</v>
          </cell>
          <cell r="AG366">
            <v>1.9</v>
          </cell>
          <cell r="AH366">
            <v>0.1077</v>
          </cell>
          <cell r="AI366">
            <v>1.8</v>
          </cell>
          <cell r="AJ366">
            <v>0.110163157883304</v>
          </cell>
          <cell r="AK366">
            <v>0.16141576544829839</v>
          </cell>
          <cell r="AL366">
            <v>1.9476175259809843</v>
          </cell>
          <cell r="AM366">
            <v>7.7835664452190034E-2</v>
          </cell>
          <cell r="AN366">
            <v>0.12271079513342165</v>
          </cell>
          <cell r="AO366">
            <v>1.6921062358669088</v>
          </cell>
          <cell r="AP366" t="str">
            <v>Soft marketed</v>
          </cell>
          <cell r="AQ366" t="str">
            <v>Rent Optimization</v>
          </cell>
          <cell r="AR366" t="str">
            <v>Leasing Strategy</v>
          </cell>
          <cell r="AS366">
            <v>44712</v>
          </cell>
          <cell r="AT366">
            <v>4600000</v>
          </cell>
          <cell r="AU366">
            <v>4642064</v>
          </cell>
          <cell r="AV366">
            <v>234000</v>
          </cell>
          <cell r="AW366">
            <v>234682</v>
          </cell>
          <cell r="AX366">
            <v>5.0869565217391305E-2</v>
          </cell>
          <cell r="AY366">
            <v>5.1017826086956521E-2</v>
          </cell>
          <cell r="AZ366">
            <v>6.5</v>
          </cell>
          <cell r="BA366">
            <v>1</v>
          </cell>
          <cell r="BB366">
            <v>2.00273972602018</v>
          </cell>
          <cell r="BC366">
            <v>1</v>
          </cell>
          <cell r="BD366">
            <v>0</v>
          </cell>
          <cell r="BE366">
            <v>0</v>
          </cell>
          <cell r="BF366">
            <v>133455.65</v>
          </cell>
          <cell r="BG366">
            <v>238807.19</v>
          </cell>
          <cell r="BH366">
            <v>238807.19</v>
          </cell>
          <cell r="BI366">
            <v>241057.50000000003</v>
          </cell>
          <cell r="BJ366">
            <v>4649176.7</v>
          </cell>
        </row>
        <row r="367">
          <cell r="B367" t="str">
            <v>xnj59cha</v>
          </cell>
          <cell r="C367" t="str">
            <v>59 Chambers Brook Road</v>
          </cell>
          <cell r="D367" t="str">
            <v>Unrealized</v>
          </cell>
          <cell r="E367" t="str">
            <v>Logistic Fund II</v>
          </cell>
          <cell r="F367" t="str">
            <v>USD</v>
          </cell>
          <cell r="G367" t="str">
            <v>Last Mile</v>
          </cell>
          <cell r="H367" t="str">
            <v>Northern NJ/New York</v>
          </cell>
          <cell r="I367" t="str">
            <v>Somerville</v>
          </cell>
          <cell r="J367" t="str">
            <v>NJ</v>
          </cell>
          <cell r="K367" t="str">
            <v>08876</v>
          </cell>
          <cell r="L367" t="str">
            <v>United States</v>
          </cell>
          <cell r="M367" t="str">
            <v>New York-Newark-Jersey City, NY-NJ-PA</v>
          </cell>
          <cell r="N367">
            <v>10272</v>
          </cell>
          <cell r="O367">
            <v>1</v>
          </cell>
          <cell r="P367" t="str">
            <v>Single Asset</v>
          </cell>
          <cell r="Q367" t="str">
            <v>Property - Private Equity</v>
          </cell>
          <cell r="R367" t="str">
            <v>Industrial</v>
          </cell>
          <cell r="S367" t="str">
            <v>Warehouse</v>
          </cell>
          <cell r="T367">
            <v>1988</v>
          </cell>
          <cell r="U367" t="str">
            <v>Sq. Feet</v>
          </cell>
          <cell r="V367" t="str">
            <v>Value-Add</v>
          </cell>
          <cell r="W367" t="str">
            <v>Industrial / Logistics</v>
          </cell>
          <cell r="X367" t="str">
            <v>Common Equity</v>
          </cell>
          <cell r="Y367">
            <v>157812</v>
          </cell>
          <cell r="Z367">
            <v>217725</v>
          </cell>
          <cell r="AA367">
            <v>1751968</v>
          </cell>
          <cell r="AB367">
            <v>9.0076987707538039E-2</v>
          </cell>
          <cell r="AC367">
            <v>125000</v>
          </cell>
          <cell r="AD367">
            <v>8.3333333333333329E-2</v>
          </cell>
          <cell r="AE367">
            <v>5.5E-2</v>
          </cell>
          <cell r="AF367">
            <v>0.248</v>
          </cell>
          <cell r="AG367">
            <v>2.82</v>
          </cell>
          <cell r="AH367">
            <v>0.20039999999999999</v>
          </cell>
          <cell r="AI367">
            <v>2.73</v>
          </cell>
          <cell r="AJ367">
            <v>0.18306454648981996</v>
          </cell>
          <cell r="AK367">
            <v>0.29583971180488478</v>
          </cell>
          <cell r="AL367">
            <v>2.8826260206792416</v>
          </cell>
          <cell r="AM367">
            <v>0.14141458775281324</v>
          </cell>
          <cell r="AN367">
            <v>0.24300339522419145</v>
          </cell>
          <cell r="AO367">
            <v>2.4430292280055901</v>
          </cell>
          <cell r="AP367" t="str">
            <v>Unsolicited \ Off-market</v>
          </cell>
          <cell r="AQ367" t="str">
            <v>Renewal / Re-tenant</v>
          </cell>
          <cell r="AR367" t="str">
            <v>Leasing Strategy</v>
          </cell>
          <cell r="AS367">
            <v>44713</v>
          </cell>
          <cell r="AT367">
            <v>1500000</v>
          </cell>
          <cell r="AU367">
            <v>1534243</v>
          </cell>
          <cell r="AV367">
            <v>126000</v>
          </cell>
          <cell r="AW367">
            <v>126003</v>
          </cell>
          <cell r="AX367">
            <v>8.4000000000000005E-2</v>
          </cell>
          <cell r="AY367">
            <v>8.4001999999999993E-2</v>
          </cell>
          <cell r="AZ367">
            <v>0</v>
          </cell>
          <cell r="BA367">
            <v>0</v>
          </cell>
          <cell r="BB367">
            <v>0</v>
          </cell>
          <cell r="BC367">
            <v>1</v>
          </cell>
          <cell r="BD367">
            <v>0</v>
          </cell>
          <cell r="BE367">
            <v>0</v>
          </cell>
          <cell r="BF367">
            <v>71333.929999999993</v>
          </cell>
          <cell r="BG367">
            <v>112919.95999999998</v>
          </cell>
          <cell r="BH367">
            <v>112919.95999999998</v>
          </cell>
          <cell r="BI367">
            <v>154547.03000000003</v>
          </cell>
          <cell r="BJ367">
            <v>1556088.12</v>
          </cell>
        </row>
        <row r="368">
          <cell r="B368" t="str">
            <v>xil7760m</v>
          </cell>
          <cell r="C368" t="str">
            <v>7760 N Merrimac</v>
          </cell>
          <cell r="D368" t="str">
            <v>Unrealized</v>
          </cell>
          <cell r="E368" t="str">
            <v>Logistic Fund II</v>
          </cell>
          <cell r="F368" t="str">
            <v>USD</v>
          </cell>
          <cell r="G368" t="str">
            <v>Last Mile</v>
          </cell>
          <cell r="H368" t="str">
            <v>Chicago</v>
          </cell>
          <cell r="I368" t="str">
            <v>Niles</v>
          </cell>
          <cell r="J368" t="str">
            <v>IL</v>
          </cell>
          <cell r="K368">
            <v>60714</v>
          </cell>
          <cell r="L368" t="str">
            <v>United States</v>
          </cell>
          <cell r="M368" t="str">
            <v>Chicago-Naperville-Elgin, IL-IN-WI</v>
          </cell>
          <cell r="N368">
            <v>55980</v>
          </cell>
          <cell r="O368">
            <v>1</v>
          </cell>
          <cell r="P368" t="str">
            <v>Single Asset</v>
          </cell>
          <cell r="Q368" t="str">
            <v>Property - Private Equity</v>
          </cell>
          <cell r="R368" t="str">
            <v>Industrial</v>
          </cell>
          <cell r="S368" t="str">
            <v>Warehouse</v>
          </cell>
          <cell r="T368">
            <v>1966</v>
          </cell>
          <cell r="U368" t="str">
            <v>Sq. Feet</v>
          </cell>
          <cell r="V368" t="str">
            <v>Value-Add</v>
          </cell>
          <cell r="W368" t="str">
            <v>Industrial / Logistics</v>
          </cell>
          <cell r="X368" t="str">
            <v>Common Equity</v>
          </cell>
          <cell r="Y368">
            <v>367476</v>
          </cell>
          <cell r="Z368">
            <v>18224</v>
          </cell>
          <cell r="AA368">
            <v>5263888</v>
          </cell>
          <cell r="AB368">
            <v>6.9810755851948222E-2</v>
          </cell>
          <cell r="AC368">
            <v>329126.84999999998</v>
          </cell>
          <cell r="AD368">
            <v>6.3293624999999992E-2</v>
          </cell>
          <cell r="AE368">
            <v>5.7500000000000002E-2</v>
          </cell>
          <cell r="AF368">
            <v>0.15010000000000001</v>
          </cell>
          <cell r="AG368">
            <v>1.83</v>
          </cell>
          <cell r="AH368">
            <v>0.1106</v>
          </cell>
          <cell r="AI368">
            <v>1.74</v>
          </cell>
          <cell r="AJ368">
            <v>0.1070650152390058</v>
          </cell>
          <cell r="AK368">
            <v>0.15841558712766135</v>
          </cell>
          <cell r="AL368">
            <v>1.882072791749559</v>
          </cell>
          <cell r="AM368">
            <v>7.483635414915768E-2</v>
          </cell>
          <cell r="AN368">
            <v>0.11949747725771176</v>
          </cell>
          <cell r="AO368">
            <v>1.6387714823345771</v>
          </cell>
          <cell r="AP368" t="str">
            <v>Market deal</v>
          </cell>
          <cell r="AQ368" t="str">
            <v>Renewal / Re-tenant</v>
          </cell>
          <cell r="AR368" t="str">
            <v>Stabilised</v>
          </cell>
          <cell r="AS368">
            <v>44713</v>
          </cell>
          <cell r="AT368">
            <v>5200000</v>
          </cell>
          <cell r="AU368">
            <v>5245664</v>
          </cell>
          <cell r="AV368">
            <v>326316</v>
          </cell>
          <cell r="AW368">
            <v>326860</v>
          </cell>
          <cell r="AX368">
            <v>6.2753076923076925E-2</v>
          </cell>
          <cell r="AY368">
            <v>6.2857692307692309E-2</v>
          </cell>
          <cell r="AZ368">
            <v>5.8</v>
          </cell>
          <cell r="BA368">
            <v>1</v>
          </cell>
          <cell r="BB368">
            <v>7.0027397260271496</v>
          </cell>
          <cell r="BC368">
            <v>1</v>
          </cell>
          <cell r="BD368">
            <v>0</v>
          </cell>
          <cell r="BE368">
            <v>0</v>
          </cell>
          <cell r="BF368">
            <v>195925.12</v>
          </cell>
          <cell r="BG368">
            <v>307308.81</v>
          </cell>
          <cell r="BH368">
            <v>307308.81</v>
          </cell>
          <cell r="BI368">
            <v>311196.81</v>
          </cell>
          <cell r="BJ368">
            <v>5245664</v>
          </cell>
        </row>
        <row r="369">
          <cell r="B369" t="str">
            <v>xil240ja</v>
          </cell>
          <cell r="C369" t="str">
            <v>240-252 James Street</v>
          </cell>
          <cell r="D369" t="str">
            <v>Realized</v>
          </cell>
          <cell r="E369" t="str">
            <v>Logistic Fund II</v>
          </cell>
          <cell r="F369" t="str">
            <v>USD</v>
          </cell>
          <cell r="G369" t="str">
            <v>Last Mile</v>
          </cell>
          <cell r="H369" t="str">
            <v>Chicago</v>
          </cell>
          <cell r="I369" t="str">
            <v>Bensenville</v>
          </cell>
          <cell r="J369" t="str">
            <v>IL</v>
          </cell>
          <cell r="K369">
            <v>60106</v>
          </cell>
          <cell r="L369" t="str">
            <v>United States</v>
          </cell>
          <cell r="M369" t="str">
            <v>Chicago-Naperville-Elgin, IL-IN-WI</v>
          </cell>
          <cell r="N369">
            <v>32600</v>
          </cell>
          <cell r="O369">
            <v>1</v>
          </cell>
          <cell r="P369" t="str">
            <v>Portfolio</v>
          </cell>
          <cell r="Q369" t="str">
            <v>Property - Private Equity</v>
          </cell>
          <cell r="R369" t="str">
            <v>Industrial</v>
          </cell>
          <cell r="S369" t="str">
            <v>Warehouse</v>
          </cell>
          <cell r="T369">
            <v>1980</v>
          </cell>
          <cell r="U369" t="str">
            <v>Sq. Feet</v>
          </cell>
          <cell r="V369" t="str">
            <v>Value-Add</v>
          </cell>
          <cell r="W369" t="str">
            <v>Industrial / Logistics</v>
          </cell>
          <cell r="X369" t="str">
            <v>Common Equity</v>
          </cell>
          <cell r="Y369">
            <v>332256</v>
          </cell>
          <cell r="Z369">
            <v>465452</v>
          </cell>
          <cell r="AA369">
            <v>3823877</v>
          </cell>
          <cell r="AB369">
            <v>8.6889824123526985E-2</v>
          </cell>
          <cell r="AC369">
            <v>260800</v>
          </cell>
          <cell r="AD369">
            <v>7.9985744871849521E-2</v>
          </cell>
          <cell r="AE369">
            <v>5.7500000000000002E-2</v>
          </cell>
          <cell r="AF369">
            <v>0.2215</v>
          </cell>
          <cell r="AG369">
            <v>2.71</v>
          </cell>
          <cell r="AH369">
            <v>0.17710000000000001</v>
          </cell>
          <cell r="AI369">
            <v>2.62</v>
          </cell>
          <cell r="AJ369">
            <v>0.15433251077342369</v>
          </cell>
          <cell r="AK369">
            <v>0.24093514619018719</v>
          </cell>
          <cell r="AL369">
            <v>2.5105041503319172</v>
          </cell>
          <cell r="AM369">
            <v>0.11585588092486465</v>
          </cell>
          <cell r="AN369">
            <v>0.19299230262492695</v>
          </cell>
          <cell r="AO369">
            <v>2.1436448881355039</v>
          </cell>
          <cell r="AP369" t="str">
            <v>Unsolicited \ Off-market</v>
          </cell>
          <cell r="AQ369" t="str">
            <v>Rent Optimization</v>
          </cell>
          <cell r="AR369" t="str">
            <v>Leasing Strategy</v>
          </cell>
          <cell r="AS369">
            <v>44676</v>
          </cell>
          <cell r="AT369">
            <v>3260581</v>
          </cell>
          <cell r="AU369">
            <v>3358425</v>
          </cell>
          <cell r="AV369">
            <v>215196</v>
          </cell>
          <cell r="AW369">
            <v>218721</v>
          </cell>
          <cell r="AX369">
            <v>6.5999280496328722E-2</v>
          </cell>
          <cell r="AY369">
            <v>6.7080376166088196E-2</v>
          </cell>
          <cell r="AZ369">
            <v>8.4625693251533693</v>
          </cell>
          <cell r="BA369">
            <v>1</v>
          </cell>
          <cell r="BB369">
            <v>1.8529792419631901</v>
          </cell>
          <cell r="BC369">
            <v>1</v>
          </cell>
          <cell r="BD369">
            <v>0</v>
          </cell>
          <cell r="BE369">
            <v>0</v>
          </cell>
          <cell r="BF369">
            <v>142405.36000000002</v>
          </cell>
          <cell r="BG369">
            <v>197148.16000000003</v>
          </cell>
          <cell r="BH369">
            <v>197148.16000000003</v>
          </cell>
          <cell r="BI369"/>
          <cell r="BJ369">
            <v>3416866.04</v>
          </cell>
        </row>
        <row r="370">
          <cell r="B370" t="str">
            <v>xga4450c</v>
          </cell>
          <cell r="C370" t="str">
            <v>4450 Commerce Drive</v>
          </cell>
          <cell r="D370" t="str">
            <v>Unrealized</v>
          </cell>
          <cell r="E370" t="str">
            <v>Logistic Fund II</v>
          </cell>
          <cell r="F370" t="str">
            <v>USD</v>
          </cell>
          <cell r="G370" t="str">
            <v>Last Mile</v>
          </cell>
          <cell r="H370" t="str">
            <v>Atlanta</v>
          </cell>
          <cell r="I370" t="str">
            <v>Atlanta</v>
          </cell>
          <cell r="J370" t="str">
            <v>GA</v>
          </cell>
          <cell r="K370">
            <v>30336</v>
          </cell>
          <cell r="L370" t="str">
            <v>United States</v>
          </cell>
          <cell r="M370" t="str">
            <v>Atlanta-Sandy Springs-Roswell, GA</v>
          </cell>
          <cell r="N370">
            <v>18700</v>
          </cell>
          <cell r="O370">
            <v>1</v>
          </cell>
          <cell r="P370" t="str">
            <v>Single Asset</v>
          </cell>
          <cell r="Q370" t="str">
            <v>Property - Private Equity</v>
          </cell>
          <cell r="R370" t="str">
            <v>Industrial</v>
          </cell>
          <cell r="S370" t="str">
            <v>Warehouse</v>
          </cell>
          <cell r="T370">
            <v>1969</v>
          </cell>
          <cell r="U370" t="str">
            <v>Sq. Feet</v>
          </cell>
          <cell r="V370" t="str">
            <v>Value-Add</v>
          </cell>
          <cell r="W370" t="str">
            <v>Industrial / Logistics</v>
          </cell>
          <cell r="X370" t="str">
            <v>Common Equity</v>
          </cell>
          <cell r="Y370">
            <v>145092</v>
          </cell>
          <cell r="Z370">
            <v>447333</v>
          </cell>
          <cell r="AA370">
            <v>2104083</v>
          </cell>
          <cell r="AB370">
            <v>6.8957355769710599E-2</v>
          </cell>
          <cell r="AC370">
            <v>112200</v>
          </cell>
          <cell r="AD370">
            <v>6.904615384615384E-2</v>
          </cell>
          <cell r="AE370">
            <v>5.2499999999999998E-2</v>
          </cell>
          <cell r="AF370">
            <v>0.16</v>
          </cell>
          <cell r="AG370">
            <v>2.3199999999999998</v>
          </cell>
          <cell r="AH370">
            <v>0.1237</v>
          </cell>
          <cell r="AI370">
            <v>2.23</v>
          </cell>
          <cell r="AJ370">
            <v>0.11522863568001496</v>
          </cell>
          <cell r="AK370">
            <v>0.17102757558999482</v>
          </cell>
          <cell r="AL370">
            <v>1.9708619847071644</v>
          </cell>
          <cell r="AM370">
            <v>8.2330642523143371E-2</v>
          </cell>
          <cell r="AN370">
            <v>0.13138144642975869</v>
          </cell>
          <cell r="AO370">
            <v>1.7139739136828971</v>
          </cell>
          <cell r="AP370" t="str">
            <v>Unsolicited \ Off-market</v>
          </cell>
          <cell r="AQ370" t="str">
            <v>Lease-up</v>
          </cell>
          <cell r="AR370" t="str">
            <v>Leasing Strategy</v>
          </cell>
          <cell r="AS370">
            <v>44726</v>
          </cell>
          <cell r="AT370">
            <v>1625000</v>
          </cell>
          <cell r="AU370">
            <v>1656750</v>
          </cell>
          <cell r="AV370">
            <v>55056</v>
          </cell>
          <cell r="AW370">
            <v>84681</v>
          </cell>
          <cell r="AX370">
            <v>3.3880615384615384E-2</v>
          </cell>
          <cell r="AY370">
            <v>5.2111384615384615E-2</v>
          </cell>
          <cell r="AZ370">
            <v>0</v>
          </cell>
          <cell r="BA370">
            <v>0</v>
          </cell>
          <cell r="BB370">
            <v>0</v>
          </cell>
          <cell r="BC370">
            <v>1</v>
          </cell>
          <cell r="BD370">
            <v>0</v>
          </cell>
          <cell r="BE370">
            <v>0</v>
          </cell>
          <cell r="BF370">
            <v>-33531.980000000003</v>
          </cell>
          <cell r="BG370">
            <v>42334.509999999995</v>
          </cell>
          <cell r="BH370">
            <v>42334.509999999995</v>
          </cell>
          <cell r="BI370">
            <v>98256.489999999991</v>
          </cell>
          <cell r="BJ370">
            <v>2090703.5899999999</v>
          </cell>
        </row>
        <row r="371">
          <cell r="B371" t="str">
            <v>xil1000e</v>
          </cell>
          <cell r="C371" t="str">
            <v>1000 E 87th St</v>
          </cell>
          <cell r="D371" t="str">
            <v>Unrealized</v>
          </cell>
          <cell r="E371" t="str">
            <v>Logistic Fund II</v>
          </cell>
          <cell r="F371" t="str">
            <v>USD</v>
          </cell>
          <cell r="G371" t="str">
            <v>Last Mile</v>
          </cell>
          <cell r="H371" t="str">
            <v>Chicago</v>
          </cell>
          <cell r="I371" t="str">
            <v>Chicago</v>
          </cell>
          <cell r="J371" t="str">
            <v>IL</v>
          </cell>
          <cell r="K371">
            <v>60619</v>
          </cell>
          <cell r="L371" t="str">
            <v>United States</v>
          </cell>
          <cell r="M371" t="str">
            <v>Chicago-Naperville-Elgin, IL-IN-WI</v>
          </cell>
          <cell r="N371">
            <v>34330</v>
          </cell>
          <cell r="O371">
            <v>1</v>
          </cell>
          <cell r="P371" t="str">
            <v>Single Asset</v>
          </cell>
          <cell r="Q371" t="str">
            <v>Property - Private Equity</v>
          </cell>
          <cell r="R371" t="str">
            <v>Industrial</v>
          </cell>
          <cell r="S371" t="str">
            <v>Warehouse</v>
          </cell>
          <cell r="T371">
            <v>1946</v>
          </cell>
          <cell r="U371" t="str">
            <v>Sq. Feet</v>
          </cell>
          <cell r="V371" t="str">
            <v>Value-Add</v>
          </cell>
          <cell r="W371" t="str">
            <v>Industrial / Logistics</v>
          </cell>
          <cell r="X371" t="str">
            <v>Common Equity</v>
          </cell>
          <cell r="Y371">
            <v>217944</v>
          </cell>
          <cell r="Z371">
            <v>186349</v>
          </cell>
          <cell r="AA371">
            <v>2943240</v>
          </cell>
          <cell r="AB371">
            <v>7.4049007216536872E-2</v>
          </cell>
          <cell r="AC371">
            <v>164562.5</v>
          </cell>
          <cell r="AD371">
            <v>6.2707556534446526E-2</v>
          </cell>
          <cell r="AE371">
            <v>5.7500000000000002E-2</v>
          </cell>
          <cell r="AF371">
            <v>0.2024</v>
          </cell>
          <cell r="AG371">
            <v>2.29</v>
          </cell>
          <cell r="AH371">
            <v>0.15820000000000001</v>
          </cell>
          <cell r="AI371">
            <v>2.2000000000000002</v>
          </cell>
          <cell r="AJ371">
            <v>0.12359966259027733</v>
          </cell>
          <cell r="AK371">
            <v>0.18834659273089471</v>
          </cell>
          <cell r="AL371">
            <v>2.0677922601616427</v>
          </cell>
          <cell r="AM371">
            <v>8.9451701129571237E-2</v>
          </cell>
          <cell r="AN371">
            <v>0.14672399465738017</v>
          </cell>
          <cell r="AO371">
            <v>1.7906708795758777</v>
          </cell>
          <cell r="AP371" t="str">
            <v>Market deal</v>
          </cell>
          <cell r="AQ371" t="str">
            <v>Renewal / Re-tenant</v>
          </cell>
          <cell r="AR371" t="str">
            <v>Stabilised</v>
          </cell>
          <cell r="AS371">
            <v>44726</v>
          </cell>
          <cell r="AT371">
            <v>2624285</v>
          </cell>
          <cell r="AU371">
            <v>2756891</v>
          </cell>
          <cell r="AV371">
            <v>-173172</v>
          </cell>
          <cell r="AW371">
            <v>117645</v>
          </cell>
          <cell r="AX371">
            <v>-6.5988259659297679E-2</v>
          </cell>
          <cell r="AY371">
            <v>4.4829353519149025E-2</v>
          </cell>
          <cell r="AZ371">
            <v>0</v>
          </cell>
          <cell r="BA371">
            <v>0</v>
          </cell>
          <cell r="BB371">
            <v>0</v>
          </cell>
          <cell r="BC371">
            <v>1</v>
          </cell>
          <cell r="BD371">
            <v>0</v>
          </cell>
          <cell r="BE371">
            <v>0</v>
          </cell>
          <cell r="BF371">
            <v>67034.790000000008</v>
          </cell>
          <cell r="BG371">
            <v>216199.05000000002</v>
          </cell>
          <cell r="BH371">
            <v>216199.05000000002</v>
          </cell>
          <cell r="BI371">
            <v>210709.77</v>
          </cell>
          <cell r="BJ371">
            <v>2808510.1</v>
          </cell>
        </row>
        <row r="372">
          <cell r="B372" t="str">
            <v>xnj19ind</v>
          </cell>
          <cell r="C372" t="str">
            <v>19 Industrial Avenue</v>
          </cell>
          <cell r="D372" t="str">
            <v>Unrealized</v>
          </cell>
          <cell r="E372" t="str">
            <v>Logistic Fund II</v>
          </cell>
          <cell r="F372" t="str">
            <v>USD</v>
          </cell>
          <cell r="G372" t="str">
            <v>Last Mile</v>
          </cell>
          <cell r="H372" t="str">
            <v>Northern NJ/New York</v>
          </cell>
          <cell r="I372" t="str">
            <v>Mahwah</v>
          </cell>
          <cell r="J372" t="str">
            <v>NJ</v>
          </cell>
          <cell r="K372" t="str">
            <v>07430</v>
          </cell>
          <cell r="L372" t="str">
            <v>United States</v>
          </cell>
          <cell r="M372" t="str">
            <v>New York-Newark-Jersey City, NY-NJ-PA</v>
          </cell>
          <cell r="N372">
            <v>52904</v>
          </cell>
          <cell r="O372">
            <v>1</v>
          </cell>
          <cell r="P372" t="str">
            <v>Single Asset</v>
          </cell>
          <cell r="Q372" t="str">
            <v>Property - Private Equity</v>
          </cell>
          <cell r="R372" t="str">
            <v>Industrial</v>
          </cell>
          <cell r="S372" t="str">
            <v>Warehouse</v>
          </cell>
          <cell r="T372">
            <v>1965</v>
          </cell>
          <cell r="U372" t="str">
            <v>Sq. Feet</v>
          </cell>
          <cell r="V372" t="str">
            <v>Value-Add</v>
          </cell>
          <cell r="W372" t="str">
            <v>Industrial / Logistics</v>
          </cell>
          <cell r="X372" t="str">
            <v>Common Equity</v>
          </cell>
          <cell r="Y372">
            <v>848928</v>
          </cell>
          <cell r="Z372">
            <v>704955</v>
          </cell>
          <cell r="AA372">
            <v>10420089</v>
          </cell>
          <cell r="AB372">
            <v>8.1470321414721117E-2</v>
          </cell>
          <cell r="AC372">
            <v>634164</v>
          </cell>
          <cell r="AD372">
            <v>6.5584051270569224E-2</v>
          </cell>
          <cell r="AE372">
            <v>5.2499999999999998E-2</v>
          </cell>
          <cell r="AF372">
            <v>0.2135</v>
          </cell>
          <cell r="AG372">
            <v>2.56</v>
          </cell>
          <cell r="AH372">
            <v>0.1691</v>
          </cell>
          <cell r="AI372">
            <v>2.4700000000000002</v>
          </cell>
          <cell r="AJ372">
            <v>0.15031311827325489</v>
          </cell>
          <cell r="AK372">
            <v>0.23129649691297249</v>
          </cell>
          <cell r="AL372">
            <v>2.5520296822742079</v>
          </cell>
          <cell r="AM372">
            <v>0.11330151908907005</v>
          </cell>
          <cell r="AN372">
            <v>0.18582414183752016</v>
          </cell>
          <cell r="AO372">
            <v>2.1768437830310226</v>
          </cell>
          <cell r="AP372" t="str">
            <v>Unsolicited \ Off-market</v>
          </cell>
          <cell r="AQ372" t="str">
            <v>Lease-up</v>
          </cell>
          <cell r="AR372" t="str">
            <v>Leasing Strategy</v>
          </cell>
          <cell r="AS372">
            <v>44727</v>
          </cell>
          <cell r="AT372">
            <v>9669485</v>
          </cell>
          <cell r="AU372">
            <v>9715134</v>
          </cell>
          <cell r="AV372">
            <v>295752</v>
          </cell>
          <cell r="AW372">
            <v>435788</v>
          </cell>
          <cell r="AX372">
            <v>3.0586117047598709E-2</v>
          </cell>
          <cell r="AY372">
            <v>4.5068377478221434E-2</v>
          </cell>
          <cell r="AZ372">
            <v>6.3766717909300539</v>
          </cell>
          <cell r="BA372">
            <v>0.66764027671022197</v>
          </cell>
          <cell r="BB372">
            <v>1.0132500815910801</v>
          </cell>
          <cell r="BC372">
            <v>1</v>
          </cell>
          <cell r="BD372">
            <v>0</v>
          </cell>
          <cell r="BE372">
            <v>0</v>
          </cell>
          <cell r="BF372">
            <v>230203.03999999998</v>
          </cell>
          <cell r="BG372">
            <v>563359.24</v>
          </cell>
          <cell r="BH372">
            <v>563359.24</v>
          </cell>
          <cell r="BI372">
            <v>639584.66000000015</v>
          </cell>
          <cell r="BJ372">
            <v>10237909.66</v>
          </cell>
        </row>
        <row r="373">
          <cell r="B373" t="str">
            <v>xga1610s</v>
          </cell>
          <cell r="C373" t="str">
            <v>1610 Spectrum Drive</v>
          </cell>
          <cell r="D373" t="str">
            <v>Unrealized</v>
          </cell>
          <cell r="E373" t="str">
            <v>Logistic Fund II</v>
          </cell>
          <cell r="F373" t="str">
            <v>USD</v>
          </cell>
          <cell r="G373" t="str">
            <v>Last Mile</v>
          </cell>
          <cell r="H373" t="str">
            <v>Atlanta</v>
          </cell>
          <cell r="I373" t="str">
            <v>Lawrenceville</v>
          </cell>
          <cell r="J373" t="str">
            <v>GA</v>
          </cell>
          <cell r="K373">
            <v>30043</v>
          </cell>
          <cell r="L373" t="str">
            <v>United States</v>
          </cell>
          <cell r="M373" t="str">
            <v>Atlanta-Sandy Springs-Roswell, GA</v>
          </cell>
          <cell r="N373">
            <v>27000</v>
          </cell>
          <cell r="O373">
            <v>1</v>
          </cell>
          <cell r="P373" t="str">
            <v>Single Asset</v>
          </cell>
          <cell r="Q373" t="str">
            <v>Property - Private Equity</v>
          </cell>
          <cell r="R373" t="str">
            <v>Industrial</v>
          </cell>
          <cell r="S373" t="str">
            <v>Warehouse</v>
          </cell>
          <cell r="T373">
            <v>1994</v>
          </cell>
          <cell r="U373" t="str">
            <v>Sq. Feet</v>
          </cell>
          <cell r="V373" t="str">
            <v>Value-Add</v>
          </cell>
          <cell r="W373" t="str">
            <v>Industrial / Logistics</v>
          </cell>
          <cell r="X373" t="str">
            <v>Common Equity</v>
          </cell>
          <cell r="Y373">
            <v>310188</v>
          </cell>
          <cell r="Z373">
            <v>97164</v>
          </cell>
          <cell r="AA373">
            <v>3333193</v>
          </cell>
          <cell r="AB373">
            <v>9.306031783938104E-2</v>
          </cell>
          <cell r="AC373">
            <v>247050</v>
          </cell>
          <cell r="AD373">
            <v>7.7203124999999997E-2</v>
          </cell>
          <cell r="AE373">
            <v>4.7500000000000001E-2</v>
          </cell>
          <cell r="AF373">
            <v>0.16009999999999999</v>
          </cell>
          <cell r="AG373">
            <v>2.0299999999999998</v>
          </cell>
          <cell r="AH373">
            <v>0.121</v>
          </cell>
          <cell r="AI373">
            <v>1.94</v>
          </cell>
          <cell r="AJ373">
            <v>0.1887614947224634</v>
          </cell>
          <cell r="AK373">
            <v>0.29176769951738568</v>
          </cell>
          <cell r="AL373">
            <v>3.3065957942700397</v>
          </cell>
          <cell r="AM373">
            <v>0.14757930562568822</v>
          </cell>
          <cell r="AN373">
            <v>0.24082726569685531</v>
          </cell>
          <cell r="AO373">
            <v>2.779171547726635</v>
          </cell>
          <cell r="AP373" t="str">
            <v>Unsolicited \ Off-market</v>
          </cell>
          <cell r="AQ373" t="str">
            <v>Rent Optimization</v>
          </cell>
          <cell r="AR373" t="str">
            <v>Leasing Strategy</v>
          </cell>
          <cell r="AS373">
            <v>44728</v>
          </cell>
          <cell r="AT373">
            <v>3200000</v>
          </cell>
          <cell r="AU373">
            <v>3236029</v>
          </cell>
          <cell r="AV373">
            <v>155256</v>
          </cell>
          <cell r="AW373">
            <v>156807</v>
          </cell>
          <cell r="AX373">
            <v>4.8517499999999998E-2</v>
          </cell>
          <cell r="AY373">
            <v>4.9002187500000002E-2</v>
          </cell>
          <cell r="AZ373">
            <v>6.2403955555555504</v>
          </cell>
          <cell r="BA373">
            <v>1</v>
          </cell>
          <cell r="BB373">
            <v>5.7945205479629598</v>
          </cell>
          <cell r="BC373">
            <v>1</v>
          </cell>
          <cell r="BD373">
            <v>0</v>
          </cell>
          <cell r="BE373">
            <v>0</v>
          </cell>
          <cell r="BF373">
            <v>81083.289999999994</v>
          </cell>
          <cell r="BG373">
            <v>163915.25999999998</v>
          </cell>
          <cell r="BH373">
            <v>163915.25999999998</v>
          </cell>
          <cell r="BI373">
            <v>164101.25999999998</v>
          </cell>
          <cell r="BJ373">
            <v>3236029</v>
          </cell>
        </row>
        <row r="374">
          <cell r="B374" t="str">
            <v>xga2900j</v>
          </cell>
          <cell r="C374" t="str">
            <v>2900 Jones Mill</v>
          </cell>
          <cell r="D374" t="str">
            <v>Unrealized</v>
          </cell>
          <cell r="E374" t="str">
            <v>Logistic Fund II</v>
          </cell>
          <cell r="F374" t="str">
            <v>USD</v>
          </cell>
          <cell r="G374" t="str">
            <v>Last Mile</v>
          </cell>
          <cell r="H374" t="str">
            <v>Atlanta</v>
          </cell>
          <cell r="I374" t="str">
            <v>Peachtree Corners</v>
          </cell>
          <cell r="J374" t="str">
            <v>GA</v>
          </cell>
          <cell r="K374">
            <v>30071</v>
          </cell>
          <cell r="L374" t="str">
            <v>United States</v>
          </cell>
          <cell r="M374" t="str">
            <v>Atlanta-Sandy Springs-Roswell, GA</v>
          </cell>
          <cell r="N374">
            <v>58225</v>
          </cell>
          <cell r="O374">
            <v>1</v>
          </cell>
          <cell r="P374" t="str">
            <v>Single Asset</v>
          </cell>
          <cell r="Q374" t="str">
            <v>Property - Private Equity</v>
          </cell>
          <cell r="R374" t="str">
            <v>Industrial</v>
          </cell>
          <cell r="S374" t="str">
            <v>Warehouse</v>
          </cell>
          <cell r="T374">
            <v>1989</v>
          </cell>
          <cell r="U374" t="str">
            <v>Sq. Feet</v>
          </cell>
          <cell r="V374" t="str">
            <v>Value-Add</v>
          </cell>
          <cell r="W374" t="str">
            <v>Industrial / Logistics</v>
          </cell>
          <cell r="X374" t="str">
            <v>Common Equity</v>
          </cell>
          <cell r="Y374">
            <v>718464</v>
          </cell>
          <cell r="Z374">
            <v>513141</v>
          </cell>
          <cell r="AA374">
            <v>10479049</v>
          </cell>
          <cell r="AB374">
            <v>6.8561946794981107E-2</v>
          </cell>
          <cell r="AC374">
            <v>539848.5</v>
          </cell>
          <cell r="AD374">
            <v>5.4411764705882354E-2</v>
          </cell>
          <cell r="AE374">
            <v>0.05</v>
          </cell>
          <cell r="AF374">
            <v>0.16339999999999999</v>
          </cell>
          <cell r="AG374">
            <v>2.0699999999999998</v>
          </cell>
          <cell r="AH374">
            <v>0.12429999999999999</v>
          </cell>
          <cell r="AI374">
            <v>1.98</v>
          </cell>
          <cell r="AJ374">
            <v>0.11802688240656756</v>
          </cell>
          <cell r="AK374">
            <v>0.17484899370602691</v>
          </cell>
          <cell r="AL374">
            <v>2.07406843402417</v>
          </cell>
          <cell r="AM374">
            <v>8.5025792218001328E-2</v>
          </cell>
          <cell r="AN374">
            <v>0.13523221234610849</v>
          </cell>
          <cell r="AO374">
            <v>1.7941114325624115</v>
          </cell>
          <cell r="AP374" t="str">
            <v>Unsolicited \ Off-market</v>
          </cell>
          <cell r="AQ374" t="str">
            <v>Lease-up</v>
          </cell>
          <cell r="AR374" t="str">
            <v>Leasing Strategy</v>
          </cell>
          <cell r="AS374">
            <v>44728</v>
          </cell>
          <cell r="AT374">
            <v>9921540</v>
          </cell>
          <cell r="AU374">
            <v>9965908</v>
          </cell>
          <cell r="AV374">
            <v>-117348</v>
          </cell>
          <cell r="AW374">
            <v>443812</v>
          </cell>
          <cell r="AX374">
            <v>-1.1827599344456607E-2</v>
          </cell>
          <cell r="AY374">
            <v>4.4732168594794758E-2</v>
          </cell>
          <cell r="AZ374">
            <v>0</v>
          </cell>
          <cell r="BA374">
            <v>0</v>
          </cell>
          <cell r="BB374">
            <v>0</v>
          </cell>
          <cell r="BC374">
            <v>1</v>
          </cell>
          <cell r="BD374">
            <v>0</v>
          </cell>
          <cell r="BE374">
            <v>0</v>
          </cell>
          <cell r="BF374">
            <v>-74245.45</v>
          </cell>
          <cell r="BG374">
            <v>137515.60999999999</v>
          </cell>
          <cell r="BH374">
            <v>137515.60999999999</v>
          </cell>
          <cell r="BI374">
            <v>534619.19999999995</v>
          </cell>
          <cell r="BJ374">
            <v>10974766.359999999</v>
          </cell>
        </row>
        <row r="375">
          <cell r="B375" t="str">
            <v>xpa3041m</v>
          </cell>
          <cell r="C375" t="str">
            <v>3041 Marwin Road</v>
          </cell>
          <cell r="D375" t="str">
            <v>Unrealized</v>
          </cell>
          <cell r="E375" t="str">
            <v>Logistic Fund II</v>
          </cell>
          <cell r="F375" t="str">
            <v>USD</v>
          </cell>
          <cell r="G375" t="str">
            <v>Last Mile</v>
          </cell>
          <cell r="H375" t="str">
            <v>Philadelphia</v>
          </cell>
          <cell r="I375" t="str">
            <v>Bensalem</v>
          </cell>
          <cell r="J375" t="str">
            <v>PA</v>
          </cell>
          <cell r="K375">
            <v>19020</v>
          </cell>
          <cell r="L375" t="str">
            <v>United States</v>
          </cell>
          <cell r="M375" t="str">
            <v>Philadelphia-Camden-Wilmington, PA-NJ-DE-MD</v>
          </cell>
          <cell r="N375">
            <v>75387</v>
          </cell>
          <cell r="O375">
            <v>1</v>
          </cell>
          <cell r="P375" t="str">
            <v>Single Asset</v>
          </cell>
          <cell r="Q375" t="str">
            <v>Property - Private Equity</v>
          </cell>
          <cell r="R375" t="str">
            <v>Industrial</v>
          </cell>
          <cell r="S375" t="str">
            <v>Warehouse</v>
          </cell>
          <cell r="T375">
            <v>1968</v>
          </cell>
          <cell r="U375" t="str">
            <v>Sq. Feet</v>
          </cell>
          <cell r="V375" t="str">
            <v>Value-Add</v>
          </cell>
          <cell r="W375" t="str">
            <v>Industrial / Logistics</v>
          </cell>
          <cell r="X375" t="str">
            <v>Common Equity</v>
          </cell>
          <cell r="Y375">
            <v>761784</v>
          </cell>
          <cell r="Z375">
            <v>900314</v>
          </cell>
          <cell r="AA375">
            <v>8497933</v>
          </cell>
          <cell r="AB375">
            <v>8.9643446235690497E-2</v>
          </cell>
          <cell r="AC375">
            <v>596280</v>
          </cell>
          <cell r="AD375">
            <v>8.0269233358013059E-2</v>
          </cell>
          <cell r="AE375">
            <v>5.5E-2</v>
          </cell>
          <cell r="AF375">
            <v>0.2039</v>
          </cell>
          <cell r="AG375">
            <v>2.39</v>
          </cell>
          <cell r="AH375">
            <v>0.16</v>
          </cell>
          <cell r="AI375">
            <v>2.2999999999999998</v>
          </cell>
          <cell r="AJ375">
            <v>0.17653411707996747</v>
          </cell>
          <cell r="AK375">
            <v>0.28129318571933082</v>
          </cell>
          <cell r="AL375">
            <v>2.8811325855515082</v>
          </cell>
          <cell r="AM375">
            <v>0.1361873258427202</v>
          </cell>
          <cell r="AN375">
            <v>0.2307246112086383</v>
          </cell>
          <cell r="AO375">
            <v>2.4409793939479898</v>
          </cell>
          <cell r="AP375" t="str">
            <v>Unsolicited \ Off-market</v>
          </cell>
          <cell r="AQ375" t="str">
            <v>Rent Optimization</v>
          </cell>
          <cell r="AR375" t="str">
            <v>Leasing Strategy</v>
          </cell>
          <cell r="AS375">
            <v>44733</v>
          </cell>
          <cell r="AT375">
            <v>7428500</v>
          </cell>
          <cell r="AU375">
            <v>7597619</v>
          </cell>
          <cell r="AV375">
            <v>511068</v>
          </cell>
          <cell r="AW375">
            <v>461929</v>
          </cell>
          <cell r="AX375">
            <v>6.8798276906508721E-2</v>
          </cell>
          <cell r="AY375">
            <v>6.2183347916806894E-2</v>
          </cell>
          <cell r="AZ375">
            <v>5.4160762277058296</v>
          </cell>
          <cell r="BA375">
            <v>0.68463772837093095</v>
          </cell>
          <cell r="BB375">
            <v>0.29772329116106</v>
          </cell>
          <cell r="BC375">
            <v>1</v>
          </cell>
          <cell r="BD375">
            <v>0</v>
          </cell>
          <cell r="BE375">
            <v>0</v>
          </cell>
          <cell r="BF375">
            <v>193298.45999999996</v>
          </cell>
          <cell r="BG375">
            <v>64125.150000000009</v>
          </cell>
          <cell r="BH375">
            <v>64125.150000000009</v>
          </cell>
          <cell r="BI375">
            <v>214789.02</v>
          </cell>
          <cell r="BJ375">
            <v>9468210.0700000003</v>
          </cell>
        </row>
        <row r="376">
          <cell r="B376" t="str">
            <v>xtx4666d</v>
          </cell>
          <cell r="C376" t="str">
            <v>4666 Duncanville Road</v>
          </cell>
          <cell r="D376" t="str">
            <v>Unrealized</v>
          </cell>
          <cell r="E376" t="str">
            <v>Logistic Fund II</v>
          </cell>
          <cell r="F376" t="str">
            <v>USD</v>
          </cell>
          <cell r="G376" t="str">
            <v>Last Mile</v>
          </cell>
          <cell r="H376" t="str">
            <v>Dallas</v>
          </cell>
          <cell r="I376" t="str">
            <v>Dallas</v>
          </cell>
          <cell r="J376" t="str">
            <v>TX</v>
          </cell>
          <cell r="K376">
            <v>75236</v>
          </cell>
          <cell r="L376" t="str">
            <v>United States</v>
          </cell>
          <cell r="M376" t="str">
            <v>Dallas-Fort Worth-Arlington, TX</v>
          </cell>
          <cell r="N376">
            <v>162792</v>
          </cell>
          <cell r="O376">
            <v>1</v>
          </cell>
          <cell r="P376" t="str">
            <v>Single Asset</v>
          </cell>
          <cell r="Q376" t="str">
            <v>Property - Private Equity</v>
          </cell>
          <cell r="R376" t="str">
            <v>Industrial</v>
          </cell>
          <cell r="S376" t="str">
            <v>Warehouse</v>
          </cell>
          <cell r="T376">
            <v>1976</v>
          </cell>
          <cell r="U376" t="str">
            <v>Sq. Feet</v>
          </cell>
          <cell r="V376" t="str">
            <v>Value-Add</v>
          </cell>
          <cell r="W376" t="str">
            <v>Industrial / Logistics</v>
          </cell>
          <cell r="X376" t="str">
            <v>Common Equity</v>
          </cell>
          <cell r="Y376">
            <v>1113564</v>
          </cell>
          <cell r="Z376">
            <v>796853</v>
          </cell>
          <cell r="AA376">
            <v>14363644</v>
          </cell>
          <cell r="AB376">
            <v>7.7526566378281161E-2</v>
          </cell>
          <cell r="AC376">
            <v>854658</v>
          </cell>
          <cell r="AD376">
            <v>6.3253180576833407E-2</v>
          </cell>
          <cell r="AE376">
            <v>5.2499999999999998E-2</v>
          </cell>
          <cell r="AF376">
            <v>0.18490000000000001</v>
          </cell>
          <cell r="AG376">
            <v>2.27</v>
          </cell>
          <cell r="AH376">
            <v>0.14299999999999999</v>
          </cell>
          <cell r="AI376">
            <v>2.17</v>
          </cell>
          <cell r="AJ376">
            <v>0.13100321781660629</v>
          </cell>
          <cell r="AK376">
            <v>0.19673722057971732</v>
          </cell>
          <cell r="AL376">
            <v>2.2707906331096885</v>
          </cell>
          <cell r="AM376">
            <v>9.6407287015354282E-2</v>
          </cell>
          <cell r="AN376">
            <v>0.15468166453984522</v>
          </cell>
          <cell r="AO376">
            <v>1.9522570712142437</v>
          </cell>
          <cell r="AP376" t="str">
            <v>Soft marketed</v>
          </cell>
          <cell r="AQ376" t="str">
            <v>Rent Optimization</v>
          </cell>
          <cell r="AR376" t="str">
            <v>Leasing Strategy</v>
          </cell>
          <cell r="AS376">
            <v>44733</v>
          </cell>
          <cell r="AT376">
            <v>13511700</v>
          </cell>
          <cell r="AU376">
            <v>13566791</v>
          </cell>
          <cell r="AV376">
            <v>643032</v>
          </cell>
          <cell r="AW376">
            <v>643032</v>
          </cell>
          <cell r="AX376">
            <v>4.7590754679277959E-2</v>
          </cell>
          <cell r="AY376">
            <v>4.7590754679277959E-2</v>
          </cell>
          <cell r="AZ376">
            <v>3.95</v>
          </cell>
          <cell r="BA376">
            <v>1</v>
          </cell>
          <cell r="BB376">
            <v>3.0273972602769099</v>
          </cell>
          <cell r="BC376">
            <v>1</v>
          </cell>
          <cell r="BD376">
            <v>0</v>
          </cell>
          <cell r="BE376">
            <v>0</v>
          </cell>
          <cell r="BF376">
            <v>328467.36</v>
          </cell>
          <cell r="BG376">
            <v>662449.02</v>
          </cell>
          <cell r="BH376">
            <v>662449.02</v>
          </cell>
          <cell r="BI376">
            <v>664244.27</v>
          </cell>
          <cell r="BJ376">
            <v>13573667.529999999</v>
          </cell>
        </row>
        <row r="377">
          <cell r="B377" t="str">
            <v>xga3651c</v>
          </cell>
          <cell r="C377" t="str">
            <v>3651 Clearview Place</v>
          </cell>
          <cell r="D377" t="str">
            <v>Unrealized</v>
          </cell>
          <cell r="E377" t="str">
            <v>Logistic Fund II</v>
          </cell>
          <cell r="F377" t="str">
            <v>USD</v>
          </cell>
          <cell r="G377" t="str">
            <v>Last Mile</v>
          </cell>
          <cell r="H377" t="str">
            <v>Atlanta</v>
          </cell>
          <cell r="I377" t="str">
            <v>Doraville</v>
          </cell>
          <cell r="J377" t="str">
            <v>GA</v>
          </cell>
          <cell r="K377">
            <v>30340</v>
          </cell>
          <cell r="L377" t="str">
            <v>United States</v>
          </cell>
          <cell r="M377" t="str">
            <v>Atlanta-Sandy Springs-Roswell, GA</v>
          </cell>
          <cell r="N377">
            <v>20030</v>
          </cell>
          <cell r="O377">
            <v>1</v>
          </cell>
          <cell r="P377" t="str">
            <v>Single Asset</v>
          </cell>
          <cell r="Q377" t="str">
            <v>Property - Private Equity</v>
          </cell>
          <cell r="R377" t="str">
            <v>Industrial</v>
          </cell>
          <cell r="S377" t="str">
            <v>Warehouse</v>
          </cell>
          <cell r="T377">
            <v>1969</v>
          </cell>
          <cell r="U377" t="str">
            <v>Sq. Feet</v>
          </cell>
          <cell r="V377" t="str">
            <v>Value-Add</v>
          </cell>
          <cell r="W377" t="str">
            <v>Industrial / Logistics</v>
          </cell>
          <cell r="X377" t="str">
            <v>Common Equity</v>
          </cell>
          <cell r="Y377">
            <v>274212</v>
          </cell>
          <cell r="Z377">
            <v>391201</v>
          </cell>
          <cell r="AA377">
            <v>3668592</v>
          </cell>
          <cell r="AB377">
            <v>7.4745842546677307E-2</v>
          </cell>
          <cell r="AC377">
            <v>209000</v>
          </cell>
          <cell r="AD377">
            <v>6.5807972336721449E-2</v>
          </cell>
          <cell r="AE377">
            <v>5.2499999999999998E-2</v>
          </cell>
          <cell r="AF377">
            <v>0.2225</v>
          </cell>
          <cell r="AG377">
            <v>2.8</v>
          </cell>
          <cell r="AH377">
            <v>0.17829999999999999</v>
          </cell>
          <cell r="AI377">
            <v>2.71</v>
          </cell>
          <cell r="AJ377">
            <v>0.13191281244261899</v>
          </cell>
          <cell r="AK377">
            <v>0.20007376068860716</v>
          </cell>
          <cell r="AL377">
            <v>2.2617463325734373</v>
          </cell>
          <cell r="AM377">
            <v>9.7224650155822712E-2</v>
          </cell>
          <cell r="AN377">
            <v>0.15787694511257033</v>
          </cell>
          <cell r="AO377">
            <v>1.9451697144985141</v>
          </cell>
          <cell r="AP377" t="str">
            <v>Soft marketed</v>
          </cell>
          <cell r="AQ377" t="str">
            <v>Rent Optimization</v>
          </cell>
          <cell r="AR377" t="str">
            <v>Leasing Strategy</v>
          </cell>
          <cell r="AS377">
            <v>44735</v>
          </cell>
          <cell r="AT377">
            <v>3175907</v>
          </cell>
          <cell r="AU377">
            <v>3277391</v>
          </cell>
          <cell r="AV377">
            <v>76008</v>
          </cell>
          <cell r="AW377">
            <v>132094</v>
          </cell>
          <cell r="AX377">
            <v>2.3932690724256096E-2</v>
          </cell>
          <cell r="AY377">
            <v>4.1592527740894177E-2</v>
          </cell>
          <cell r="AZ377">
            <v>4.5531702446330504</v>
          </cell>
          <cell r="BA377">
            <v>0.99850224663005405</v>
          </cell>
          <cell r="BB377">
            <v>1.91493581627558E-2</v>
          </cell>
          <cell r="BC377">
            <v>1</v>
          </cell>
          <cell r="BD377">
            <v>0</v>
          </cell>
          <cell r="BE377">
            <v>0</v>
          </cell>
          <cell r="BF377">
            <v>-11030.609999999999</v>
          </cell>
          <cell r="BG377">
            <v>275768.83999999997</v>
          </cell>
          <cell r="BH377">
            <v>275768.83999999997</v>
          </cell>
          <cell r="BI377">
            <v>176529.95999999996</v>
          </cell>
          <cell r="BJ377">
            <v>3730113.6</v>
          </cell>
        </row>
        <row r="378">
          <cell r="B378" t="str">
            <v>xil222ja</v>
          </cell>
          <cell r="C378" t="str">
            <v>222 James Street</v>
          </cell>
          <cell r="D378" t="str">
            <v>Unrealized</v>
          </cell>
          <cell r="E378" t="str">
            <v>Logistic Fund II</v>
          </cell>
          <cell r="F378" t="str">
            <v>USD</v>
          </cell>
          <cell r="G378" t="str">
            <v>Last Mile</v>
          </cell>
          <cell r="H378" t="str">
            <v>Chicago</v>
          </cell>
          <cell r="I378" t="str">
            <v>Bensenville</v>
          </cell>
          <cell r="J378" t="str">
            <v>IL</v>
          </cell>
          <cell r="K378">
            <v>60106</v>
          </cell>
          <cell r="L378" t="str">
            <v>United States</v>
          </cell>
          <cell r="M378" t="str">
            <v>Chicago-Naperville-Elgin, IL-IN-WI</v>
          </cell>
          <cell r="N378">
            <v>23925</v>
          </cell>
          <cell r="O378">
            <v>1</v>
          </cell>
          <cell r="P378" t="str">
            <v>Single Asset</v>
          </cell>
          <cell r="Q378" t="str">
            <v>Property - Private Equity</v>
          </cell>
          <cell r="R378" t="str">
            <v>Industrial</v>
          </cell>
          <cell r="S378" t="str">
            <v>Warehouse</v>
          </cell>
          <cell r="T378">
            <v>1980</v>
          </cell>
          <cell r="U378" t="str">
            <v>Sq. Feet</v>
          </cell>
          <cell r="V378" t="str">
            <v>Value-Add</v>
          </cell>
          <cell r="W378" t="str">
            <v>Industrial / Logistics</v>
          </cell>
          <cell r="X378" t="str">
            <v>Common Equity</v>
          </cell>
          <cell r="Y378">
            <v>252468</v>
          </cell>
          <cell r="Z378">
            <v>556649</v>
          </cell>
          <cell r="AA378">
            <v>2755955</v>
          </cell>
          <cell r="AB378">
            <v>9.160817212182347E-2</v>
          </cell>
          <cell r="AC378">
            <v>191400</v>
          </cell>
          <cell r="AD378">
            <v>8.9023255813953484E-2</v>
          </cell>
          <cell r="AE378">
            <v>5.7500000000000002E-2</v>
          </cell>
          <cell r="AF378">
            <v>0.23599999999999999</v>
          </cell>
          <cell r="AG378">
            <v>3.1</v>
          </cell>
          <cell r="AH378">
            <v>0.19120000000000001</v>
          </cell>
          <cell r="AI378">
            <v>3.01</v>
          </cell>
          <cell r="AJ378">
            <v>0.17326979996244352</v>
          </cell>
          <cell r="AK378">
            <v>0.27507282774709663</v>
          </cell>
          <cell r="AL378">
            <v>2.7958648174878835</v>
          </cell>
          <cell r="AM378">
            <v>0.13339632385586486</v>
          </cell>
          <cell r="AN378">
            <v>0.22528807371390802</v>
          </cell>
          <cell r="AO378">
            <v>2.3742514024898043</v>
          </cell>
          <cell r="AP378" t="str">
            <v>Market deal</v>
          </cell>
          <cell r="AQ378" t="str">
            <v>Renewal / Re-tenant</v>
          </cell>
          <cell r="AR378" t="str">
            <v>Leasing Strategy</v>
          </cell>
          <cell r="AS378">
            <v>44735</v>
          </cell>
          <cell r="AT378">
            <v>2150000</v>
          </cell>
          <cell r="AU378">
            <v>2199306</v>
          </cell>
          <cell r="AV378">
            <v>200076</v>
          </cell>
          <cell r="AW378">
            <v>104846</v>
          </cell>
          <cell r="AX378">
            <v>9.3058604651162793E-2</v>
          </cell>
          <cell r="AY378">
            <v>4.8765581395348839E-2</v>
          </cell>
          <cell r="AZ378">
            <v>9.8569128526645695</v>
          </cell>
          <cell r="BA378">
            <v>1</v>
          </cell>
          <cell r="BB378">
            <v>0.87262764635318701</v>
          </cell>
          <cell r="BC378">
            <v>1</v>
          </cell>
          <cell r="BD378">
            <v>0</v>
          </cell>
          <cell r="BE378">
            <v>0</v>
          </cell>
          <cell r="BF378">
            <v>63435.790000000008</v>
          </cell>
          <cell r="BG378">
            <v>176251.23</v>
          </cell>
          <cell r="BH378">
            <v>176251.23</v>
          </cell>
          <cell r="BI378">
            <v>225880.08000000002</v>
          </cell>
          <cell r="BJ378">
            <v>2611348.52</v>
          </cell>
        </row>
        <row r="379">
          <cell r="B379" t="str">
            <v>xnj70cat</v>
          </cell>
          <cell r="C379" t="str">
            <v>70 Cathy Lane</v>
          </cell>
          <cell r="D379" t="str">
            <v>Unrealized</v>
          </cell>
          <cell r="E379" t="str">
            <v>Logistic Fund II</v>
          </cell>
          <cell r="F379" t="str">
            <v>USD</v>
          </cell>
          <cell r="G379" t="str">
            <v>Last Mile</v>
          </cell>
          <cell r="H379" t="str">
            <v>Philadelphia</v>
          </cell>
          <cell r="I379" t="str">
            <v>Florence</v>
          </cell>
          <cell r="J379" t="str">
            <v>NJ</v>
          </cell>
          <cell r="K379" t="str">
            <v>08016</v>
          </cell>
          <cell r="L379" t="str">
            <v>United States</v>
          </cell>
          <cell r="M379" t="str">
            <v>Philadelphia-Camden-Wilmington, PA-NJ-DE-MD</v>
          </cell>
          <cell r="N379">
            <v>19240</v>
          </cell>
          <cell r="O379">
            <v>1</v>
          </cell>
          <cell r="P379" t="str">
            <v>Single Asset</v>
          </cell>
          <cell r="Q379" t="str">
            <v>Property - Private Equity</v>
          </cell>
          <cell r="R379" t="str">
            <v>Industrial</v>
          </cell>
          <cell r="S379" t="str">
            <v>Warehouse</v>
          </cell>
          <cell r="T379">
            <v>1980</v>
          </cell>
          <cell r="U379" t="str">
            <v>Sq. Feet</v>
          </cell>
          <cell r="V379" t="str">
            <v>Value-Add</v>
          </cell>
          <cell r="W379" t="str">
            <v>Industrial / Logistics</v>
          </cell>
          <cell r="X379" t="str">
            <v>Common Equity</v>
          </cell>
          <cell r="Y379">
            <v>169680</v>
          </cell>
          <cell r="Z379">
            <v>387793</v>
          </cell>
          <cell r="AA379">
            <v>2021008</v>
          </cell>
          <cell r="AB379">
            <v>8.3958104074798312E-2</v>
          </cell>
          <cell r="AC379">
            <v>136000</v>
          </cell>
          <cell r="AD379">
            <v>8.5000000000000006E-2</v>
          </cell>
          <cell r="AE379">
            <v>5.7500000000000002E-2</v>
          </cell>
          <cell r="AF379">
            <v>0.19650000000000001</v>
          </cell>
          <cell r="AG379">
            <v>2.54</v>
          </cell>
          <cell r="AH379">
            <v>0.15440000000000001</v>
          </cell>
          <cell r="AI379">
            <v>2.4500000000000002</v>
          </cell>
          <cell r="AJ379">
            <v>0.14320974990192203</v>
          </cell>
          <cell r="AK379">
            <v>0.22139904131923993</v>
          </cell>
          <cell r="AL379">
            <v>2.3127838265751608</v>
          </cell>
          <cell r="AM379">
            <v>0.10673148691268497</v>
          </cell>
          <cell r="AN379">
            <v>0.17620693327508508</v>
          </cell>
          <cell r="AO379">
            <v>1.9898655372019858</v>
          </cell>
          <cell r="AP379" t="str">
            <v>Unsolicited \ Off-market</v>
          </cell>
          <cell r="AQ379" t="str">
            <v>Rent Optimization</v>
          </cell>
          <cell r="AR379" t="str">
            <v>Leasing Strategy</v>
          </cell>
          <cell r="AS379">
            <v>44736</v>
          </cell>
          <cell r="AT379">
            <v>1600000</v>
          </cell>
          <cell r="AU379">
            <v>1633215</v>
          </cell>
          <cell r="AV379">
            <v>98616</v>
          </cell>
          <cell r="AW379">
            <v>95237</v>
          </cell>
          <cell r="AX379">
            <v>6.1635000000000002E-2</v>
          </cell>
          <cell r="AY379">
            <v>5.9523125000000003E-2</v>
          </cell>
          <cell r="AZ379">
            <v>5.92515592515592</v>
          </cell>
          <cell r="BA379">
            <v>1</v>
          </cell>
          <cell r="BB379">
            <v>2.6777888531184999</v>
          </cell>
          <cell r="BC379">
            <v>1</v>
          </cell>
          <cell r="BD379">
            <v>0</v>
          </cell>
          <cell r="BE379">
            <v>0</v>
          </cell>
          <cell r="BF379">
            <v>56508.14</v>
          </cell>
          <cell r="BG379">
            <v>112367.64</v>
          </cell>
          <cell r="BH379">
            <v>112367.64</v>
          </cell>
          <cell r="BI379">
            <v>134767.67000000001</v>
          </cell>
          <cell r="BJ379">
            <v>1665134.4</v>
          </cell>
        </row>
        <row r="380">
          <cell r="B380" t="str">
            <v>xnj6900r</v>
          </cell>
          <cell r="C380" t="str">
            <v>6900 River Road</v>
          </cell>
          <cell r="D380" t="str">
            <v>Unrealized</v>
          </cell>
          <cell r="E380" t="str">
            <v>Logistic Fund II</v>
          </cell>
          <cell r="F380" t="str">
            <v>USD</v>
          </cell>
          <cell r="G380" t="str">
            <v>Last Mile</v>
          </cell>
          <cell r="H380" t="str">
            <v>Philadelphia</v>
          </cell>
          <cell r="I380" t="str">
            <v>Pennsauken</v>
          </cell>
          <cell r="J380" t="str">
            <v>NJ</v>
          </cell>
          <cell r="K380" t="str">
            <v>08110</v>
          </cell>
          <cell r="L380" t="str">
            <v>United States</v>
          </cell>
          <cell r="M380" t="str">
            <v>Philadelphia-Camden-Wilmington, PA-NJ-DE-MD</v>
          </cell>
          <cell r="N380">
            <v>22698</v>
          </cell>
          <cell r="O380">
            <v>1</v>
          </cell>
          <cell r="P380" t="str">
            <v>Single Asset</v>
          </cell>
          <cell r="Q380" t="str">
            <v>Property - Private Equity</v>
          </cell>
          <cell r="R380" t="str">
            <v>Industrial</v>
          </cell>
          <cell r="S380" t="str">
            <v>Warehouse</v>
          </cell>
          <cell r="T380">
            <v>1970</v>
          </cell>
          <cell r="U380" t="str">
            <v>Sq. Feet</v>
          </cell>
          <cell r="V380" t="str">
            <v>Value-Add</v>
          </cell>
          <cell r="W380" t="str">
            <v>Industrial / Logistics</v>
          </cell>
          <cell r="X380" t="str">
            <v>Common Equity</v>
          </cell>
          <cell r="Y380">
            <v>248916</v>
          </cell>
          <cell r="Z380">
            <v>506190</v>
          </cell>
          <cell r="AA380">
            <v>2292013</v>
          </cell>
          <cell r="AB380">
            <v>0.10860147826386674</v>
          </cell>
          <cell r="AC380">
            <v>192933</v>
          </cell>
          <cell r="AD380">
            <v>0.11024742857142857</v>
          </cell>
          <cell r="AE380">
            <v>5.7500000000000002E-2</v>
          </cell>
          <cell r="AF380">
            <v>0.32519999999999999</v>
          </cell>
          <cell r="AG380">
            <v>4.22</v>
          </cell>
          <cell r="AH380">
            <v>0.27160000000000001</v>
          </cell>
          <cell r="AI380">
            <v>4.13</v>
          </cell>
          <cell r="AJ380">
            <v>0.21962485977597179</v>
          </cell>
          <cell r="AK380">
            <v>0.34659077475917544</v>
          </cell>
          <cell r="AL380">
            <v>3.4853058863495843</v>
          </cell>
          <cell r="AM380">
            <v>0.17494780226272266</v>
          </cell>
          <cell r="AN380">
            <v>0.29116703646294306</v>
          </cell>
          <cell r="AO380">
            <v>2.9286475307567472</v>
          </cell>
          <cell r="AP380" t="str">
            <v>Unsolicited \ Off-market</v>
          </cell>
          <cell r="AQ380" t="str">
            <v>Rent Optimization</v>
          </cell>
          <cell r="AR380" t="str">
            <v>Leasing Strategy</v>
          </cell>
          <cell r="AS380">
            <v>44736</v>
          </cell>
          <cell r="AT380">
            <v>1750000</v>
          </cell>
          <cell r="AU380">
            <v>1785823</v>
          </cell>
          <cell r="AV380">
            <v>102144</v>
          </cell>
          <cell r="AW380">
            <v>102143</v>
          </cell>
          <cell r="AX380">
            <v>5.8368000000000003E-2</v>
          </cell>
          <cell r="AY380">
            <v>5.836742857142857E-2</v>
          </cell>
          <cell r="AZ380">
            <v>4.5</v>
          </cell>
          <cell r="BA380">
            <v>1</v>
          </cell>
          <cell r="BB380">
            <v>1.4356164383646099</v>
          </cell>
          <cell r="BC380">
            <v>1</v>
          </cell>
          <cell r="BD380">
            <v>0</v>
          </cell>
          <cell r="BE380">
            <v>0</v>
          </cell>
          <cell r="BF380">
            <v>46227.640000000007</v>
          </cell>
          <cell r="BG380">
            <v>67877.87999999999</v>
          </cell>
          <cell r="BH380">
            <v>67877.87999999999</v>
          </cell>
          <cell r="BI380">
            <v>-66576.88</v>
          </cell>
          <cell r="BJ380">
            <v>1812689.42</v>
          </cell>
        </row>
        <row r="381">
          <cell r="B381" t="str">
            <v>xga1585r</v>
          </cell>
          <cell r="C381" t="str">
            <v>1585 Roadhaven Drive</v>
          </cell>
          <cell r="D381" t="str">
            <v>Unrealized</v>
          </cell>
          <cell r="E381" t="str">
            <v>Logistic Fund II</v>
          </cell>
          <cell r="F381" t="str">
            <v>USD</v>
          </cell>
          <cell r="G381" t="str">
            <v>Last Mile</v>
          </cell>
          <cell r="H381" t="str">
            <v>Atlanta</v>
          </cell>
          <cell r="I381" t="str">
            <v>Stone Mountain</v>
          </cell>
          <cell r="J381" t="str">
            <v>GA</v>
          </cell>
          <cell r="K381">
            <v>30083</v>
          </cell>
          <cell r="L381" t="str">
            <v>United States</v>
          </cell>
          <cell r="M381" t="str">
            <v>Atlanta-Sandy Springs-Roswell, GA</v>
          </cell>
          <cell r="N381">
            <v>48000</v>
          </cell>
          <cell r="O381">
            <v>1</v>
          </cell>
          <cell r="P381" t="str">
            <v>Single Asset</v>
          </cell>
          <cell r="Q381" t="str">
            <v>Property - Private Equity</v>
          </cell>
          <cell r="R381" t="str">
            <v>Industrial</v>
          </cell>
          <cell r="S381" t="str">
            <v>Warehouse</v>
          </cell>
          <cell r="T381">
            <v>1973</v>
          </cell>
          <cell r="U381" t="str">
            <v>Sq. Feet</v>
          </cell>
          <cell r="V381" t="str">
            <v>Value-Add</v>
          </cell>
          <cell r="W381" t="str">
            <v>Industrial / Logistics</v>
          </cell>
          <cell r="X381" t="str">
            <v>Common Equity</v>
          </cell>
          <cell r="Y381">
            <v>425412</v>
          </cell>
          <cell r="Z381">
            <v>484057</v>
          </cell>
          <cell r="AA381">
            <v>5892931</v>
          </cell>
          <cell r="AB381">
            <v>7.2190222488605418E-2</v>
          </cell>
          <cell r="AC381">
            <v>336000</v>
          </cell>
          <cell r="AD381">
            <v>6.2639821029082776E-2</v>
          </cell>
          <cell r="AE381">
            <v>5.2499999999999998E-2</v>
          </cell>
          <cell r="AF381">
            <v>0.15870000000000001</v>
          </cell>
          <cell r="AG381">
            <v>2.15</v>
          </cell>
          <cell r="AH381">
            <v>0.12139999999999999</v>
          </cell>
          <cell r="AI381">
            <v>2.0499999999999998</v>
          </cell>
          <cell r="AJ381">
            <v>0.12076798361993224</v>
          </cell>
          <cell r="AK381">
            <v>0.17990577942724562</v>
          </cell>
          <cell r="AL381">
            <v>2.142974524226374</v>
          </cell>
          <cell r="AM381">
            <v>8.7702884485545418E-2</v>
          </cell>
          <cell r="AN381">
            <v>0.14012352732409994</v>
          </cell>
          <cell r="AO381">
            <v>1.8489701685922515</v>
          </cell>
          <cell r="AP381" t="str">
            <v>Soft marketed</v>
          </cell>
          <cell r="AQ381" t="str">
            <v>Lease-up</v>
          </cell>
          <cell r="AR381" t="str">
            <v>Leasing Strategy</v>
          </cell>
          <cell r="AS381">
            <v>44747</v>
          </cell>
          <cell r="AT381">
            <v>5364000</v>
          </cell>
          <cell r="AU381">
            <v>5408874</v>
          </cell>
          <cell r="AV381">
            <v>-200448</v>
          </cell>
          <cell r="AW381">
            <v>254990</v>
          </cell>
          <cell r="AX381">
            <v>-3.7369127516778525E-2</v>
          </cell>
          <cell r="AY381">
            <v>4.7537285607755407E-2</v>
          </cell>
          <cell r="AZ381">
            <v>5</v>
          </cell>
          <cell r="BA381">
            <v>1</v>
          </cell>
          <cell r="BB381">
            <v>8.2191780812500004E-2</v>
          </cell>
          <cell r="BC381">
            <v>1</v>
          </cell>
          <cell r="BD381">
            <v>0</v>
          </cell>
          <cell r="BE381">
            <v>0</v>
          </cell>
          <cell r="BF381">
            <v>-22601.67</v>
          </cell>
          <cell r="BG381">
            <v>305486.46000000008</v>
          </cell>
          <cell r="BH381">
            <v>305486.46000000008</v>
          </cell>
          <cell r="BI381">
            <v>350688.20999999996</v>
          </cell>
          <cell r="BJ381">
            <v>6001736.2599999998</v>
          </cell>
        </row>
        <row r="382">
          <cell r="B382" t="str">
            <v>xoh154co</v>
          </cell>
          <cell r="C382" t="str">
            <v>154 Commerce Blvd</v>
          </cell>
          <cell r="D382" t="str">
            <v>Unrealized</v>
          </cell>
          <cell r="E382" t="str">
            <v>Logistic Fund II</v>
          </cell>
          <cell r="F382" t="str">
            <v>USD</v>
          </cell>
          <cell r="G382" t="str">
            <v>Last Mile</v>
          </cell>
          <cell r="H382" t="str">
            <v>Cincinnati</v>
          </cell>
          <cell r="I382" t="str">
            <v>Loveland</v>
          </cell>
          <cell r="J382" t="str">
            <v>OH</v>
          </cell>
          <cell r="K382">
            <v>45140</v>
          </cell>
          <cell r="L382" t="str">
            <v>United States</v>
          </cell>
          <cell r="M382" t="str">
            <v>Cincinnati, OH-KY-IN</v>
          </cell>
          <cell r="N382">
            <v>79918</v>
          </cell>
          <cell r="O382">
            <v>1</v>
          </cell>
          <cell r="P382" t="str">
            <v>Single Asset</v>
          </cell>
          <cell r="Q382" t="str">
            <v>Property - Private Equity</v>
          </cell>
          <cell r="R382" t="str">
            <v>Industrial</v>
          </cell>
          <cell r="S382" t="str">
            <v>Warehouse</v>
          </cell>
          <cell r="T382">
            <v>1994</v>
          </cell>
          <cell r="U382" t="str">
            <v>Sq. Feet</v>
          </cell>
          <cell r="V382" t="str">
            <v>Value-Add</v>
          </cell>
          <cell r="W382" t="str">
            <v>Industrial / Logistics</v>
          </cell>
          <cell r="X382" t="str">
            <v>Common Equity</v>
          </cell>
          <cell r="Y382">
            <v>478836</v>
          </cell>
          <cell r="Z382">
            <v>324794</v>
          </cell>
          <cell r="AA382">
            <v>5668874</v>
          </cell>
          <cell r="AB382">
            <v>8.4467567986164449E-2</v>
          </cell>
          <cell r="AC382">
            <v>375614.6</v>
          </cell>
          <cell r="AD382">
            <v>7.3005753158406211E-2</v>
          </cell>
          <cell r="AE382">
            <v>0.06</v>
          </cell>
          <cell r="AF382">
            <v>0.23449999999999999</v>
          </cell>
          <cell r="AG382">
            <v>2.5</v>
          </cell>
          <cell r="AH382">
            <v>0.1862</v>
          </cell>
          <cell r="AI382">
            <v>2.4</v>
          </cell>
          <cell r="AJ382">
            <v>0.14573496267838748</v>
          </cell>
          <cell r="AK382">
            <v>0.23222449193834049</v>
          </cell>
          <cell r="AL382">
            <v>2.3602408493833114</v>
          </cell>
          <cell r="AM382">
            <v>0.10882622086385596</v>
          </cell>
          <cell r="AN382">
            <v>0.18576288125212015</v>
          </cell>
          <cell r="AO382">
            <v>2.0251961906917195</v>
          </cell>
          <cell r="AP382" t="str">
            <v>Unsolicited \ Off-market</v>
          </cell>
          <cell r="AQ382" t="str">
            <v>Renewal / Re-tenant</v>
          </cell>
          <cell r="AR382" t="str">
            <v>Stabilised</v>
          </cell>
          <cell r="AS382">
            <v>44754</v>
          </cell>
          <cell r="AT382">
            <v>5145000</v>
          </cell>
          <cell r="AU382">
            <v>5344080</v>
          </cell>
          <cell r="AV382">
            <v>374820</v>
          </cell>
          <cell r="AW382">
            <v>377318</v>
          </cell>
          <cell r="AX382">
            <v>7.2851311953352774E-2</v>
          </cell>
          <cell r="AY382">
            <v>7.3336831875607383E-2</v>
          </cell>
          <cell r="AZ382">
            <v>4.6900002502565101</v>
          </cell>
          <cell r="BA382">
            <v>1</v>
          </cell>
          <cell r="BB382">
            <v>4.6356164383618204</v>
          </cell>
          <cell r="BC382">
            <v>1</v>
          </cell>
          <cell r="BD382">
            <v>0</v>
          </cell>
          <cell r="BE382">
            <v>0</v>
          </cell>
          <cell r="BF382">
            <v>134457.06</v>
          </cell>
          <cell r="BG382">
            <v>392346.79</v>
          </cell>
          <cell r="BH382">
            <v>392346.79</v>
          </cell>
          <cell r="BI382">
            <v>422175.92999999993</v>
          </cell>
          <cell r="BJ382">
            <v>5522793.9000000004</v>
          </cell>
        </row>
        <row r="383">
          <cell r="B383" t="str">
            <v>xnj1803u</v>
          </cell>
          <cell r="C383" t="str">
            <v>1803 Underwood Boulevard</v>
          </cell>
          <cell r="D383" t="str">
            <v>Unrealized</v>
          </cell>
          <cell r="E383" t="str">
            <v>Logistic Fund II</v>
          </cell>
          <cell r="F383" t="str">
            <v>USD</v>
          </cell>
          <cell r="G383" t="str">
            <v>Last Mile</v>
          </cell>
          <cell r="H383" t="str">
            <v>Philadelphia</v>
          </cell>
          <cell r="I383" t="str">
            <v>Delran</v>
          </cell>
          <cell r="J383" t="str">
            <v>NJ</v>
          </cell>
          <cell r="K383" t="str">
            <v>08075</v>
          </cell>
          <cell r="L383" t="str">
            <v>United States</v>
          </cell>
          <cell r="M383" t="str">
            <v>Philadelphia-Camden-Wilmington, PA-NJ-DE-MD</v>
          </cell>
          <cell r="N383">
            <v>17600</v>
          </cell>
          <cell r="O383">
            <v>1</v>
          </cell>
          <cell r="P383" t="str">
            <v>Single Asset</v>
          </cell>
          <cell r="Q383" t="str">
            <v>Property - Private Equity</v>
          </cell>
          <cell r="R383" t="str">
            <v>Industrial</v>
          </cell>
          <cell r="S383" t="str">
            <v>Warehouse</v>
          </cell>
          <cell r="T383">
            <v>1974</v>
          </cell>
          <cell r="U383" t="str">
            <v>Sq. Feet</v>
          </cell>
          <cell r="V383" t="str">
            <v>Value-Add</v>
          </cell>
          <cell r="W383" t="str">
            <v>Industrial / Logistics</v>
          </cell>
          <cell r="X383" t="str">
            <v>Common Equity</v>
          </cell>
          <cell r="Y383">
            <v>158340</v>
          </cell>
          <cell r="Z383">
            <v>400715</v>
          </cell>
          <cell r="AA383">
            <v>2069250</v>
          </cell>
          <cell r="AB383">
            <v>7.6520478434215292E-2</v>
          </cell>
          <cell r="AC383">
            <v>127600</v>
          </cell>
          <cell r="AD383">
            <v>7.9750000000000001E-2</v>
          </cell>
          <cell r="AE383">
            <v>5.7500000000000002E-2</v>
          </cell>
          <cell r="AF383">
            <v>0.17519999999999999</v>
          </cell>
          <cell r="AG383">
            <v>2.44</v>
          </cell>
          <cell r="AH383">
            <v>0.13730000000000001</v>
          </cell>
          <cell r="AI383">
            <v>2.35</v>
          </cell>
          <cell r="AJ383">
            <v>0.12337967063972677</v>
          </cell>
          <cell r="AK383">
            <v>0.18805351160830819</v>
          </cell>
          <cell r="AL383">
            <v>2.1029004409075247</v>
          </cell>
          <cell r="AM383">
            <v>8.9600501967316282E-2</v>
          </cell>
          <cell r="AN383">
            <v>0.14653428413990466</v>
          </cell>
          <cell r="AO383">
            <v>1.8191463327008965</v>
          </cell>
          <cell r="AP383" t="str">
            <v>Unsolicited \ Off-market</v>
          </cell>
          <cell r="AQ383" t="str">
            <v>Rent Optimization</v>
          </cell>
          <cell r="AR383" t="str">
            <v>Leasing Strategy</v>
          </cell>
          <cell r="AS383">
            <v>44755</v>
          </cell>
          <cell r="AT383">
            <v>1600000</v>
          </cell>
          <cell r="AU383">
            <v>1668535</v>
          </cell>
          <cell r="AV383">
            <v>110016</v>
          </cell>
          <cell r="AW383">
            <v>110746</v>
          </cell>
          <cell r="AX383">
            <v>6.8760000000000002E-2</v>
          </cell>
          <cell r="AY383">
            <v>6.9216250000000007E-2</v>
          </cell>
          <cell r="AZ383">
            <v>6.2500022727272704</v>
          </cell>
          <cell r="BA383">
            <v>1</v>
          </cell>
          <cell r="BB383">
            <v>0.99452054795454503</v>
          </cell>
          <cell r="BC383">
            <v>1</v>
          </cell>
          <cell r="BD383">
            <v>0</v>
          </cell>
          <cell r="BE383">
            <v>0</v>
          </cell>
          <cell r="BF383">
            <v>7773.2700000000013</v>
          </cell>
          <cell r="BG383">
            <v>26305.220000000008</v>
          </cell>
          <cell r="BH383">
            <v>26305.220000000008</v>
          </cell>
          <cell r="BI383">
            <v>-48306.35</v>
          </cell>
          <cell r="BJ383">
            <v>1868838.14</v>
          </cell>
        </row>
        <row r="384">
          <cell r="B384" t="str">
            <v>xil1100h</v>
          </cell>
          <cell r="C384" t="str">
            <v>1100-1150 Howard</v>
          </cell>
          <cell r="D384" t="str">
            <v>Unrealized</v>
          </cell>
          <cell r="E384" t="str">
            <v>Logistic Fund II</v>
          </cell>
          <cell r="F384" t="str">
            <v>USD</v>
          </cell>
          <cell r="G384" t="str">
            <v>Last Mile</v>
          </cell>
          <cell r="H384" t="str">
            <v>Chicago</v>
          </cell>
          <cell r="I384" t="str">
            <v>Elk Grove Village</v>
          </cell>
          <cell r="J384" t="str">
            <v>IL</v>
          </cell>
          <cell r="K384">
            <v>60007</v>
          </cell>
          <cell r="L384" t="str">
            <v>United States</v>
          </cell>
          <cell r="M384" t="str">
            <v>Chicago-Naperville-Elgin, IL-IN-WI</v>
          </cell>
          <cell r="N384">
            <v>23500</v>
          </cell>
          <cell r="O384">
            <v>1</v>
          </cell>
          <cell r="P384" t="str">
            <v>Single Asset</v>
          </cell>
          <cell r="Q384" t="str">
            <v>Property - Private Equity</v>
          </cell>
          <cell r="R384" t="str">
            <v>Industrial</v>
          </cell>
          <cell r="S384" t="str">
            <v>Warehouse</v>
          </cell>
          <cell r="T384">
            <v>1973</v>
          </cell>
          <cell r="U384" t="str">
            <v>Sq. Feet</v>
          </cell>
          <cell r="V384" t="str">
            <v>Value-Add</v>
          </cell>
          <cell r="W384" t="str">
            <v>Industrial / Logistics</v>
          </cell>
          <cell r="X384" t="str">
            <v>Common Equity</v>
          </cell>
          <cell r="Y384">
            <v>180768</v>
          </cell>
          <cell r="Z384">
            <v>372484</v>
          </cell>
          <cell r="AA384">
            <v>2283353</v>
          </cell>
          <cell r="AB384">
            <v>7.9167785270170668E-2</v>
          </cell>
          <cell r="AC384">
            <v>154628.5</v>
          </cell>
          <cell r="AD384">
            <v>8.2249202127659571E-2</v>
          </cell>
          <cell r="AE384">
            <v>0.06</v>
          </cell>
          <cell r="AF384">
            <v>0.19750000000000001</v>
          </cell>
          <cell r="AG384">
            <v>2.2200000000000002</v>
          </cell>
          <cell r="AH384">
            <v>0.1535</v>
          </cell>
          <cell r="AI384">
            <v>2.13</v>
          </cell>
          <cell r="AJ384">
            <v>0.13688144431779881</v>
          </cell>
          <cell r="AK384">
            <v>0.21631909614000766</v>
          </cell>
          <cell r="AL384">
            <v>2.1333531645805111</v>
          </cell>
          <cell r="AM384">
            <v>0.10078846722287427</v>
          </cell>
          <cell r="AN384">
            <v>0.17094818187145844</v>
          </cell>
          <cell r="AO384">
            <v>1.847959978354214</v>
          </cell>
          <cell r="AP384" t="str">
            <v>Soft marketed</v>
          </cell>
          <cell r="AQ384" t="str">
            <v>Rent Optimization</v>
          </cell>
          <cell r="AR384" t="str">
            <v>Leasing Strategy</v>
          </cell>
          <cell r="AS384">
            <v>44755</v>
          </cell>
          <cell r="AT384">
            <v>1880000</v>
          </cell>
          <cell r="AU384">
            <v>1910869</v>
          </cell>
          <cell r="AV384">
            <v>146820</v>
          </cell>
          <cell r="AW384">
            <v>147905</v>
          </cell>
          <cell r="AX384">
            <v>7.8095744680851065E-2</v>
          </cell>
          <cell r="AY384">
            <v>7.8672872340425526E-2</v>
          </cell>
          <cell r="AZ384">
            <v>8.0516936170212698</v>
          </cell>
          <cell r="BA384">
            <v>1</v>
          </cell>
          <cell r="BB384">
            <v>2.88458175459574</v>
          </cell>
          <cell r="BC384">
            <v>1</v>
          </cell>
          <cell r="BD384">
            <v>0</v>
          </cell>
          <cell r="BE384">
            <v>0</v>
          </cell>
          <cell r="BF384">
            <v>60148.789999999994</v>
          </cell>
          <cell r="BG384">
            <v>131020.9</v>
          </cell>
          <cell r="BH384">
            <v>131020.9</v>
          </cell>
          <cell r="BI384">
            <v>134227.76</v>
          </cell>
          <cell r="BJ384">
            <v>1910869</v>
          </cell>
        </row>
        <row r="385">
          <cell r="B385" t="str">
            <v>xil1701b</v>
          </cell>
          <cell r="C385" t="str">
            <v>1701 Birchwood</v>
          </cell>
          <cell r="D385" t="str">
            <v>Unrealized</v>
          </cell>
          <cell r="E385" t="str">
            <v>Logistic Fund II</v>
          </cell>
          <cell r="F385" t="str">
            <v>USD</v>
          </cell>
          <cell r="G385" t="str">
            <v>Last Mile</v>
          </cell>
          <cell r="H385" t="str">
            <v>Chicago</v>
          </cell>
          <cell r="I385" t="str">
            <v>Des Plaines</v>
          </cell>
          <cell r="J385" t="str">
            <v>IL</v>
          </cell>
          <cell r="K385">
            <v>60018</v>
          </cell>
          <cell r="L385" t="str">
            <v>United States</v>
          </cell>
          <cell r="M385" t="str">
            <v>Chicago-Naperville-Elgin, IL-IN-WI</v>
          </cell>
          <cell r="N385">
            <v>48790</v>
          </cell>
          <cell r="O385">
            <v>1</v>
          </cell>
          <cell r="P385" t="str">
            <v>Single Asset</v>
          </cell>
          <cell r="Q385" t="str">
            <v>Property - Private Equity</v>
          </cell>
          <cell r="R385" t="str">
            <v>Industrial</v>
          </cell>
          <cell r="S385" t="str">
            <v>Warehouse</v>
          </cell>
          <cell r="T385">
            <v>1967</v>
          </cell>
          <cell r="U385" t="str">
            <v>Sq. Feet</v>
          </cell>
          <cell r="V385" t="str">
            <v>Value-Add</v>
          </cell>
          <cell r="W385" t="str">
            <v>Industrial / Logistics</v>
          </cell>
          <cell r="X385" t="str">
            <v>Common Equity</v>
          </cell>
          <cell r="Y385">
            <v>363276</v>
          </cell>
          <cell r="Z385">
            <v>603494</v>
          </cell>
          <cell r="AA385">
            <v>4550169</v>
          </cell>
          <cell r="AB385">
            <v>7.9837913712655514E-2</v>
          </cell>
          <cell r="AC385">
            <v>304937.5</v>
          </cell>
          <cell r="AD385">
            <v>7.8189102564102567E-2</v>
          </cell>
          <cell r="AE385">
            <v>5.7500000000000002E-2</v>
          </cell>
          <cell r="AF385">
            <v>0.1789</v>
          </cell>
          <cell r="AG385">
            <v>2.27</v>
          </cell>
          <cell r="AH385">
            <v>0.1386</v>
          </cell>
          <cell r="AI385">
            <v>2.1800000000000002</v>
          </cell>
          <cell r="AJ385">
            <v>0.12746106741601282</v>
          </cell>
          <cell r="AK385">
            <v>0.19259655550643551</v>
          </cell>
          <cell r="AL385">
            <v>2.1645433753322871</v>
          </cell>
          <cell r="AM385">
            <v>9.3235789677143854E-2</v>
          </cell>
          <cell r="AN385">
            <v>0.15080032216160233</v>
          </cell>
          <cell r="AO385">
            <v>1.8692679639913319</v>
          </cell>
          <cell r="AP385" t="str">
            <v>Unsolicited \ Off-market</v>
          </cell>
          <cell r="AQ385" t="str">
            <v>Rent Optimization</v>
          </cell>
          <cell r="AR385" t="str">
            <v>Leasing Strategy</v>
          </cell>
          <cell r="AS385">
            <v>44756</v>
          </cell>
          <cell r="AT385">
            <v>3900000</v>
          </cell>
          <cell r="AU385">
            <v>3946675</v>
          </cell>
          <cell r="AV385">
            <v>199056</v>
          </cell>
          <cell r="AW385">
            <v>208356</v>
          </cell>
          <cell r="AX385">
            <v>5.1040000000000002E-2</v>
          </cell>
          <cell r="AY385">
            <v>5.3424615384615383E-2</v>
          </cell>
          <cell r="AZ385">
            <v>8.8252510760401695</v>
          </cell>
          <cell r="BA385">
            <v>1</v>
          </cell>
          <cell r="BB385">
            <v>2.4684931506866099</v>
          </cell>
          <cell r="BC385">
            <v>1</v>
          </cell>
          <cell r="BD385">
            <v>0</v>
          </cell>
          <cell r="BE385">
            <v>0</v>
          </cell>
          <cell r="BF385">
            <v>103819.23</v>
          </cell>
          <cell r="BG385">
            <v>247552.02</v>
          </cell>
          <cell r="BH385">
            <v>247552.02</v>
          </cell>
          <cell r="BI385">
            <v>254907.78</v>
          </cell>
          <cell r="BJ385">
            <v>3946675</v>
          </cell>
        </row>
        <row r="386">
          <cell r="B386" t="str">
            <v>xga3100j</v>
          </cell>
          <cell r="C386" t="str">
            <v>3100 Jonquil Drive</v>
          </cell>
          <cell r="D386" t="str">
            <v>Unrealized</v>
          </cell>
          <cell r="E386" t="str">
            <v>Logistic Fund II</v>
          </cell>
          <cell r="F386" t="str">
            <v>USD</v>
          </cell>
          <cell r="G386" t="str">
            <v>Last Mile</v>
          </cell>
          <cell r="H386" t="str">
            <v>Atlanta</v>
          </cell>
          <cell r="I386" t="str">
            <v>Smyrna</v>
          </cell>
          <cell r="J386" t="str">
            <v>GA</v>
          </cell>
          <cell r="K386">
            <v>30080</v>
          </cell>
          <cell r="L386" t="str">
            <v>United States</v>
          </cell>
          <cell r="M386" t="str">
            <v>Atlanta-Sandy Springs-Roswell, GA</v>
          </cell>
          <cell r="N386">
            <v>40500</v>
          </cell>
          <cell r="O386">
            <v>1</v>
          </cell>
          <cell r="P386" t="str">
            <v>Single Asset</v>
          </cell>
          <cell r="Q386" t="str">
            <v>Property - Private Equity</v>
          </cell>
          <cell r="R386" t="str">
            <v>Industrial</v>
          </cell>
          <cell r="S386" t="str">
            <v>Warehouse</v>
          </cell>
          <cell r="T386">
            <v>2001</v>
          </cell>
          <cell r="U386" t="str">
            <v>Sq. Feet</v>
          </cell>
          <cell r="V386" t="str">
            <v>Value-Add</v>
          </cell>
          <cell r="W386" t="str">
            <v>Industrial / Logistics</v>
          </cell>
          <cell r="X386" t="str">
            <v>Common Equity</v>
          </cell>
          <cell r="Y386">
            <v>376776</v>
          </cell>
          <cell r="Z386">
            <v>379335</v>
          </cell>
          <cell r="AA386">
            <v>5366034</v>
          </cell>
          <cell r="AB386">
            <v>7.0214985592711485E-2</v>
          </cell>
          <cell r="AC386">
            <v>303750</v>
          </cell>
          <cell r="AD386">
            <v>6.1537682333873585E-2</v>
          </cell>
          <cell r="AE386">
            <v>5.2499999999999998E-2</v>
          </cell>
          <cell r="AF386">
            <v>0.16009999999999999</v>
          </cell>
          <cell r="AG386">
            <v>2.02</v>
          </cell>
          <cell r="AH386">
            <v>0.1217</v>
          </cell>
          <cell r="AI386">
            <v>1.93</v>
          </cell>
          <cell r="AJ386">
            <v>0.11862925207116559</v>
          </cell>
          <cell r="AK386">
            <v>0.17864964833461472</v>
          </cell>
          <cell r="AL386">
            <v>2.0625280311297716</v>
          </cell>
          <cell r="AM386">
            <v>8.5645238034595783E-2</v>
          </cell>
          <cell r="AN386">
            <v>0.13851620959623667</v>
          </cell>
          <cell r="AO386">
            <v>1.7861186255768269</v>
          </cell>
          <cell r="AP386" t="str">
            <v>Unsolicited \ Off-market</v>
          </cell>
          <cell r="AQ386" t="str">
            <v>Lease-up</v>
          </cell>
          <cell r="AR386" t="str">
            <v>Leasing Strategy</v>
          </cell>
          <cell r="AS386">
            <v>44761</v>
          </cell>
          <cell r="AT386">
            <v>4936000</v>
          </cell>
          <cell r="AU386">
            <v>4986699</v>
          </cell>
          <cell r="AV386">
            <v>239508</v>
          </cell>
          <cell r="AW386">
            <v>278914</v>
          </cell>
          <cell r="AX386">
            <v>4.8522690437601296E-2</v>
          </cell>
          <cell r="AY386">
            <v>5.6506077795786064E-2</v>
          </cell>
          <cell r="AZ386">
            <v>7.5008888888888796</v>
          </cell>
          <cell r="BA386">
            <v>1</v>
          </cell>
          <cell r="BB386">
            <v>0.28493150683950602</v>
          </cell>
          <cell r="BC386">
            <v>1</v>
          </cell>
          <cell r="BD386">
            <v>0</v>
          </cell>
          <cell r="BE386">
            <v>0</v>
          </cell>
          <cell r="BF386">
            <v>37581.789999999994</v>
          </cell>
          <cell r="BG386">
            <v>-92505.62999999999</v>
          </cell>
          <cell r="BH386">
            <v>-92505.62999999999</v>
          </cell>
          <cell r="BI386">
            <v>-98534.299999999988</v>
          </cell>
          <cell r="BJ386">
            <v>5070847.68</v>
          </cell>
        </row>
        <row r="387">
          <cell r="B387" t="str">
            <v>xnj1980o</v>
          </cell>
          <cell r="C387" t="str">
            <v>1980 Old Cuthbert Road</v>
          </cell>
          <cell r="D387" t="str">
            <v>Unrealized</v>
          </cell>
          <cell r="E387" t="str">
            <v>Logistic Fund II</v>
          </cell>
          <cell r="F387" t="str">
            <v>USD</v>
          </cell>
          <cell r="G387" t="str">
            <v>Last Mile</v>
          </cell>
          <cell r="H387" t="str">
            <v>Philadelphia</v>
          </cell>
          <cell r="I387" t="str">
            <v>Cherry Hill</v>
          </cell>
          <cell r="J387" t="str">
            <v>NJ</v>
          </cell>
          <cell r="K387" t="str">
            <v>08034</v>
          </cell>
          <cell r="L387" t="str">
            <v>United States</v>
          </cell>
          <cell r="M387" t="str">
            <v>Philadelphia-Camden-Wilmington, PA-NJ-DE-MD</v>
          </cell>
          <cell r="N387">
            <v>14000</v>
          </cell>
          <cell r="O387">
            <v>1</v>
          </cell>
          <cell r="P387" t="str">
            <v>Single Asset</v>
          </cell>
          <cell r="Q387" t="str">
            <v>Property - Private Equity</v>
          </cell>
          <cell r="R387" t="str">
            <v>Industrial</v>
          </cell>
          <cell r="S387" t="str">
            <v>Warehouse</v>
          </cell>
          <cell r="T387">
            <v>1982</v>
          </cell>
          <cell r="U387" t="str">
            <v>Sq. Feet</v>
          </cell>
          <cell r="V387" t="str">
            <v>Value-Add</v>
          </cell>
          <cell r="W387" t="str">
            <v>Industrial / Logistics</v>
          </cell>
          <cell r="X387" t="str">
            <v>Common Equity</v>
          </cell>
          <cell r="Y387">
            <v>152796</v>
          </cell>
          <cell r="Z387">
            <v>137527</v>
          </cell>
          <cell r="AA387">
            <v>1894623</v>
          </cell>
          <cell r="AB387">
            <v>8.0647178884664647E-2</v>
          </cell>
          <cell r="AC387">
            <v>119000</v>
          </cell>
          <cell r="AD387">
            <v>7.0000000000000007E-2</v>
          </cell>
          <cell r="AE387">
            <v>5.7500000000000002E-2</v>
          </cell>
          <cell r="AF387">
            <v>0.19320000000000001</v>
          </cell>
          <cell r="AG387">
            <v>2.23</v>
          </cell>
          <cell r="AH387">
            <v>0.15010000000000001</v>
          </cell>
          <cell r="AI387">
            <v>2.14</v>
          </cell>
          <cell r="AJ387">
            <v>0.13589794008432232</v>
          </cell>
          <cell r="AK387">
            <v>0.21151405957727332</v>
          </cell>
          <cell r="AL387">
            <v>2.2695054072889671</v>
          </cell>
          <cell r="AM387">
            <v>0.10062850640812915</v>
          </cell>
          <cell r="AN387">
            <v>0.16760227645997738</v>
          </cell>
          <cell r="AO387">
            <v>1.9532287877447632</v>
          </cell>
          <cell r="AP387" t="str">
            <v>Unsolicited \ Off-market</v>
          </cell>
          <cell r="AQ387" t="str">
            <v>Rent Optimization</v>
          </cell>
          <cell r="AR387" t="str">
            <v>Leasing Strategy</v>
          </cell>
          <cell r="AS387">
            <v>44778</v>
          </cell>
          <cell r="AT387">
            <v>1700000</v>
          </cell>
          <cell r="AU387">
            <v>1757096</v>
          </cell>
          <cell r="AV387">
            <v>104448</v>
          </cell>
          <cell r="AW387">
            <v>105492</v>
          </cell>
          <cell r="AX387">
            <v>6.1440000000000002E-2</v>
          </cell>
          <cell r="AY387">
            <v>6.2054117647058822E-2</v>
          </cell>
          <cell r="AZ387">
            <v>7.4599971428571399</v>
          </cell>
          <cell r="BA387">
            <v>1</v>
          </cell>
          <cell r="BB387">
            <v>2.9890410958571398</v>
          </cell>
          <cell r="BC387">
            <v>1</v>
          </cell>
          <cell r="BD387">
            <v>0</v>
          </cell>
          <cell r="BE387">
            <v>0</v>
          </cell>
          <cell r="BF387">
            <v>33645.01</v>
          </cell>
          <cell r="BG387">
            <v>98366.89</v>
          </cell>
          <cell r="BH387">
            <v>98366.89</v>
          </cell>
          <cell r="BI387">
            <v>98829.92</v>
          </cell>
          <cell r="BJ387">
            <v>1757096</v>
          </cell>
        </row>
        <row r="388">
          <cell r="B388" t="str">
            <v>xga1145b</v>
          </cell>
          <cell r="C388" t="str">
            <v>1145 Battlecreek Road</v>
          </cell>
          <cell r="D388" t="str">
            <v>Unrealized</v>
          </cell>
          <cell r="E388" t="str">
            <v>Logistic Fund II</v>
          </cell>
          <cell r="F388" t="str">
            <v>USD</v>
          </cell>
          <cell r="G388" t="str">
            <v>Last Mile</v>
          </cell>
          <cell r="H388" t="str">
            <v>Atlanta</v>
          </cell>
          <cell r="I388" t="str">
            <v>Jonesboro</v>
          </cell>
          <cell r="J388" t="str">
            <v>GA</v>
          </cell>
          <cell r="K388">
            <v>30236</v>
          </cell>
          <cell r="L388" t="str">
            <v>United States</v>
          </cell>
          <cell r="M388" t="str">
            <v>Atlanta-Sandy Springs-Roswell, GA</v>
          </cell>
          <cell r="N388">
            <v>67656</v>
          </cell>
          <cell r="O388">
            <v>1</v>
          </cell>
          <cell r="P388" t="str">
            <v>Single Asset</v>
          </cell>
          <cell r="Q388" t="str">
            <v>Property - Private Equity</v>
          </cell>
          <cell r="R388" t="str">
            <v>Industrial</v>
          </cell>
          <cell r="S388" t="str">
            <v>Warehouse</v>
          </cell>
          <cell r="T388">
            <v>1969</v>
          </cell>
          <cell r="U388" t="str">
            <v>Sq. Feet</v>
          </cell>
          <cell r="V388" t="str">
            <v>Value-Add</v>
          </cell>
          <cell r="W388" t="str">
            <v>Industrial / Logistics</v>
          </cell>
          <cell r="X388" t="str">
            <v>Common Equity</v>
          </cell>
          <cell r="Y388">
            <v>481728</v>
          </cell>
          <cell r="Z388">
            <v>912158</v>
          </cell>
          <cell r="AA388">
            <v>6614985</v>
          </cell>
          <cell r="AB388">
            <v>7.2823747899655095E-2</v>
          </cell>
          <cell r="AC388">
            <v>389022</v>
          </cell>
          <cell r="AD388">
            <v>6.8853451327433632E-2</v>
          </cell>
          <cell r="AE388">
            <v>5.5E-2</v>
          </cell>
          <cell r="AF388">
            <v>0.1658</v>
          </cell>
          <cell r="AG388">
            <v>2.15</v>
          </cell>
          <cell r="AH388">
            <v>0.127</v>
          </cell>
          <cell r="AI388">
            <v>2.06</v>
          </cell>
          <cell r="AJ388">
            <v>0.12017666381810677</v>
          </cell>
          <cell r="AK388">
            <v>0.18268256863298671</v>
          </cell>
          <cell r="AL388">
            <v>2.0614914268430122</v>
          </cell>
          <cell r="AM388">
            <v>8.7059833953689658E-2</v>
          </cell>
          <cell r="AN388">
            <v>0.14200372042848786</v>
          </cell>
          <cell r="AO388">
            <v>1.78704794846105</v>
          </cell>
          <cell r="AP388" t="str">
            <v>Unsolicited \ Off-market</v>
          </cell>
          <cell r="AQ388" t="str">
            <v>Renewal / Re-tenant</v>
          </cell>
          <cell r="AR388" t="str">
            <v>Leasing Strategy</v>
          </cell>
          <cell r="AS388">
            <v>44797</v>
          </cell>
          <cell r="AT388">
            <v>5650000</v>
          </cell>
          <cell r="AU388">
            <v>5702827</v>
          </cell>
          <cell r="AV388">
            <v>372108</v>
          </cell>
          <cell r="AW388">
            <v>372108</v>
          </cell>
          <cell r="AX388">
            <v>6.5859823008849558E-2</v>
          </cell>
          <cell r="AY388">
            <v>6.5859823008849558E-2</v>
          </cell>
          <cell r="AZ388">
            <v>5.5</v>
          </cell>
          <cell r="BA388">
            <v>1</v>
          </cell>
          <cell r="BB388">
            <v>2.0219178082210001</v>
          </cell>
          <cell r="BC388">
            <v>1</v>
          </cell>
          <cell r="BD388">
            <v>0</v>
          </cell>
          <cell r="BE388">
            <v>0</v>
          </cell>
          <cell r="BF388">
            <v>103825.07</v>
          </cell>
          <cell r="BG388">
            <v>370044.43</v>
          </cell>
          <cell r="BH388">
            <v>370044.43</v>
          </cell>
          <cell r="BI388">
            <v>368606.27</v>
          </cell>
          <cell r="BJ388">
            <v>5716792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asing Activity Report"/>
    </sheetNames>
    <sheetDataSet>
      <sheetData sheetId="0" refreshError="1">
        <row r="4">
          <cell r="F4" t="str">
            <v>Charlotte Water</v>
          </cell>
          <cell r="G4" t="str">
            <v>t0001116</v>
          </cell>
          <cell r="H4" t="str">
            <v>100</v>
          </cell>
          <cell r="I4">
            <v>22961</v>
          </cell>
          <cell r="J4">
            <v>22900</v>
          </cell>
        </row>
        <row r="5">
          <cell r="F5" t="str">
            <v>Bestwork Industries for the Blind, Inc.</v>
          </cell>
          <cell r="G5" t="str">
            <v>t0000958</v>
          </cell>
          <cell r="H5" t="str">
            <v>7055-2</v>
          </cell>
          <cell r="I5">
            <v>9967</v>
          </cell>
          <cell r="J5">
            <v>30688</v>
          </cell>
        </row>
        <row r="6">
          <cell r="F6" t="str">
            <v>Garland, LLC</v>
          </cell>
          <cell r="G6" t="str">
            <v>t0000866</v>
          </cell>
          <cell r="H6" t="str">
            <v>3330</v>
          </cell>
          <cell r="I6">
            <v>32846</v>
          </cell>
          <cell r="J6">
            <v>32774</v>
          </cell>
        </row>
        <row r="7">
          <cell r="F7" t="str">
            <v>Kradle to Kindergarten, Inc.</v>
          </cell>
          <cell r="G7" t="str">
            <v>t0000619</v>
          </cell>
          <cell r="H7" t="str">
            <v>01</v>
          </cell>
          <cell r="I7">
            <v>6792</v>
          </cell>
          <cell r="J7">
            <v>6792</v>
          </cell>
        </row>
        <row r="8">
          <cell r="F8" t="str">
            <v>TBS Controls, LLC</v>
          </cell>
          <cell r="G8" t="str">
            <v>t0001131</v>
          </cell>
          <cell r="H8" t="str">
            <v>B</v>
          </cell>
          <cell r="I8">
            <v>5444</v>
          </cell>
          <cell r="J8">
            <v>99919</v>
          </cell>
        </row>
        <row r="9">
          <cell r="F9" t="str">
            <v>IMCD</v>
          </cell>
          <cell r="G9" t="str">
            <v>t0001148</v>
          </cell>
          <cell r="H9" t="str">
            <v>G</v>
          </cell>
          <cell r="I9">
            <v>10000</v>
          </cell>
          <cell r="J9">
            <v>99919</v>
          </cell>
        </row>
        <row r="10">
          <cell r="F10" t="str">
            <v>WAB US Corporation</v>
          </cell>
          <cell r="G10" t="str">
            <v>t0001140</v>
          </cell>
          <cell r="H10" t="str">
            <v>3-DEF</v>
          </cell>
          <cell r="I10">
            <v>21000</v>
          </cell>
          <cell r="J10">
            <v>41500</v>
          </cell>
        </row>
        <row r="11">
          <cell r="F11" t="str">
            <v>Eckart, LLC</v>
          </cell>
          <cell r="G11" t="str">
            <v>t0001178</v>
          </cell>
          <cell r="H11" t="str">
            <v>A</v>
          </cell>
          <cell r="I11">
            <v>30523</v>
          </cell>
          <cell r="J11">
            <v>30523</v>
          </cell>
        </row>
        <row r="12">
          <cell r="F12" t="str">
            <v>Krowne Metal Corporate</v>
          </cell>
          <cell r="G12" t="str">
            <v>t0001173</v>
          </cell>
          <cell r="H12" t="str">
            <v>02</v>
          </cell>
          <cell r="I12">
            <v>50000</v>
          </cell>
          <cell r="J12">
            <v>71000</v>
          </cell>
        </row>
        <row r="13">
          <cell r="F13" t="str">
            <v>Worldpac, Inc.</v>
          </cell>
          <cell r="G13" t="str">
            <v>t0001036</v>
          </cell>
          <cell r="H13" t="str">
            <v>4525</v>
          </cell>
          <cell r="I13">
            <v>20983</v>
          </cell>
          <cell r="J13">
            <v>36122</v>
          </cell>
        </row>
        <row r="14">
          <cell r="F14" t="str">
            <v>AMERICAN BUILDERS &amp; CONTRACTORS SUPPLY CO., INC - Exp.</v>
          </cell>
          <cell r="G14" t="str">
            <v>t0001187</v>
          </cell>
          <cell r="H14" t="str">
            <v>7</v>
          </cell>
          <cell r="I14">
            <v>12000</v>
          </cell>
          <cell r="J14">
            <v>168000</v>
          </cell>
        </row>
        <row r="15">
          <cell r="F15" t="str">
            <v>The Printer Inc. (TPI)</v>
          </cell>
          <cell r="G15" t="str">
            <v>t0000661</v>
          </cell>
          <cell r="H15" t="str">
            <v>1601-DE</v>
          </cell>
          <cell r="I15">
            <v>9012</v>
          </cell>
          <cell r="J15">
            <v>57321</v>
          </cell>
        </row>
        <row r="16">
          <cell r="F16" t="str">
            <v>Carboline Company</v>
          </cell>
          <cell r="G16" t="str">
            <v>t0000494</v>
          </cell>
          <cell r="H16" t="str">
            <v>14</v>
          </cell>
          <cell r="I16">
            <v>38000</v>
          </cell>
          <cell r="J16">
            <v>40925</v>
          </cell>
        </row>
        <row r="17">
          <cell r="F17" t="str">
            <v>Lake Partners</v>
          </cell>
          <cell r="G17" t="str">
            <v>t0001161</v>
          </cell>
          <cell r="H17" t="str">
            <v>C</v>
          </cell>
          <cell r="I17">
            <v>2674</v>
          </cell>
          <cell r="J17">
            <v>32699</v>
          </cell>
        </row>
        <row r="18">
          <cell r="F18" t="str">
            <v>Appliance Factory</v>
          </cell>
          <cell r="G18" t="str">
            <v>t0001147</v>
          </cell>
          <cell r="H18" t="str">
            <v>C</v>
          </cell>
          <cell r="I18">
            <v>47107</v>
          </cell>
          <cell r="J18">
            <v>272221</v>
          </cell>
        </row>
        <row r="19">
          <cell r="F19" t="str">
            <v>Snap Entertainment</v>
          </cell>
          <cell r="G19" t="str">
            <v>t0001154</v>
          </cell>
          <cell r="H19" t="str">
            <v>RS</v>
          </cell>
          <cell r="I19">
            <v>7571</v>
          </cell>
          <cell r="J19">
            <v>81311</v>
          </cell>
        </row>
        <row r="20">
          <cell r="F20" t="str">
            <v>USA Family Moving</v>
          </cell>
          <cell r="G20" t="str">
            <v>t0001177</v>
          </cell>
          <cell r="H20" t="str">
            <v>4630-C</v>
          </cell>
          <cell r="I20">
            <v>7437</v>
          </cell>
          <cell r="J20">
            <v>87532</v>
          </cell>
        </row>
        <row r="21">
          <cell r="F21" t="str">
            <v>True World Foods</v>
          </cell>
          <cell r="G21" t="str">
            <v>t0001073</v>
          </cell>
          <cell r="H21" t="str">
            <v>3040</v>
          </cell>
          <cell r="I21">
            <v>5893</v>
          </cell>
          <cell r="J21">
            <v>11518</v>
          </cell>
        </row>
        <row r="22">
          <cell r="F22" t="str">
            <v>Madina Industrial Corp</v>
          </cell>
          <cell r="G22" t="str">
            <v>t0001156</v>
          </cell>
          <cell r="H22" t="str">
            <v>05</v>
          </cell>
          <cell r="I22">
            <v>20994</v>
          </cell>
          <cell r="J22">
            <v>105350</v>
          </cell>
        </row>
        <row r="23">
          <cell r="F23" t="str">
            <v>Biosil Technologies, Inc.</v>
          </cell>
          <cell r="G23" t="str">
            <v>t0001121</v>
          </cell>
          <cell r="H23" t="str">
            <v>A</v>
          </cell>
          <cell r="I23">
            <v>5000</v>
          </cell>
          <cell r="J23">
            <v>99919</v>
          </cell>
        </row>
        <row r="24">
          <cell r="F24" t="str">
            <v>Tormax USA, Inc</v>
          </cell>
          <cell r="G24" t="str">
            <v>t0000666</v>
          </cell>
          <cell r="H24" t="str">
            <v>100</v>
          </cell>
          <cell r="I24">
            <v>35510</v>
          </cell>
          <cell r="J24">
            <v>60350</v>
          </cell>
        </row>
        <row r="25">
          <cell r="F25" t="str">
            <v>Krispy Kreme</v>
          </cell>
          <cell r="G25" t="str">
            <v>t0001059</v>
          </cell>
          <cell r="H25" t="str">
            <v>A</v>
          </cell>
          <cell r="I25">
            <v>32082</v>
          </cell>
          <cell r="J25">
            <v>32082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nd X Construction Analysis"/>
      <sheetName val="Capex Items"/>
    </sheetNames>
    <sheetDataSet>
      <sheetData sheetId="0" refreshError="1"/>
      <sheetData sheetId="1" refreshError="1">
        <row r="232">
          <cell r="M232" t="str">
            <v/>
          </cell>
        </row>
        <row r="233">
          <cell r="M233" t="str">
            <v/>
          </cell>
        </row>
        <row r="234">
          <cell r="M234" t="str">
            <v/>
          </cell>
        </row>
      </sheetData>
    </sheetDataSet>
  </externalBook>
</externalLink>
</file>

<file path=xl/persons/person.xml><?xml version="1.0" encoding="utf-8"?>
<personList xmlns="http://schemas.microsoft.com/office/spreadsheetml/2018/threadedcomments" xmlns:x="http://schemas.openxmlformats.org/spreadsheetml/2006/main">
  <person displayName="Ori Regev" id="{DDBA131A-74BE-4917-9AA1-15885A9182AE}" userId="Ori@faropoint.com" providerId="PeoplePicker"/>
  <person displayName="Michael Tang" id="{01DE9DF9-49C9-4146-9DC1-5E1144094BBC}" userId="mtang@faropoint.com" providerId="PeoplePicker"/>
  <person displayName="Jordan Nathan" id="{C40544F5-1DCD-4AF0-89BB-9AD53310B708}" userId="Jordan@faropoint.com" providerId="PeoplePicker"/>
  <person displayName="Lee Abrams" id="{2F6135D6-2C90-45D3-AC78-9BD277F29B95}" userId="LAbrams@faropoint.com" providerId="PeoplePicker"/>
  <person displayName="Vandana Vishnubhotla" id="{2AEDE926-7D25-43A3-8A97-F883269D1315}" userId="Vandana@faropoint.com" providerId="PeoplePicker"/>
  <person displayName="Ori Regev" id="{ED4865C0-F9C6-43F0-A52F-8A8C230198EF}" userId="S::ori@faropoint.com::42397116-435d-4050-84c5-7ce260dab0e9" providerId="AD"/>
  <person displayName="Leon Faerovich" id="{70D25220-210E-4ED0-8588-41514FD15594}" userId="S::leon@faropoint.com::6c280a31-bd61-4a2c-89b5-4c9ba77cede2" providerId="AD"/>
  <person displayName="Tina Triece" id="{5F6BD40F-413F-402D-9030-BC7892EA4257}" userId="S::tina@faropoint.com::a66c2103-7d01-48b4-8bf1-fc8318aeefbf" providerId="AD"/>
  <person displayName="Vandana Vishnubhotla" id="{F8B87C89-9BDA-4F1A-AE2E-BF11A19935E8}" userId="S::Vandana@faropoint.com::ae8fc49f-e7ea-4c5c-b30b-cca43794c671" providerId="AD"/>
  <person displayName="Vandana Vishnubhotla" id="{398C02D8-39E9-499D-8EA5-4E9AD4264AB1}" userId="S::vandana@faropoint.com::ae8fc49f-e7ea-4c5c-b30b-cca43794c671" providerId="AD"/>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personal/system_faropoint_com/Documents/FP/Investments/Portfolio%20Control/Presentations/AM%20IM%20-%20Asset%20Management%20Investment%20Management/12-2022/FRGX_AM%20IM%20Prep_Jan%202023_v1.xlsx#BgEIDA4ADAMGBAcBBAQECw=217.0"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dana Vishnubhotla" refreshedDate="44692.438853472224" createdVersion="7" refreshedVersion="7" minRefreshableVersion="3" recordCount="27" xr:uid="{1FD668B4-CA5C-4250-BF3F-7886DCE092A1}">
  <cacheSource type="worksheet">
    <worksheetSource ref="D1:AC2" sheet="CLB SUMMARY" r:id="rId2"/>
  </cacheSource>
  <cacheFields count="23">
    <cacheField name="Market" numFmtId="0">
      <sharedItems/>
    </cacheField>
    <cacheField name="Leasing Acitivity Type" numFmtId="0">
      <sharedItems/>
    </cacheField>
    <cacheField name="RSF" numFmtId="165">
      <sharedItems containsSemiMixedTypes="0" containsString="0" containsNumber="1" containsInteger="1" minValue="5179" maxValue="115200"/>
    </cacheField>
    <cacheField name="RSF excluding Prior  Vacancy" numFmtId="0">
      <sharedItems containsString="0" containsBlank="1" containsNumber="1" containsInteger="1" minValue="5179" maxValue="115200"/>
    </cacheField>
    <cacheField name="PSF" numFmtId="0">
      <sharedItems containsSemiMixedTypes="0" containsString="0" containsNumber="1" minValue="3.25" maxValue="14.15"/>
    </cacheField>
    <cacheField name="Prior PSF" numFmtId="2">
      <sharedItems containsSemiMixedTypes="0" containsString="0" containsNumber="1" minValue="0" maxValue="6.9031639501438162"/>
    </cacheField>
    <cacheField name="PSF BP" numFmtId="0">
      <sharedItems containsSemiMixedTypes="0" containsString="0" containsNumber="1" minValue="2.4700000000000002" maxValue="11"/>
    </cacheField>
    <cacheField name="PSF increase over prior lease" numFmtId="1">
      <sharedItems containsSemiMixedTypes="0" containsString="0" containsNumber="1" minValue="0" maxValue="236.41"/>
    </cacheField>
    <cacheField name="PSF increase over BP" numFmtId="1">
      <sharedItems containsSemiMixedTypes="0" containsString="0" containsNumber="1" minValue="-7.2580645161290374" maxValue="62.222222222222221"/>
    </cacheField>
    <cacheField name="CTV" numFmtId="166">
      <sharedItems containsSemiMixedTypes="0" containsString="0" containsNumber="1" minValue="0" maxValue="33.821749638345132"/>
    </cacheField>
    <cacheField name="CTV BP" numFmtId="166">
      <sharedItems containsSemiMixedTypes="0" containsString="0" containsNumber="1" minValue="3.8" maxValue="60.29"/>
    </cacheField>
    <cacheField name="Rent Bump" numFmtId="166">
      <sharedItems containsSemiMixedTypes="0" containsString="0" containsNumber="1" minValue="0" maxValue="5"/>
    </cacheField>
    <cacheField name="Rent Bump BP" numFmtId="166">
      <sharedItems containsString="0" containsBlank="1" containsNumber="1" minValue="0" maxValue="4"/>
    </cacheField>
    <cacheField name="Inc over prior lease * SF" numFmtId="0">
      <sharedItems containsSemiMixedTypes="0" containsString="0" containsNumber="1" minValue="0" maxValue="4898651.6100000003"/>
    </cacheField>
    <cacheField name="Inc over BP * SF" numFmtId="165">
      <sharedItems containsSemiMixedTypes="0" containsString="0" containsNumber="1" minValue="-163031.9148936164" maxValue="2553599.9999999995"/>
    </cacheField>
    <cacheField name="PSF * SF" numFmtId="165">
      <sharedItems containsSemiMixedTypes="0" containsString="0" containsNumber="1" minValue="35994.050000000003" maxValue="528712.5"/>
    </cacheField>
    <cacheField name="Prior PSF * SF" numFmtId="165">
      <sharedItems containsSemiMixedTypes="0" containsString="0" containsNumber="1" minValue="0" maxValue="402723.09107635694"/>
    </cacheField>
    <cacheField name="PSF BP * SF" numFmtId="165">
      <sharedItems containsSemiMixedTypes="0" containsString="0" containsNumber="1" minValue="36822.69" maxValue="547102.5"/>
    </cacheField>
    <cacheField name="CTV * SF" numFmtId="165">
      <sharedItems containsSemiMixedTypes="0" containsString="0" containsNumber="1" minValue="0" maxValue="1626016.2601626017"/>
    </cacheField>
    <cacheField name="CTV BP * SF" numFmtId="165">
      <sharedItems containsSemiMixedTypes="0" containsString="0" containsNumber="1" minValue="31068.799999999999" maxValue="2638584.7800000003"/>
    </cacheField>
    <cacheField name="Rent Bump * SF" numFmtId="165">
      <sharedItems containsSemiMixedTypes="0" containsString="0" containsNumber="1" minValue="0" maxValue="477674.1"/>
    </cacheField>
    <cacheField name="Rent Bump BP * SF" numFmtId="165">
      <sharedItems containsSemiMixedTypes="0" containsString="0" containsNumber="1" containsInteger="1" minValue="0" maxValue="444348"/>
    </cacheField>
    <cacheField name="Size Range" numFmtId="0">
      <sharedItems count="6">
        <s v="Upto 20K"/>
        <s v="20-40K"/>
        <s v="40-60K"/>
        <s v="100-200K"/>
        <s v="60-80K"/>
        <s v="80-100K"/>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dana Vishnubhotla" refreshedDate="45670.612950810188" createdVersion="8" refreshedVersion="8" minRefreshableVersion="3" recordCount="216" xr:uid="{9499F820-FA73-4433-BE77-C26C7CF89484}">
  <cacheSource type="worksheet">
    <worksheetSource ref="A4:BN220" sheet="DATA consolidated-leasing"/>
  </cacheSource>
  <cacheFields count="87">
    <cacheField name="Name" numFmtId="0">
      <sharedItems/>
    </cacheField>
    <cacheField name="Activity Type" numFmtId="0">
      <sharedItems count="5">
        <s v="New Lease"/>
        <s v="Renewal"/>
        <s v="Renewal per Option"/>
        <s v="Expansion"/>
        <s v="Early renewal"/>
      </sharedItems>
    </cacheField>
    <cacheField name="Activity Strategy" numFmtId="0">
      <sharedItems containsBlank="1"/>
    </cacheField>
    <cacheField name="BP Stategy" numFmtId="0">
      <sharedItems containsBlank="1"/>
    </cacheField>
    <cacheField name="BP / In-Place Rate" numFmtId="0">
      <sharedItems containsString="0" containsBlank="1" containsNumber="1" minValue="-0.125" maxValue="0.73109243697478998"/>
    </cacheField>
    <cacheField name="Market" numFmtId="0">
      <sharedItems count="17">
        <s v="Chicago"/>
        <s v="Memphis"/>
        <s v="Atlanta"/>
        <s v="North New Jersey"/>
        <s v="Greater Philadelphia"/>
        <s v="Cincinnati"/>
        <s v="Charlotte"/>
        <s v="Dallas"/>
        <s v="Baltimore/DC"/>
        <s v="Tampa"/>
        <s v="Columbus"/>
        <s v="San Antonio"/>
        <s v="Miami"/>
        <s v="Jacksonville"/>
        <s v="Houston"/>
        <s v="Baltimore" u="1"/>
        <s v="Philadelphia" u="1"/>
      </sharedItems>
    </cacheField>
    <cacheField name="SLB" numFmtId="0">
      <sharedItems containsMixedTypes="1" containsNumber="1" containsInteger="1" minValue="0" maxValue="0"/>
    </cacheField>
    <cacheField name="Tenant Name" numFmtId="0">
      <sharedItems containsMixedTypes="1" containsNumber="1" containsInteger="1" minValue="911" maxValue="911"/>
    </cacheField>
    <cacheField name="Term (Months)" numFmtId="0">
      <sharedItems containsSemiMixedTypes="0" containsString="0" containsNumber="1" containsInteger="1" minValue="17" maxValue="182"/>
    </cacheField>
    <cacheField name="SF" numFmtId="165">
      <sharedItems containsSemiMixedTypes="0" containsString="0" containsNumber="1" containsInteger="1" minValue="825" maxValue="191887"/>
    </cacheField>
    <cacheField name="Total Cost as of Prior Quarter Ending" numFmtId="165">
      <sharedItems containsString="0" containsBlank="1" containsNumber="1" minValue="829041" maxValue="27968334.659775093"/>
    </cacheField>
    <cacheField name="Property SF" numFmtId="0">
      <sharedItems containsString="0" containsBlank="1" containsNumber="1" containsInteger="1" minValue="6792" maxValue="272221"/>
    </cacheField>
    <cacheField name="YOC" numFmtId="0">
      <sharedItems containsString="0" containsBlank="1" containsNumber="1" minValue="5.3877071126955042E-2" maxValue="0.15561874101243534"/>
    </cacheField>
    <cacheField name="Prior Lease PSF" numFmtId="0">
      <sharedItems containsBlank="1" containsMixedTypes="1" containsNumber="1" minValue="1.85" maxValue="17"/>
    </cacheField>
    <cacheField name="PSF (BP)" numFmtId="0">
      <sharedItems containsSemiMixedTypes="0" containsString="0" containsNumber="1" minValue="2.33" maxValue="17.5"/>
    </cacheField>
    <cacheField name="FM PSF" numFmtId="0">
      <sharedItems containsMixedTypes="1" containsNumber="1" minValue="3.3" maxValue="18.600000000000001"/>
    </cacheField>
    <cacheField name="PSF" numFmtId="0">
      <sharedItems containsSemiMixedTypes="0" containsString="0" containsNumber="1" minValue="2.33" maxValue="19"/>
    </cacheField>
    <cacheField name="Escalations" numFmtId="0">
      <sharedItems containsSemiMixedTypes="0" containsString="0" containsNumber="1" minValue="0" maxValue="10.24"/>
    </cacheField>
    <cacheField name="Escalation (BP)" numFmtId="0">
      <sharedItems containsSemiMixedTypes="0" containsString="0" containsNumber="1" minValue="0" maxValue="5"/>
    </cacheField>
    <cacheField name="CTV" numFmtId="0">
      <sharedItems containsString="0" containsBlank="1" containsNumber="1" minValue="0" maxValue="61.576354679799998"/>
    </cacheField>
    <cacheField name="CTV (BP)" numFmtId="0">
      <sharedItems containsString="0" containsBlank="1" containsNumber="1" minValue="0" maxValue="60.29"/>
    </cacheField>
    <cacheField name="Downtime" numFmtId="0">
      <sharedItems containsString="0" containsBlank="1" containsNumber="1" minValue="0" maxValue="22"/>
    </cacheField>
    <cacheField name="Downtime (BP)" numFmtId="0">
      <sharedItems containsSemiMixedTypes="0" containsString="0" containsNumber="1" minValue="0" maxValue="12"/>
    </cacheField>
    <cacheField name="LC" numFmtId="41">
      <sharedItems containsSemiMixedTypes="0" containsString="0" containsNumber="1" minValue="0" maxValue="600381"/>
    </cacheField>
    <cacheField name="TI" numFmtId="0">
      <sharedItems containsBlank="1" containsMixedTypes="1" containsNumber="1" minValue="0" maxValue="622818"/>
    </cacheField>
    <cacheField name="Other Costs" numFmtId="41">
      <sharedItems containsBlank="1" containsMixedTypes="1" containsNumber="1" minValue="0" maxValue="1200000"/>
    </cacheField>
    <cacheField name="FR" numFmtId="0">
      <sharedItems containsString="0" containsBlank="1" containsNumber="1" minValue="0" maxValue="450148.23"/>
    </cacheField>
    <cacheField name="Total Costs" numFmtId="41">
      <sharedItems containsString="0" containsBlank="1" containsNumber="1" minValue="0" maxValue="1763796.84"/>
    </cacheField>
    <cacheField name="Total Lease Value" numFmtId="0">
      <sharedItems containsMixedTypes="1" containsNumber="1" minValue="21634" maxValue="14237512.02"/>
    </cacheField>
    <cacheField name="Fund" numFmtId="0">
      <sharedItems containsBlank="1" count="3">
        <s v="FUND2[FRG_10]"/>
        <s v="FUND3[FRG_11]"/>
        <m u="1"/>
      </sharedItems>
    </cacheField>
    <cacheField name="Date deal signed" numFmtId="164">
      <sharedItems containsSemiMixedTypes="0" containsNonDate="0" containsDate="1" containsString="0" minDate="2021-04-01T00:00:00" maxDate="2024-12-21T00:00:00"/>
    </cacheField>
    <cacheField name="MR Model PSF" numFmtId="0">
      <sharedItems containsBlank="1" containsMixedTypes="1" containsNumber="1" minValue="0" maxValue="17.222882586485241"/>
    </cacheField>
    <cacheField name="M2M Model PSF" numFmtId="0">
      <sharedItems containsBlank="1" containsMixedTypes="1" containsNumber="1" minValue="3.4029156748097797" maxValue="16.108664791487893"/>
    </cacheField>
    <cacheField name="MR % Error" numFmtId="0">
      <sharedItems containsBlank="1" containsMixedTypes="1" containsNumber="1" minValue="-100.3770642848" maxValue="25"/>
    </cacheField>
    <cacheField name="M2M % Error" numFmtId="0">
      <sharedItems containsBlank="1" containsMixedTypes="1" containsNumber="1" minValue="-89.7404706011" maxValue="40.671812865900002"/>
    </cacheField>
    <cacheField name="Credit Score" numFmtId="0">
      <sharedItems containsBlank="1" containsMixedTypes="1" containsNumber="1" minValue="1.4" maxValue="9"/>
    </cacheField>
    <cacheField name="AML" numFmtId="0">
      <sharedItems containsBlank="1"/>
    </cacheField>
    <cacheField name="Rexy" numFmtId="0">
      <sharedItems containsBlank="1" containsMixedTypes="1" containsNumber="1" minValue="4.8600000000000003" maxValue="12.56"/>
    </cacheField>
    <cacheField name="Yardi Property Code" numFmtId="0">
      <sharedItems containsBlank="1"/>
    </cacheField>
    <cacheField name="&gt;&gt;&gt; CALCULATED FIELDS FOR PIVOT TABLE" numFmtId="0">
      <sharedItems containsNonDate="0" containsString="0" containsBlank="1"/>
    </cacheField>
    <cacheField name="MR % Error over BP" numFmtId="0">
      <sharedItems containsBlank="1" containsMixedTypes="1" containsNumber="1" minValue="-1" maxValue="2.2970387332111244"/>
    </cacheField>
    <cacheField name="M2M % Error over BP" numFmtId="0">
      <sharedItems containsString="0" containsBlank="1" containsNumber="1" minValue="-1" maxValue="0.93885444666109241"/>
    </cacheField>
    <cacheField name="Activity Type : New Lease or Renewal" numFmtId="0">
      <sharedItems/>
    </cacheField>
    <cacheField name="Quarter" numFmtId="164">
      <sharedItems containsNonDate="0" containsBlank="1" count="17">
        <s v="Q4 2024"/>
        <s v="Q3 2024"/>
        <s v="Q2 2023"/>
        <s v="Q2 2024"/>
        <s v="Q1 2024"/>
        <s v="Q4 2023"/>
        <s v="Q3 2023"/>
        <s v="Q1 2023"/>
        <s v="Q1 2022"/>
        <s v="Q2 2022"/>
        <s v="Q4 2022"/>
        <s v="Q3 2022"/>
        <s v="Q2 2021"/>
        <s v="Q3 2021"/>
        <s v="Q4 2021"/>
        <m u="1"/>
        <s v="Q1 1900" u="1"/>
      </sharedItems>
    </cacheField>
    <cacheField name="Half" numFmtId="164">
      <sharedItems containsNonDate="0"/>
    </cacheField>
    <cacheField name="Size Range" numFmtId="0">
      <sharedItems containsBlank="1" count="9">
        <s v="&lt; 20K"/>
        <s v="20-50K"/>
        <s v="&gt;100K"/>
        <s v="50-100K"/>
        <m u="1"/>
        <s v="40-80K" u="1"/>
        <s v="&lt; 40K" u="1"/>
        <s v="80-120K" u="1"/>
        <s v="&gt; 120K" u="1"/>
      </sharedItems>
    </cacheField>
    <cacheField name="Prior Lease SF" numFmtId="2">
      <sharedItems containsBlank="1" containsMixedTypes="1" containsNumber="1" containsInteger="1" minValue="-2" maxValue="191887"/>
    </cacheField>
    <cacheField name="SF * Prior Lease PSF" numFmtId="2">
      <sharedItems containsMixedTypes="1" containsNumber="1" minValue="-19.62" maxValue="1231089.8899999999"/>
    </cacheField>
    <cacheField name="SF * PSF (BP)" numFmtId="2">
      <sharedItems containsSemiMixedTypes="0" containsString="0" containsNumber="1" minValue="7631.25" maxValue="2122150.02"/>
    </cacheField>
    <cacheField name="SF * FM PSF" numFmtId="0">
      <sharedItems containsBlank="1" containsMixedTypes="1" containsNumber="1" minValue="8400" maxValue="2125186"/>
    </cacheField>
    <cacheField name="Prior Lease SF * PSF" numFmtId="2">
      <sharedItems containsMixedTypes="1" containsNumber="1" minValue="-20" maxValue="2314934.75"/>
    </cacheField>
    <cacheField name="SF * PSF" numFmtId="2">
      <sharedItems containsSemiMixedTypes="0" containsString="0" containsNumber="1" minValue="8400" maxValue="2314934.75"/>
    </cacheField>
    <cacheField name="PSF of spaces that were previously occupied * SF" numFmtId="2">
      <sharedItems containsMixedTypes="1" containsNumber="1" minValue="8400" maxValue="2314934.75"/>
    </cacheField>
    <cacheField name="SF * MR" numFmtId="2">
      <sharedItems containsBlank="1" containsMixedTypes="1" containsNumber="1" minValue="0" maxValue="1771673.0290269537"/>
    </cacheField>
    <cacheField name="SF * M2M" numFmtId="2">
      <sharedItems containsBlank="1" containsMixedTypes="1" containsNumber="1" minValue="0" maxValue="1538212.3735243808"/>
    </cacheField>
    <cacheField name="DT * SF" numFmtId="2">
      <sharedItems containsSemiMixedTypes="0" containsString="0" containsNumber="1" minValue="0" maxValue="890824"/>
    </cacheField>
    <cacheField name="New Lease SF" numFmtId="2">
      <sharedItems containsSemiMixedTypes="0" containsString="0" containsNumber="1" containsInteger="1" minValue="0" maxValue="115200"/>
    </cacheField>
    <cacheField name="DT BP * SF" numFmtId="2">
      <sharedItems containsSemiMixedTypes="0" containsString="0" containsNumber="1" minValue="0" maxValue="1264559.43"/>
    </cacheField>
    <cacheField name="Rent of Leases with FR" numFmtId="0">
      <sharedItems containsMixedTypes="1" containsNumber="1" minValue="12375" maxValue="2314934.75"/>
    </cacheField>
    <cacheField name="FR (months)" numFmtId="2">
      <sharedItems containsSemiMixedTypes="0" containsString="0" containsNumber="1" minValue="0" maxValue="4.999995748823487"/>
    </cacheField>
    <cacheField name="FR (months) * SF * PSF" numFmtId="2">
      <sharedItems containsSemiMixedTypes="0" containsString="0" containsNumber="1" minValue="0" maxValue="5401778.7599999998"/>
    </cacheField>
    <cacheField name="CTV2" numFmtId="2">
      <sharedItems containsSemiMixedTypes="0" containsString="0" containsNumber="1" minValue="0" maxValue="2260879.0275224997"/>
    </cacheField>
    <cacheField name="CTV (BP)2" numFmtId="2">
      <sharedItems containsSemiMixedTypes="0" containsString="0" containsNumber="1" minValue="0" maxValue="4916318.8600000003"/>
    </cacheField>
    <cacheField name="Rent Bumps" numFmtId="2">
      <sharedItems containsSemiMixedTypes="0" containsString="0" containsNumber="1" minValue="0" maxValue="948730"/>
    </cacheField>
    <cacheField name="Rent Bumps (BP)" numFmtId="2">
      <sharedItems containsString="0" containsBlank="1" containsNumber="1" minValue="0" maxValue="569238"/>
    </cacheField>
    <cacheField name="Rent Inc % over Prior Lease " numFmtId="0" formula="'Prior Lease SF * PSF'/'SF * Prior Lease PSF'-1" databaseField="0"/>
    <cacheField name="Rent Inc % over BP" numFmtId="0" formula="'SF * PSF'/'SF * PSF (BP)'-1" databaseField="0"/>
    <cacheField name="Prior Lease PSF Rate" numFmtId="0" formula="'SF * Prior Lease PSF'/'Prior Lease SF'" databaseField="0"/>
    <cacheField name="Executed Lease PSF Rate" numFmtId="0" formula="'SF * PSF'/SF" databaseField="0"/>
    <cacheField name="BP PSF Rate" numFmtId="0" formula="'SF * PSF (BP)'/SF" databaseField="0"/>
    <cacheField name="CTV (%)" numFmtId="0" formula="CTV2/SF" databaseField="0"/>
    <cacheField name="CTV BP (%)" numFmtId="0" formula="'CTV (BP)2'/SF" databaseField="0"/>
    <cacheField name="Increase over Prior Rate" numFmtId="0" formula="'Rent Inc % over Prior Lease '" databaseField="0"/>
    <cacheField name="Rent Inc % over BP " numFmtId="0" formula="'Executed Lease PSF Rate'/'BP PSF Rate'-1" databaseField="0"/>
    <cacheField name="Escalation " numFmtId="0" formula="'Rent Bumps'/SF" databaseField="0"/>
    <cacheField name="Escalation BP" numFmtId="0" formula="'Rent Bumps (BP)'/SF" databaseField="0"/>
    <cacheField name="Current Rate for Rent Inc over prior lease calc" numFmtId="0" formula="'PSF of spaces that were previously occupied * SF'/'Prior Lease SF'" databaseField="0"/>
    <cacheField name="FM Rate PSF" numFmtId="0" formula="'SF * FM PSF'/SF" databaseField="0"/>
    <cacheField name="NOI Increase over FM" numFmtId="0" formula="('Executed Lease PSF Rate'-'FM Rate PSF')*#NAME?" databaseField="0"/>
    <cacheField name="FR (Fund 2)" numFmtId="0" formula="#NAME?/#NAME?" databaseField="0"/>
    <cacheField name="FR (Actual)" numFmtId="0" formula="'FR (months) * SF * PSF'/'Rent of Leases with FR'" databaseField="0"/>
    <cacheField name="Prior Lease Rate" numFmtId="0" formula="'SF * Prior Lease PSF'/'Prior Lease SF'" databaseField="0"/>
    <cacheField name="BP Rate" numFmtId="0" formula="'SF * PSF (BP)'/SF" databaseField="0"/>
    <cacheField name="Downtime Actual" numFmtId="0" formula="'DT * SF'/'New Lease SF'" databaseField="0"/>
    <cacheField name="Downtime BP" numFmtId="0" formula="'DT BP * SF'/'New Lease SF'" databaseField="0"/>
    <cacheField name="Field1" numFmtId="0" formula="'Current Rate for Rent Inc over prior lease calc'" databaseField="0"/>
    <cacheField name="Spread over FM" numFmtId="0" formula="'Executed Lease PSF Rate'/'FM Rate PSF'-1"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Dallas"/>
    <s v="New Lease"/>
    <n v="15780"/>
    <m/>
    <n v="7.5"/>
    <n v="0"/>
    <n v="6"/>
    <n v="0"/>
    <n v="25"/>
    <n v="4.2095030587446578"/>
    <n v="27.16"/>
    <n v="3"/>
    <n v="3"/>
    <n v="0"/>
    <n v="394500"/>
    <n v="118350"/>
    <n v="0"/>
    <n v="94680"/>
    <n v="66425.958266990696"/>
    <n v="428584.8"/>
    <n v="47340"/>
    <n v="47340"/>
    <x v="0"/>
  </r>
  <r>
    <s v="Dallas"/>
    <s v="Renewal per Option"/>
    <n v="8060"/>
    <n v="8060"/>
    <n v="5.24"/>
    <n v="4.7636363636363637"/>
    <n v="4.7300000000000004"/>
    <n v="10"/>
    <n v="10.782241014799144"/>
    <n v="0"/>
    <n v="11.3"/>
    <n v="0"/>
    <n v="0"/>
    <n v="80600"/>
    <n v="86904.862579281107"/>
    <n v="42234.400000000001"/>
    <n v="38394.909090909088"/>
    <n v="38123.800000000003"/>
    <n v="0"/>
    <n v="91078"/>
    <n v="0"/>
    <n v="0"/>
    <x v="0"/>
  </r>
  <r>
    <s v="Dallas"/>
    <s v="New Lease"/>
    <n v="8176"/>
    <m/>
    <n v="5.28"/>
    <n v="0"/>
    <n v="5.28"/>
    <n v="0"/>
    <n v="0"/>
    <n v="0"/>
    <n v="3.8"/>
    <n v="3"/>
    <n v="3"/>
    <n v="0"/>
    <n v="0"/>
    <n v="43169.279999999999"/>
    <n v="0"/>
    <n v="43169.279999999999"/>
    <n v="0"/>
    <n v="31068.799999999999"/>
    <n v="24528"/>
    <n v="24528"/>
    <x v="0"/>
  </r>
  <r>
    <s v="Dallas"/>
    <s v="New Lease"/>
    <n v="9070"/>
    <m/>
    <n v="6.28"/>
    <n v="0"/>
    <n v="6.28"/>
    <n v="0"/>
    <n v="0"/>
    <n v="0"/>
    <n v="9.5"/>
    <n v="0"/>
    <n v="0"/>
    <n v="0"/>
    <n v="0"/>
    <n v="56959.600000000006"/>
    <n v="0"/>
    <n v="56959.600000000006"/>
    <n v="0"/>
    <n v="86165"/>
    <n v="0"/>
    <n v="0"/>
    <x v="0"/>
  </r>
  <r>
    <s v="San Antonio"/>
    <s v="New Lease"/>
    <n v="8730"/>
    <n v="8730"/>
    <n v="7.2"/>
    <n v="6.9031639501438162"/>
    <n v="6.96"/>
    <n v="4.3"/>
    <n v="3.4482758620689724"/>
    <n v="6.0000010291782324"/>
    <n v="15.5"/>
    <n v="3"/>
    <n v="2.5"/>
    <n v="37539"/>
    <n v="30103.448275862131"/>
    <n v="62856"/>
    <n v="60264.621284755514"/>
    <n v="60760.800000000003"/>
    <n v="52380.008984725966"/>
    <n v="135315"/>
    <n v="26190"/>
    <n v="21825"/>
    <x v="0"/>
  </r>
  <r>
    <s v="Houston"/>
    <s v="New Lease"/>
    <n v="26448"/>
    <m/>
    <n v="8.2799999999999994"/>
    <n v="0"/>
    <n v="7.8"/>
    <n v="0"/>
    <n v="6.1538461538461542"/>
    <n v="7.4119170451146257"/>
    <n v="31.6"/>
    <n v="3"/>
    <n v="2.5"/>
    <n v="0"/>
    <n v="162756.92307692309"/>
    <n v="218989.43999999997"/>
    <n v="0"/>
    <n v="206294.39999999999"/>
    <n v="196030.38200919161"/>
    <n v="835756.8"/>
    <n v="79344"/>
    <n v="66120"/>
    <x v="1"/>
  </r>
  <r>
    <s v="Cincinnati"/>
    <s v="New Lease"/>
    <n v="47107"/>
    <m/>
    <n v="3.25"/>
    <n v="0"/>
    <n v="3.25"/>
    <n v="0"/>
    <n v="0"/>
    <n v="10.232331269389155"/>
    <n v="10.35"/>
    <n v="2.5"/>
    <n v="3"/>
    <n v="0"/>
    <n v="0"/>
    <n v="153097.75"/>
    <n v="0"/>
    <n v="153097.75"/>
    <n v="482014.42910711491"/>
    <n v="487557.45"/>
    <n v="117767.5"/>
    <n v="141321"/>
    <x v="2"/>
  </r>
  <r>
    <s v="Cincinnati"/>
    <s v="Expansion"/>
    <n v="111087"/>
    <m/>
    <n v="3.35"/>
    <n v="0"/>
    <n v="3.25"/>
    <n v="4.3"/>
    <n v="3.0769230769230882"/>
    <n v="9.4991458960709618"/>
    <n v="10.7"/>
    <n v="4.3"/>
    <n v="4"/>
    <n v="477674.1"/>
    <n v="341806.1538461551"/>
    <n v="372141.45"/>
    <n v="0"/>
    <n v="361032.75"/>
    <n v="1055231.6201568348"/>
    <n v="1188630.8999999999"/>
    <n v="477674.1"/>
    <n v="444348"/>
    <x v="3"/>
  </r>
  <r>
    <s v="Greater Philadelphia"/>
    <s v="Renewal"/>
    <n v="20000"/>
    <n v="20000"/>
    <n v="4.7"/>
    <n v="4.3518518518518521"/>
    <n v="5"/>
    <n v="8"/>
    <n v="-5.9999999999999947"/>
    <n v="1.5"/>
    <n v="13.4"/>
    <n v="3"/>
    <n v="2.5"/>
    <n v="160000"/>
    <n v="-119999.9999999999"/>
    <n v="94000"/>
    <n v="87037.037037037036"/>
    <n v="100000"/>
    <n v="30000"/>
    <n v="268000"/>
    <n v="60000"/>
    <n v="50000"/>
    <x v="0"/>
  </r>
  <r>
    <s v="Dallas"/>
    <s v="New Lease"/>
    <n v="115200"/>
    <n v="115200"/>
    <n v="3.8"/>
    <n v="3.4958601655933763"/>
    <n v="3.7"/>
    <n v="8.6999999999999993"/>
    <n v="2.7027027027026973"/>
    <n v="14.11472448057814"/>
    <n v="18"/>
    <n v="3"/>
    <n v="3"/>
    <n v="1002239.9999999999"/>
    <n v="311351.35135135072"/>
    <n v="437760"/>
    <n v="402723.09107635694"/>
    <n v="426240"/>
    <n v="1626016.2601626017"/>
    <n v="2073600"/>
    <n v="345600"/>
    <n v="345600"/>
    <x v="3"/>
  </r>
  <r>
    <s v="Memphis"/>
    <s v="New Lease"/>
    <n v="41496"/>
    <n v="41496"/>
    <n v="3.5"/>
    <n v="2.4137931034482758"/>
    <n v="3.35"/>
    <n v="45"/>
    <n v="4.4776119402984982"/>
    <n v="8.3834362866416132"/>
    <n v="23"/>
    <n v="3"/>
    <n v="2"/>
    <n v="1867320"/>
    <n v="185802.98507462649"/>
    <n v="145236"/>
    <n v="100162.75862068965"/>
    <n v="139011.6"/>
    <n v="347879.07215048041"/>
    <n v="954408"/>
    <n v="124488"/>
    <n v="82992"/>
    <x v="2"/>
  </r>
  <r>
    <s v="Memphis"/>
    <s v="New Lease"/>
    <n v="63840"/>
    <n v="63840"/>
    <n v="3.5"/>
    <n v="2.6002971768202077"/>
    <n v="2.5"/>
    <n v="34.6"/>
    <n v="39.999999999999993"/>
    <n v="12.713032581453634"/>
    <n v="17"/>
    <n v="0"/>
    <m/>
    <n v="2208864"/>
    <n v="2553599.9999999995"/>
    <n v="223440"/>
    <n v="166002.97176820206"/>
    <n v="159600"/>
    <n v="811600"/>
    <n v="1085280"/>
    <n v="0"/>
    <n v="0"/>
    <x v="4"/>
  </r>
  <r>
    <s v="Memphis"/>
    <s v="New Lease"/>
    <n v="45820"/>
    <n v="45820"/>
    <n v="3.25"/>
    <n v="2.3381294964028774"/>
    <n v="2.6"/>
    <n v="39"/>
    <n v="25"/>
    <n v="13.491881589676799"/>
    <n v="17"/>
    <n v="3"/>
    <n v="2.5"/>
    <n v="1786980"/>
    <n v="1145500"/>
    <n v="148915"/>
    <n v="107133.09352517984"/>
    <n v="119132"/>
    <n v="618198.01443899097"/>
    <n v="778940"/>
    <n v="137460"/>
    <n v="114550"/>
    <x v="2"/>
  </r>
  <r>
    <s v="Atlanta"/>
    <s v="New Lease"/>
    <n v="45607"/>
    <n v="45607"/>
    <n v="5.12"/>
    <n v="3.9500077148588182"/>
    <n v="3.95"/>
    <n v="29.62"/>
    <n v="29.620253164556964"/>
    <n v="7.9998342861877543"/>
    <n v="11"/>
    <n v="0"/>
    <n v="3"/>
    <n v="1350879.34"/>
    <n v="1350890.8860759495"/>
    <n v="233507.84"/>
    <n v="180148.00185156611"/>
    <n v="180147.65"/>
    <n v="364848.44229016494"/>
    <n v="501677"/>
    <n v="0"/>
    <n v="136821"/>
    <x v="2"/>
  </r>
  <r>
    <s v="Atlanta"/>
    <s v="Renewal"/>
    <n v="5179"/>
    <n v="5179"/>
    <n v="6.95"/>
    <n v="5.0971763843050972"/>
    <n v="7.11"/>
    <n v="36.35"/>
    <n v="-2.2503516174402272"/>
    <n v="6"/>
    <n v="17"/>
    <n v="0"/>
    <n v="3"/>
    <n v="188256.65"/>
    <n v="-11654.571026722937"/>
    <n v="35994.050000000003"/>
    <n v="26398.276494316098"/>
    <n v="36822.69"/>
    <n v="31074"/>
    <n v="88043"/>
    <n v="0"/>
    <n v="15537"/>
    <x v="0"/>
  </r>
  <r>
    <s v="Cincinnati"/>
    <s v="New Lease"/>
    <n v="114027"/>
    <m/>
    <n v="3.5"/>
    <n v="0"/>
    <n v="3.5"/>
    <n v="0"/>
    <n v="0"/>
    <n v="11.053664873044694"/>
    <n v="23.14"/>
    <n v="3"/>
    <n v="3"/>
    <n v="0"/>
    <n v="0"/>
    <n v="399094.5"/>
    <n v="0"/>
    <n v="399094.5"/>
    <n v="1260416.2444786674"/>
    <n v="2638584.7800000003"/>
    <n v="342081"/>
    <n v="342081"/>
    <x v="3"/>
  </r>
  <r>
    <s v="Memphis"/>
    <s v="New Lease"/>
    <n v="25137"/>
    <n v="25137"/>
    <n v="3.5"/>
    <n v="2.5362318840579712"/>
    <n v="2.4700000000000002"/>
    <n v="38"/>
    <n v="41.700404858299578"/>
    <n v="5.9998715967403911"/>
    <n v="22"/>
    <n v="2.75"/>
    <m/>
    <n v="955206"/>
    <n v="1048223.0769230765"/>
    <n v="87979.5"/>
    <n v="63753.260869565223"/>
    <n v="62088.390000000007"/>
    <n v="150818.7723272632"/>
    <n v="553014"/>
    <n v="69126.75"/>
    <n v="0"/>
    <x v="1"/>
  </r>
  <r>
    <s v="Chicago"/>
    <s v="Expansion"/>
    <n v="41455"/>
    <n v="41455"/>
    <n v="5.65"/>
    <n v="4.8290598290598297"/>
    <n v="5.25"/>
    <n v="17"/>
    <n v="7.6190476190476364"/>
    <n v="33.821749638345132"/>
    <n v="32"/>
    <n v="5"/>
    <n v="3"/>
    <n v="704735"/>
    <n v="315847.61904761975"/>
    <n v="234220.75000000003"/>
    <n v="200188.67521367525"/>
    <n v="217638.75"/>
    <n v="1402080.6312575974"/>
    <n v="1326560"/>
    <n v="207275"/>
    <n v="124365"/>
    <x v="2"/>
  </r>
  <r>
    <s v="Atlanta"/>
    <s v="New Lease"/>
    <n v="38164"/>
    <n v="38164"/>
    <n v="4.75"/>
    <n v="4.4998105342932924"/>
    <n v="3.56"/>
    <n v="5.56"/>
    <n v="33.426966292134821"/>
    <n v="25.078525471648263"/>
    <n v="17"/>
    <n v="4"/>
    <n v="3"/>
    <n v="212191.84"/>
    <n v="1275706.7415730334"/>
    <n v="181279"/>
    <n v="171730.76923076922"/>
    <n v="135863.84"/>
    <n v="957096.84609998425"/>
    <n v="648788"/>
    <n v="152656"/>
    <n v="114492"/>
    <x v="1"/>
  </r>
  <r>
    <s v="Atlanta"/>
    <s v="Renewal"/>
    <n v="10000"/>
    <n v="10000"/>
    <n v="6"/>
    <n v="3.3500837520938025"/>
    <n v="5.25"/>
    <n v="79.099999999999994"/>
    <n v="14.285714285714279"/>
    <n v="5.9998908347363873"/>
    <n v="11"/>
    <n v="4"/>
    <n v="3"/>
    <n v="791000"/>
    <n v="142857.14285714278"/>
    <n v="60000"/>
    <n v="33500.837520938025"/>
    <n v="52500"/>
    <n v="59998.908347363875"/>
    <n v="110000"/>
    <n v="40000"/>
    <n v="30000"/>
    <x v="0"/>
  </r>
  <r>
    <s v="Greater Philadelphia"/>
    <s v="Expansion"/>
    <n v="20000"/>
    <n v="20000"/>
    <n v="7.5"/>
    <n v="3.75"/>
    <n v="5"/>
    <n v="100"/>
    <n v="50"/>
    <n v="21.57663005493486"/>
    <n v="30"/>
    <n v="3"/>
    <n v="2.5"/>
    <n v="2000000"/>
    <n v="1000000"/>
    <n v="150000"/>
    <n v="75000"/>
    <n v="100000"/>
    <n v="431532.60109869723"/>
    <n v="600000"/>
    <n v="60000"/>
    <n v="50000"/>
    <x v="0"/>
  </r>
  <r>
    <s v="Tampa"/>
    <s v="New Lease"/>
    <n v="8956"/>
    <m/>
    <n v="10.95"/>
    <n v="0"/>
    <n v="9.75"/>
    <n v="0"/>
    <n v="12.307692307692308"/>
    <n v="5.9999967654289037"/>
    <n v="6"/>
    <n v="5"/>
    <n v="3"/>
    <n v="0"/>
    <n v="110227.69230769231"/>
    <n v="98068.2"/>
    <n v="0"/>
    <n v="87321"/>
    <n v="53735.97103118126"/>
    <n v="53736"/>
    <n v="44780"/>
    <n v="26868"/>
    <x v="0"/>
  </r>
  <r>
    <s v="Atlanta"/>
    <s v="Renewal per Option"/>
    <n v="10979"/>
    <n v="10979"/>
    <n v="6.9"/>
    <n v="4.8694424841213833"/>
    <n v="7.14"/>
    <n v="41.7"/>
    <n v="-7.2580645161290374"/>
    <n v="5.9999996377801992"/>
    <n v="10"/>
    <n v="3.5"/>
    <n v="3"/>
    <n v="457824.30000000005"/>
    <n v="-79686.290322580695"/>
    <n v="75755.100000000006"/>
    <n v="53461.609033168665"/>
    <n v="78390.06"/>
    <n v="65873.996023188811"/>
    <n v="109790"/>
    <n v="38426.5"/>
    <n v="32937"/>
    <x v="0"/>
  </r>
  <r>
    <s v="Greater Philadelphia"/>
    <s v="New Lease"/>
    <n v="20721"/>
    <n v="20721"/>
    <n v="7.3"/>
    <n v="2.1699711661365595"/>
    <n v="4.5"/>
    <n v="236.41"/>
    <n v="62.222222222222221"/>
    <n v="17.895393970116743"/>
    <n v="60.29"/>
    <n v="4"/>
    <n v="3"/>
    <n v="4898651.6100000003"/>
    <n v="1289306.6666666667"/>
    <n v="151263.29999999999"/>
    <n v="44963.972533515647"/>
    <n v="93244.5"/>
    <n v="370810.45845478901"/>
    <n v="1249269.0900000001"/>
    <n v="82884"/>
    <n v="62163"/>
    <x v="1"/>
  </r>
  <r>
    <s v="Atlanta"/>
    <s v="New Lease"/>
    <n v="82460"/>
    <m/>
    <n v="5.75"/>
    <n v="0"/>
    <n v="5.25"/>
    <n v="0"/>
    <n v="9.5238095238095344"/>
    <n v="6.0000000000000009"/>
    <n v="10"/>
    <n v="4"/>
    <n v="3"/>
    <n v="0"/>
    <n v="785333.33333333419"/>
    <n v="474145"/>
    <n v="0"/>
    <n v="432915"/>
    <n v="494760.00000000006"/>
    <n v="824600"/>
    <n v="329840"/>
    <n v="247380"/>
    <x v="5"/>
  </r>
  <r>
    <s v="North New Jersey"/>
    <s v="Renewal"/>
    <n v="12126"/>
    <n v="12126"/>
    <n v="14.15"/>
    <n v="6.2499999999999991"/>
    <n v="11"/>
    <n v="126.4"/>
    <n v="28.636363636363637"/>
    <n v="5"/>
    <n v="10.36"/>
    <n v="5"/>
    <n v="3"/>
    <n v="1532726.4000000001"/>
    <n v="347244.54545454547"/>
    <n v="171582.9"/>
    <n v="75787.499999999985"/>
    <n v="133386"/>
    <n v="60630"/>
    <n v="125625.35999999999"/>
    <n v="60630"/>
    <n v="36378"/>
    <x v="0"/>
  </r>
  <r>
    <s v="Atlanta"/>
    <s v="New Lease"/>
    <n v="76625"/>
    <m/>
    <n v="6.9"/>
    <n v="0"/>
    <n v="7.14"/>
    <n v="47.8"/>
    <n v="-2.1276595744680771"/>
    <n v="5.9999999756578628"/>
    <n v="10"/>
    <n v="3.5"/>
    <n v="4"/>
    <n v="3662675"/>
    <n v="-163031.9148936164"/>
    <n v="528712.5"/>
    <n v="0"/>
    <n v="547102.5"/>
    <n v="459749.99813478376"/>
    <n v="766250"/>
    <n v="268187.5"/>
    <n v="30650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s v="1100 Howard Street"/>
    <x v="0"/>
    <m/>
    <m/>
    <m/>
    <x v="0"/>
    <n v="0"/>
    <s v="Genband Industries, LLC"/>
    <n v="60"/>
    <n v="8613"/>
    <n v="1910869.03"/>
    <n v="23500"/>
    <n v="9.8384555429212234E-2"/>
    <n v="6.5"/>
    <n v="6.94"/>
    <n v="8"/>
    <n v="8"/>
    <n v="3.5"/>
    <n v="2.5"/>
    <m/>
    <m/>
    <n v="9"/>
    <n v="9"/>
    <n v="22169.699999999997"/>
    <n v="21532.5"/>
    <m/>
    <n v="0"/>
    <n v="43702.2"/>
    <n v="369495.12"/>
    <x v="0"/>
    <d v="2024-11-05T00:00:00"/>
    <m/>
    <m/>
    <m/>
    <m/>
    <n v="3"/>
    <s v="Pass"/>
    <n v="9.66"/>
    <s v="xil1100h"/>
    <m/>
    <m/>
    <m/>
    <s v="New Lease"/>
    <x v="0"/>
    <s v="2H2024"/>
    <x v="0"/>
    <n v="8613"/>
    <n v="55984.5"/>
    <n v="59774.22"/>
    <n v="68904"/>
    <n v="68904"/>
    <n v="68904"/>
    <n v="68904"/>
    <n v="0"/>
    <n v="0"/>
    <n v="77517"/>
    <n v="8613"/>
    <n v="77517"/>
    <s v=""/>
    <n v="0"/>
    <n v="0"/>
    <n v="0"/>
    <n v="0"/>
    <n v="30145.5"/>
    <n v="21532.5"/>
  </r>
  <r>
    <s v="770 Arthur Avenue"/>
    <x v="0"/>
    <m/>
    <m/>
    <m/>
    <x v="0"/>
    <n v="0"/>
    <s v="Innoved Institute"/>
    <n v="88"/>
    <n v="21741"/>
    <n v="4954431.6552054798"/>
    <n v="63196"/>
    <n v="0.10395690885327975"/>
    <n v="6.9"/>
    <n v="6.03"/>
    <n v="8"/>
    <n v="8.15"/>
    <n v="3.5"/>
    <n v="3"/>
    <m/>
    <m/>
    <n v="0"/>
    <n v="6"/>
    <n v="0"/>
    <n v="53482"/>
    <m/>
    <n v="59063.77"/>
    <n v="112545.76999999999"/>
    <s v="1,394,509.05"/>
    <x v="0"/>
    <d v="2024-12-20T00:00:00"/>
    <m/>
    <m/>
    <m/>
    <m/>
    <s v="5"/>
    <s v="Pass"/>
    <s v="8.06"/>
    <s v="xil770ar"/>
    <m/>
    <m/>
    <m/>
    <s v="New Lease"/>
    <x v="0"/>
    <s v="2H2024"/>
    <x v="1"/>
    <n v="21741"/>
    <n v="150012.9"/>
    <n v="131098.23000000001"/>
    <n v="173928"/>
    <n v="177189.15"/>
    <n v="177189.15"/>
    <n v="177189.15"/>
    <n v="0"/>
    <n v="0"/>
    <n v="0"/>
    <n v="21741"/>
    <n v="130446"/>
    <n v="177189.15"/>
    <n v="4.000048761450687"/>
    <n v="708765.24000000011"/>
    <n v="0"/>
    <n v="0"/>
    <n v="76093.5"/>
    <n v="65223"/>
  </r>
  <r>
    <s v="3338 Democrat Road"/>
    <x v="1"/>
    <m/>
    <m/>
    <m/>
    <x v="1"/>
    <n v="0"/>
    <s v="Overhead Door Corporation"/>
    <n v="61"/>
    <n v="12000"/>
    <n v="9702266.7181319911"/>
    <n v="168000"/>
    <n v="8.2248821144925349E-2"/>
    <n v="3.85"/>
    <n v="4.72"/>
    <n v="4.75"/>
    <n v="4.75"/>
    <n v="3.5"/>
    <n v="3"/>
    <m/>
    <m/>
    <n v="0"/>
    <n v="0"/>
    <n v="12262.08"/>
    <n v="17965"/>
    <m/>
    <n v="4749.6000000000004"/>
    <n v="34976.68"/>
    <s v="306,551.90"/>
    <x v="1"/>
    <d v="2024-12-18T00:00:00"/>
    <m/>
    <m/>
    <m/>
    <m/>
    <s v="Not Completed"/>
    <s v="Pass"/>
    <s v="5.27"/>
    <s v="3tn00001"/>
    <m/>
    <m/>
    <m/>
    <s v="Renewal"/>
    <x v="0"/>
    <s v="2H2024"/>
    <x v="0"/>
    <n v="12000"/>
    <n v="46200"/>
    <n v="56640"/>
    <n v="57000"/>
    <n v="57000"/>
    <n v="57000"/>
    <n v="57000"/>
    <n v="0"/>
    <n v="0"/>
    <n v="0"/>
    <n v="0"/>
    <n v="0"/>
    <n v="57000"/>
    <n v="0.99991578947368431"/>
    <n v="56995.200000000012"/>
    <n v="0"/>
    <n v="0"/>
    <n v="42000"/>
    <n v="36000"/>
  </r>
  <r>
    <s v="4025 Steve Reynolds"/>
    <x v="1"/>
    <m/>
    <m/>
    <m/>
    <x v="2"/>
    <n v="0"/>
    <s v="Delta Landscape Supply of Georgia, Inc."/>
    <n v="60"/>
    <n v="12894"/>
    <n v="10939950"/>
    <n v="115294"/>
    <n v="6.1019681077152998E-2"/>
    <n v="5.8"/>
    <n v="12.55"/>
    <n v="5.94"/>
    <n v="5.79"/>
    <n v="2.5"/>
    <n v="4"/>
    <m/>
    <m/>
    <n v="0"/>
    <n v="0"/>
    <n v="23545.040000000001"/>
    <s v=""/>
    <m/>
    <n v="0"/>
    <n v="23545.040000000001"/>
    <s v="392,417.29"/>
    <x v="1"/>
    <d v="2024-12-12T00:00:00"/>
    <m/>
    <m/>
    <m/>
    <m/>
    <s v="4.5"/>
    <s v="Pass"/>
    <s v="9.44"/>
    <s v="3ga00007"/>
    <m/>
    <m/>
    <m/>
    <s v="Renewal"/>
    <x v="0"/>
    <s v="2H2024"/>
    <x v="0"/>
    <n v="12894"/>
    <n v="74785.2"/>
    <n v="161819.70000000001"/>
    <n v="76590.36"/>
    <n v="74656.259999999995"/>
    <n v="74656.259999999995"/>
    <n v="74656.259999999995"/>
    <n v="0"/>
    <n v="0"/>
    <n v="0"/>
    <n v="0"/>
    <n v="0"/>
    <s v=""/>
    <n v="0"/>
    <n v="0"/>
    <n v="0"/>
    <n v="0"/>
    <n v="32235"/>
    <n v="51576"/>
  </r>
  <r>
    <s v="200-204 Evans Way"/>
    <x v="1"/>
    <m/>
    <m/>
    <m/>
    <x v="3"/>
    <n v="0"/>
    <s v="Zeus Scientific, Inc."/>
    <n v="60"/>
    <n v="32264"/>
    <n v="10652968.25"/>
    <n v="67400"/>
    <n v="9.4903127116707592E-2"/>
    <n v="12.22"/>
    <n v="13.77"/>
    <n v="15"/>
    <n v="15"/>
    <n v="3"/>
    <n v="3.5"/>
    <m/>
    <m/>
    <n v="0"/>
    <n v="0"/>
    <n v="50000"/>
    <n v="50000"/>
    <m/>
    <n v="0"/>
    <n v="100000"/>
    <n v="2569408.17"/>
    <x v="1"/>
    <d v="2024-12-09T00:00:00"/>
    <m/>
    <m/>
    <m/>
    <m/>
    <s v="4.5"/>
    <s v="Pass"/>
    <n v="12.41"/>
    <s v="3nj00020"/>
    <m/>
    <m/>
    <m/>
    <s v="Renewal"/>
    <x v="0"/>
    <s v="2H2024"/>
    <x v="1"/>
    <n v="32264"/>
    <n v="394266.08"/>
    <n v="444275.27999999997"/>
    <n v="483960"/>
    <n v="483960"/>
    <n v="483960"/>
    <n v="483960"/>
    <n v="0"/>
    <n v="0"/>
    <n v="0"/>
    <n v="0"/>
    <n v="0"/>
    <s v=""/>
    <n v="0"/>
    <n v="0"/>
    <n v="0"/>
    <n v="0"/>
    <n v="96792"/>
    <n v="112924"/>
  </r>
  <r>
    <s v="1253 Glen Avenue"/>
    <x v="0"/>
    <m/>
    <m/>
    <m/>
    <x v="4"/>
    <n v="0"/>
    <s v="React Restoration LLC"/>
    <n v="77"/>
    <n v="31994"/>
    <n v="3482603.29"/>
    <n v="31944"/>
    <n v="7.3379589554111974E-2"/>
    <n v="6.26"/>
    <n v="9.6999999999999993"/>
    <n v="11"/>
    <n v="8"/>
    <n v="3.75"/>
    <n v="4"/>
    <m/>
    <m/>
    <n v="16"/>
    <n v="6"/>
    <n v="19196.400000000001"/>
    <n v="19196.400000000001"/>
    <m/>
    <n v="79985"/>
    <n v="118377.8"/>
    <n v="2259896.19"/>
    <x v="1"/>
    <d v="2024-12-06T00:00:00"/>
    <m/>
    <m/>
    <m/>
    <m/>
    <s v="N/A-Deal under $100K Total Rent"/>
    <s v="Pass"/>
    <n v="12.56"/>
    <s v="3nj00004"/>
    <m/>
    <m/>
    <m/>
    <s v="New Lease"/>
    <x v="0"/>
    <s v="2H2024"/>
    <x v="1"/>
    <n v="31994"/>
    <n v="200282.44"/>
    <n v="310341.8"/>
    <n v="351934"/>
    <n v="255952"/>
    <n v="255952"/>
    <n v="255952"/>
    <n v="0"/>
    <n v="0"/>
    <n v="511904"/>
    <n v="31994"/>
    <n v="191964"/>
    <n v="255952"/>
    <n v="3.75"/>
    <n v="959820"/>
    <n v="0"/>
    <n v="0"/>
    <n v="119977.5"/>
    <n v="127976"/>
  </r>
  <r>
    <s v="3041 Marwin Road"/>
    <x v="0"/>
    <m/>
    <m/>
    <m/>
    <x v="4"/>
    <n v="0"/>
    <s v="Mitchell Industrial Tire Company"/>
    <n v="63"/>
    <n v="40492"/>
    <n v="7597619.46"/>
    <n v="75387"/>
    <n v="0.10418572609057732"/>
    <m/>
    <n v="8.86"/>
    <n v="10.5"/>
    <n v="10.5"/>
    <n v="4"/>
    <n v="3"/>
    <m/>
    <m/>
    <n v="22"/>
    <n v="9"/>
    <n v="91107"/>
    <n v="91107"/>
    <m/>
    <n v="106291.5"/>
    <n v="288505.5"/>
    <n v="2325865.54"/>
    <x v="0"/>
    <d v="2024-12-06T00:00:00"/>
    <m/>
    <m/>
    <m/>
    <m/>
    <s v="6.5"/>
    <s v="Pass"/>
    <n v="11.51"/>
    <s v="xpa3041m"/>
    <m/>
    <m/>
    <m/>
    <s v="New Lease"/>
    <x v="0"/>
    <s v="2H2024"/>
    <x v="1"/>
    <s v=""/>
    <s v=""/>
    <n v="358759.12"/>
    <n v="425166"/>
    <s v=""/>
    <n v="425166"/>
    <s v=""/>
    <n v="0"/>
    <n v="0"/>
    <n v="890824"/>
    <n v="40492"/>
    <n v="364428"/>
    <n v="425166"/>
    <n v="3"/>
    <n v="1275498"/>
    <n v="0"/>
    <n v="0"/>
    <n v="161968"/>
    <n v="121476"/>
  </r>
  <r>
    <s v="12080 Mosteller"/>
    <x v="1"/>
    <m/>
    <m/>
    <m/>
    <x v="5"/>
    <n v="0"/>
    <s v="The Gorilla Glue Company LLC"/>
    <n v="24"/>
    <n v="111087"/>
    <n v="8534914.4299999997"/>
    <n v="272221"/>
    <n v="0.13682950187468956"/>
    <n v="4.12"/>
    <n v="3.63"/>
    <n v="4.29"/>
    <n v="4.29"/>
    <n v="4"/>
    <n v="3"/>
    <m/>
    <m/>
    <n v="0"/>
    <n v="0"/>
    <n v="0"/>
    <n v="0"/>
    <m/>
    <n v="0"/>
    <n v="0"/>
    <n v="972455.6"/>
    <x v="0"/>
    <d v="2024-12-04T00:00:00"/>
    <m/>
    <m/>
    <m/>
    <m/>
    <s v="Not Completed"/>
    <s v="Not Completed"/>
    <n v="4.8600000000000003"/>
    <s v="xohmost"/>
    <m/>
    <m/>
    <m/>
    <s v="Renewal"/>
    <x v="0"/>
    <s v="2H2024"/>
    <x v="2"/>
    <n v="111087"/>
    <n v="457678.44"/>
    <n v="403245.81"/>
    <n v="476563.23"/>
    <n v="476563.23"/>
    <n v="476563.23"/>
    <n v="476563.23"/>
    <n v="0"/>
    <n v="0"/>
    <n v="0"/>
    <n v="0"/>
    <n v="0"/>
    <s v=""/>
    <n v="0"/>
    <n v="0"/>
    <n v="0"/>
    <n v="0"/>
    <n v="444348"/>
    <n v="333261"/>
  </r>
  <r>
    <s v="400 Water Street"/>
    <x v="1"/>
    <m/>
    <m/>
    <m/>
    <x v="4"/>
    <n v="0"/>
    <s v="L&amp;W Supply Corporation"/>
    <n v="60"/>
    <n v="38550"/>
    <n v="2768400.4"/>
    <n v="38550"/>
    <n v="0.12323632809762634"/>
    <n v="3.75"/>
    <n v="5.75"/>
    <n v="8.85"/>
    <n v="8.85"/>
    <n v="4"/>
    <n v="3"/>
    <m/>
    <m/>
    <n v="0"/>
    <n v="0"/>
    <n v="77100"/>
    <n v="77100"/>
    <m/>
    <n v="0"/>
    <n v="154200"/>
    <n v="1847871.12"/>
    <x v="0"/>
    <d v="2024-12-02T00:00:00"/>
    <m/>
    <m/>
    <m/>
    <m/>
    <s v="6"/>
    <s v="Pass"/>
    <n v="8.8699999999999992"/>
    <s v="xnj400wa"/>
    <m/>
    <m/>
    <m/>
    <s v="Renewal"/>
    <x v="0"/>
    <s v="2H2024"/>
    <x v="1"/>
    <n v="38550"/>
    <n v="144562.5"/>
    <n v="221662.5"/>
    <n v="341167.5"/>
    <n v="341167.5"/>
    <n v="341167.5"/>
    <n v="341167.5"/>
    <n v="0"/>
    <n v="0"/>
    <n v="0"/>
    <n v="0"/>
    <n v="0"/>
    <s v=""/>
    <n v="0"/>
    <n v="0"/>
    <n v="0"/>
    <n v="0"/>
    <n v="154200"/>
    <n v="115650"/>
  </r>
  <r>
    <s v="4133-4175 Senator St"/>
    <x v="1"/>
    <m/>
    <m/>
    <m/>
    <x v="1"/>
    <n v="0"/>
    <s v="Network Communications Systems, LLC"/>
    <n v="24"/>
    <n v="5175"/>
    <n v="2585298.4700000002"/>
    <n v="55290"/>
    <n v="0.11762471665408906"/>
    <n v="5.13"/>
    <n v="5"/>
    <n v="5"/>
    <n v="5.5"/>
    <n v="3.5"/>
    <n v="3"/>
    <m/>
    <m/>
    <n v="0"/>
    <n v="0"/>
    <n v="5175"/>
    <n v="5175"/>
    <m/>
    <n v="0"/>
    <n v="10350"/>
    <n v="57921.19"/>
    <x v="1"/>
    <d v="2024-11-27T00:00:00"/>
    <m/>
    <m/>
    <m/>
    <m/>
    <s v="N/A-Deal under $100K Total Rent"/>
    <s v="Pass"/>
    <n v="5.94"/>
    <s v="3tn00016"/>
    <m/>
    <m/>
    <m/>
    <s v="Renewal"/>
    <x v="0"/>
    <s v="2H2024"/>
    <x v="0"/>
    <n v="5175"/>
    <n v="26547.75"/>
    <n v="25875"/>
    <n v="25875"/>
    <n v="28462.5"/>
    <n v="28462.5"/>
    <n v="28462.5"/>
    <n v="0"/>
    <n v="0"/>
    <n v="0"/>
    <n v="0"/>
    <n v="0"/>
    <s v=""/>
    <n v="0"/>
    <n v="0"/>
    <n v="0"/>
    <n v="0"/>
    <n v="18112.5"/>
    <n v="15525"/>
  </r>
  <r>
    <s v="4600 &amp; 4630 Frederick Drive"/>
    <x v="1"/>
    <m/>
    <m/>
    <m/>
    <x v="2"/>
    <n v="0"/>
    <s v="Fastenal Company"/>
    <n v="36"/>
    <n v="20000"/>
    <n v="6290207.7999999998"/>
    <n v="87532"/>
    <n v="0.11062900020568479"/>
    <n v="4.16"/>
    <n v="5.18"/>
    <n v="6.75"/>
    <n v="7.95"/>
    <n v="4"/>
    <n v="3"/>
    <m/>
    <m/>
    <n v="0"/>
    <n v="0"/>
    <n v="0"/>
    <n v="0"/>
    <m/>
    <n v="0"/>
    <n v="0"/>
    <n v="496334"/>
    <x v="0"/>
    <d v="2024-11-26T00:00:00"/>
    <m/>
    <m/>
    <m/>
    <m/>
    <s v="9.5"/>
    <s v="Pass"/>
    <n v="7.26"/>
    <s v="xga4600f"/>
    <m/>
    <m/>
    <m/>
    <s v="Renewal"/>
    <x v="0"/>
    <s v="2H2024"/>
    <x v="1"/>
    <n v="20000"/>
    <n v="83200"/>
    <n v="103600"/>
    <n v="135000"/>
    <n v="159000"/>
    <n v="159000"/>
    <n v="159000"/>
    <n v="0"/>
    <n v="0"/>
    <n v="0"/>
    <n v="0"/>
    <n v="0"/>
    <s v=""/>
    <n v="0"/>
    <n v="0"/>
    <n v="0"/>
    <n v="0"/>
    <n v="80000"/>
    <n v="60000"/>
  </r>
  <r>
    <s v="2101 Westinghouse Boulevard"/>
    <x v="1"/>
    <m/>
    <m/>
    <m/>
    <x v="6"/>
    <n v="0"/>
    <s v="cbdMD, Inc."/>
    <n v="19"/>
    <n v="80000"/>
    <n v="21897441.876188189"/>
    <n v="200000"/>
    <n v="8.9051497934125243E-2"/>
    <n v="5.07"/>
    <n v="7.97"/>
    <n v="9.25"/>
    <n v="9.75"/>
    <n v="4"/>
    <n v="4"/>
    <m/>
    <m/>
    <n v="0"/>
    <n v="0"/>
    <n v="0"/>
    <n v="0"/>
    <m/>
    <n v="0"/>
    <n v="0"/>
    <n v="1253200"/>
    <x v="1"/>
    <d v="2024-11-25T00:00:00"/>
    <m/>
    <m/>
    <m/>
    <m/>
    <s v="4.5"/>
    <s v="Pass"/>
    <n v="7.34"/>
    <s v="3nc00004"/>
    <m/>
    <m/>
    <m/>
    <s v="Renewal"/>
    <x v="0"/>
    <s v="2H2024"/>
    <x v="3"/>
    <n v="80000"/>
    <n v="405600"/>
    <n v="637600"/>
    <n v="740000"/>
    <n v="780000"/>
    <n v="780000"/>
    <n v="780000"/>
    <n v="0"/>
    <n v="0"/>
    <n v="0"/>
    <n v="0"/>
    <n v="0"/>
    <s v=""/>
    <n v="0"/>
    <n v="0"/>
    <n v="0"/>
    <n v="0"/>
    <n v="320000"/>
    <n v="320000"/>
  </r>
  <r>
    <s v="10755 Sanden Drive"/>
    <x v="0"/>
    <m/>
    <m/>
    <m/>
    <x v="7"/>
    <n v="0"/>
    <s v="Chap In Flowers"/>
    <n v="37"/>
    <n v="6924"/>
    <n v="3199989"/>
    <n v="28177"/>
    <n v="0.10126144183620631"/>
    <n v="8.1199999999999992"/>
    <n v="8.1199999999999992"/>
    <n v="8.25"/>
    <n v="11.5"/>
    <n v="4.5"/>
    <n v="3"/>
    <m/>
    <m/>
    <n v="7"/>
    <n v="6"/>
    <n v="16923.97"/>
    <m/>
    <m/>
    <n v="6635.27"/>
    <m/>
    <n v="250725.54"/>
    <x v="1"/>
    <d v="2024-11-19T00:00:00"/>
    <m/>
    <m/>
    <m/>
    <m/>
    <n v="3.5"/>
    <s v="Pass"/>
    <n v="11.02"/>
    <s v="3tx00014"/>
    <m/>
    <m/>
    <m/>
    <s v="New Lease"/>
    <x v="0"/>
    <s v="2H2024"/>
    <x v="0"/>
    <n v="8613"/>
    <n v="55984.5"/>
    <n v="59774.22"/>
    <n v="68904"/>
    <n v="68904"/>
    <n v="68904"/>
    <n v="68904"/>
    <n v="0"/>
    <n v="0"/>
    <n v="77517"/>
    <n v="8613"/>
    <n v="77517"/>
    <s v=""/>
    <n v="0"/>
    <n v="0"/>
    <n v="0"/>
    <n v="30145.5"/>
    <n v="21532.5"/>
    <m/>
  </r>
  <r>
    <s v="9176 Red Branch Road"/>
    <x v="1"/>
    <m/>
    <m/>
    <m/>
    <x v="8"/>
    <n v="0"/>
    <s v="Casey's Coffee, Inc."/>
    <n v="55"/>
    <n v="3408"/>
    <n v="9693752.3499999996"/>
    <n v="81315"/>
    <n v="0.10066071060707468"/>
    <n v="11.07"/>
    <n v="13.11"/>
    <n v="12.5"/>
    <n v="12"/>
    <n v="3"/>
    <n v="4"/>
    <m/>
    <m/>
    <n v="0"/>
    <n v="0"/>
    <n v="3958.87"/>
    <n v="0"/>
    <m/>
    <n v="0"/>
    <n v="3958.87"/>
    <n v="197943.65"/>
    <x v="1"/>
    <d v="2024-11-05T00:00:00"/>
    <m/>
    <m/>
    <m/>
    <m/>
    <n v="3.5"/>
    <s v="Pass"/>
    <n v="12.32"/>
    <s v="3md00001"/>
    <m/>
    <m/>
    <m/>
    <s v="Renewal"/>
    <x v="0"/>
    <s v="2H2024"/>
    <x v="0"/>
    <n v="3408"/>
    <n v="37726.559999999998"/>
    <n v="44678.879999999997"/>
    <n v="42600"/>
    <n v="40896"/>
    <n v="40896"/>
    <n v="40896"/>
    <n v="0"/>
    <n v="0"/>
    <n v="0"/>
    <n v="0"/>
    <n v="0"/>
    <s v=""/>
    <n v="0"/>
    <n v="0"/>
    <n v="0"/>
    <n v="0"/>
    <n v="10224"/>
    <n v="13632"/>
  </r>
  <r>
    <s v="2101 Arthur Avenue"/>
    <x v="1"/>
    <m/>
    <m/>
    <m/>
    <x v="0"/>
    <n v="0"/>
    <s v="Centerpoint Marketing Inc."/>
    <n v="63"/>
    <n v="34455"/>
    <n v="6286990.4128767122"/>
    <n v="82529"/>
    <n v="0.12470601170222823"/>
    <n v="6.62"/>
    <n v="6.74"/>
    <n v="9.25"/>
    <n v="9.5"/>
    <n v="3.5"/>
    <n v="2.5"/>
    <m/>
    <m/>
    <n v="0"/>
    <n v="0"/>
    <n v="79677.59"/>
    <n v="0"/>
    <m/>
    <n v="81830.63"/>
    <n v="161508.22"/>
    <n v="1770613.16"/>
    <x v="0"/>
    <d v="2024-10-30T00:00:00"/>
    <m/>
    <m/>
    <m/>
    <m/>
    <n v="3.5"/>
    <s v="Pass"/>
    <n v="8.9"/>
    <s v="xil2101"/>
    <m/>
    <m/>
    <m/>
    <s v="Renewal"/>
    <x v="0"/>
    <s v="2H2024"/>
    <x v="1"/>
    <n v="34455"/>
    <n v="228092.1"/>
    <n v="232226.7"/>
    <n v="318708.75"/>
    <n v="327322.5"/>
    <n v="327322.5"/>
    <n v="327322.5"/>
    <n v="0"/>
    <n v="0"/>
    <n v="0"/>
    <n v="0"/>
    <n v="0"/>
    <n v="327322.5"/>
    <n v="3.0000001833054557"/>
    <n v="981967.56"/>
    <n v="0"/>
    <n v="0"/>
    <n v="120592.5"/>
    <n v="86137.5"/>
  </r>
  <r>
    <s v="4507 Mills Place Southwest"/>
    <x v="0"/>
    <m/>
    <m/>
    <m/>
    <x v="2"/>
    <n v="0"/>
    <s v="Magic Screenprint / Retro Vert"/>
    <n v="36"/>
    <n v="12040"/>
    <n v="8190190.9100000001"/>
    <n v="104105"/>
    <n v="8.8976558423105173E-2"/>
    <n v="5.18"/>
    <n v="6.54"/>
    <n v="6.9"/>
    <n v="7"/>
    <n v="4"/>
    <n v="3"/>
    <m/>
    <m/>
    <n v="0"/>
    <n v="6"/>
    <n v="17265.939999999999"/>
    <n v="0"/>
    <m/>
    <n v="0"/>
    <n v="17265.939999999999"/>
    <n v="263088.45"/>
    <x v="0"/>
    <d v="2024-10-29T00:00:00"/>
    <m/>
    <m/>
    <m/>
    <m/>
    <n v="4"/>
    <s v="Pass"/>
    <n v="6.31"/>
    <s v="xga4507m"/>
    <m/>
    <m/>
    <m/>
    <s v="New Lease"/>
    <x v="0"/>
    <s v="2H2024"/>
    <x v="0"/>
    <n v="12040"/>
    <n v="62367.199999999997"/>
    <n v="78741.600000000006"/>
    <n v="83076"/>
    <n v="84280"/>
    <n v="84280"/>
    <n v="84280"/>
    <n v="0"/>
    <n v="0"/>
    <n v="0"/>
    <n v="12040"/>
    <n v="72240"/>
    <s v=""/>
    <n v="0"/>
    <n v="0"/>
    <n v="0"/>
    <n v="0"/>
    <n v="48160"/>
    <n v="36120"/>
  </r>
  <r>
    <s v="4133-4175 Senator St"/>
    <x v="0"/>
    <m/>
    <m/>
    <m/>
    <x v="1"/>
    <n v="0"/>
    <s v="Flowers Baking Co. of Batesville, LLC"/>
    <n v="62"/>
    <n v="9613"/>
    <n v="2585298.4700000002"/>
    <n v="55290"/>
    <n v="0.1197633478659816"/>
    <m/>
    <n v="5"/>
    <n v="4.1500000000000004"/>
    <n v="5.6"/>
    <n v="3"/>
    <n v="3"/>
    <m/>
    <m/>
    <n v="4"/>
    <n v="12"/>
    <n v="17236.260000000002"/>
    <n v="30000"/>
    <m/>
    <n v="12277.72"/>
    <n v="59513.98"/>
    <n v="287271.08"/>
    <x v="1"/>
    <d v="2024-10-21T00:00:00"/>
    <m/>
    <m/>
    <m/>
    <m/>
    <s v="Not Completed"/>
    <s v="Not Completed"/>
    <n v="5.51"/>
    <s v="3tn00016"/>
    <m/>
    <m/>
    <m/>
    <s v="New Lease"/>
    <x v="0"/>
    <s v="2H2024"/>
    <x v="0"/>
    <s v=""/>
    <s v=""/>
    <n v="48065"/>
    <n v="39893.950000000004"/>
    <s v=""/>
    <n v="53832.799999999996"/>
    <s v=""/>
    <n v="0"/>
    <n v="0"/>
    <n v="38452"/>
    <n v="9613"/>
    <n v="115356"/>
    <n v="53832.799999999996"/>
    <n v="2.7368563403724124"/>
    <n v="147332.63999999998"/>
    <n v="0"/>
    <n v="0"/>
    <n v="28839"/>
    <n v="28839"/>
  </r>
  <r>
    <s v="420 S. Ware"/>
    <x v="0"/>
    <m/>
    <m/>
    <m/>
    <x v="9"/>
    <n v="0"/>
    <s v="Matheson"/>
    <n v="61"/>
    <n v="8956"/>
    <n v="3337421.2399999998"/>
    <n v="24858"/>
    <n v="9.6827453522169121E-2"/>
    <n v="12.07"/>
    <n v="10.7"/>
    <n v="12.5"/>
    <n v="13"/>
    <n v="4"/>
    <n v="3"/>
    <m/>
    <m/>
    <n v="0"/>
    <n v="4"/>
    <n v="37962.82"/>
    <m/>
    <m/>
    <n v="9702.0300000000007"/>
    <n v="47664.85"/>
    <n v="632713.71"/>
    <x v="0"/>
    <d v="2024-09-30T00:00:00"/>
    <m/>
    <m/>
    <m/>
    <m/>
    <m/>
    <m/>
    <m/>
    <s v="xfl420sw"/>
    <m/>
    <s v="xfl420sw"/>
    <m/>
    <s v="New Lease"/>
    <x v="1"/>
    <s v="2H2024"/>
    <x v="0"/>
    <n v="8956"/>
    <n v="108098.92"/>
    <n v="95829.2"/>
    <n v="111950"/>
    <n v="116428"/>
    <n v="116428"/>
    <n v="116428"/>
    <n v="0"/>
    <n v="0"/>
    <n v="0"/>
    <n v="8956"/>
    <n v="35824"/>
    <n v="116428"/>
    <n v="0.99996873604287628"/>
    <n v="116424.35999999999"/>
    <n v="0"/>
    <n v="0"/>
    <n v="35824"/>
    <n v="26868"/>
  </r>
  <r>
    <s v="4026-4080 Senator St"/>
    <x v="1"/>
    <m/>
    <m/>
    <m/>
    <x v="1"/>
    <n v="0"/>
    <s v="La Michoacana Wholesale, Inc."/>
    <n v="38"/>
    <n v="24000"/>
    <n v="3325799"/>
    <n v="104800"/>
    <n v="0.10556260315190426"/>
    <n v="2.52"/>
    <n v="3.5"/>
    <n v="3.5"/>
    <n v="3.35"/>
    <n v="3.5"/>
    <n v="3"/>
    <m/>
    <m/>
    <n v="0"/>
    <n v="0"/>
    <n v="10047.94"/>
    <m/>
    <m/>
    <n v="13399.2"/>
    <n v="23447.14"/>
    <n v="251198.4"/>
    <x v="1"/>
    <d v="2024-09-27T00:00:00"/>
    <m/>
    <m/>
    <m/>
    <m/>
    <m/>
    <m/>
    <m/>
    <s v="3tn00013"/>
    <m/>
    <s v="3tn00013"/>
    <m/>
    <s v="Renewal"/>
    <x v="1"/>
    <s v="2H2024"/>
    <x v="1"/>
    <n v="24000"/>
    <n v="60480"/>
    <n v="84000"/>
    <n v="84000"/>
    <n v="80400"/>
    <n v="80400"/>
    <n v="80400"/>
    <n v="0"/>
    <n v="0"/>
    <n v="0"/>
    <n v="0"/>
    <n v="0"/>
    <n v="80400"/>
    <n v="1.9998805970149254"/>
    <n v="160790.39999999999"/>
    <n v="0"/>
    <n v="0"/>
    <n v="84000"/>
    <n v="72000"/>
  </r>
  <r>
    <s v="4179-4189 Senator St"/>
    <x v="1"/>
    <m/>
    <m/>
    <m/>
    <x v="1"/>
    <n v="0"/>
    <s v="Arnett Logistics Group LLC"/>
    <n v="36"/>
    <n v="4125"/>
    <n v="829041"/>
    <n v="24750"/>
    <n v="0.14926885401325146"/>
    <n v="4.7"/>
    <n v="5"/>
    <n v="5"/>
    <n v="5"/>
    <n v="3.5"/>
    <n v="3"/>
    <m/>
    <m/>
    <n v="0"/>
    <n v="0"/>
    <n v="2562.63"/>
    <m/>
    <m/>
    <n v="0"/>
    <n v="2562.63"/>
    <n v="64065.79"/>
    <x v="1"/>
    <d v="2024-09-27T00:00:00"/>
    <m/>
    <m/>
    <m/>
    <m/>
    <m/>
    <m/>
    <m/>
    <s v="3tn00017"/>
    <m/>
    <s v="3tn00017"/>
    <m/>
    <s v="Renewal"/>
    <x v="1"/>
    <s v="2H2024"/>
    <x v="0"/>
    <n v="4125"/>
    <n v="19387.5"/>
    <n v="20625"/>
    <n v="20625"/>
    <n v="20625"/>
    <n v="20625"/>
    <n v="20625"/>
    <n v="0"/>
    <n v="0"/>
    <n v="0"/>
    <n v="0"/>
    <n v="0"/>
    <s v=""/>
    <n v="0"/>
    <n v="0"/>
    <n v="0"/>
    <n v="0"/>
    <n v="14437.5"/>
    <n v="12375"/>
  </r>
  <r>
    <s v="4133-4175 Senator St"/>
    <x v="1"/>
    <m/>
    <m/>
    <m/>
    <x v="1"/>
    <n v="0"/>
    <s v="Kee Pest Control Inc."/>
    <n v="36"/>
    <n v="2000"/>
    <n v="2585298"/>
    <n v="55290"/>
    <n v="0.14542694884690277"/>
    <n v="6.61"/>
    <n v="5"/>
    <n v="5"/>
    <n v="6.8"/>
    <n v="3"/>
    <n v="3"/>
    <m/>
    <m/>
    <n v="0"/>
    <n v="0"/>
    <n v="1681.45"/>
    <m/>
    <m/>
    <n v="0"/>
    <n v="1681.45"/>
    <n v="42036.2"/>
    <x v="1"/>
    <d v="2024-09-23T00:00:00"/>
    <m/>
    <m/>
    <m/>
    <m/>
    <m/>
    <m/>
    <m/>
    <s v="3tn00016"/>
    <m/>
    <s v="3tn00016"/>
    <m/>
    <s v="Renewal"/>
    <x v="1"/>
    <s v="2H2024"/>
    <x v="0"/>
    <n v="2000"/>
    <n v="13220"/>
    <n v="10000"/>
    <n v="10000"/>
    <n v="13600"/>
    <n v="13600"/>
    <n v="13600"/>
    <n v="0"/>
    <n v="0"/>
    <n v="0"/>
    <n v="0"/>
    <n v="0"/>
    <s v=""/>
    <n v="0"/>
    <n v="0"/>
    <n v="0"/>
    <n v="0"/>
    <n v="6000"/>
    <n v="6000"/>
  </r>
  <r>
    <s v="1145 Battlecreek"/>
    <x v="1"/>
    <m/>
    <m/>
    <m/>
    <x v="2"/>
    <s v="Yes"/>
    <s v="Snap Tire, Inc."/>
    <n v="36"/>
    <n v="67656"/>
    <n v="5716791.6600000001"/>
    <n v="67656"/>
    <n v="7.1007660265163489E-2"/>
    <n v="5.67"/>
    <n v="6.32"/>
    <n v="5.25"/>
    <n v="6"/>
    <n v="4"/>
    <n v="3"/>
    <m/>
    <m/>
    <n v="0"/>
    <n v="0"/>
    <n v="47980.55"/>
    <m/>
    <m/>
    <n v="67656"/>
    <n v="115636.55"/>
    <n v="1199513.82"/>
    <x v="0"/>
    <d v="2024-08-21T00:00:00"/>
    <m/>
    <m/>
    <m/>
    <m/>
    <m/>
    <m/>
    <m/>
    <s v="xga1145b"/>
    <m/>
    <s v="xga1145b"/>
    <m/>
    <s v="Renewal"/>
    <x v="1"/>
    <s v="2H2024"/>
    <x v="3"/>
    <n v="67656"/>
    <n v="383609.52"/>
    <n v="427585.92000000004"/>
    <n v="355194"/>
    <n v="405936"/>
    <n v="405936"/>
    <n v="405936"/>
    <n v="0"/>
    <n v="0"/>
    <n v="0"/>
    <n v="0"/>
    <n v="0"/>
    <n v="405936"/>
    <n v="2"/>
    <n v="811872"/>
    <n v="0"/>
    <n v="0"/>
    <n v="270624"/>
    <n v="202968"/>
  </r>
  <r>
    <s v="2060-2098 Integrity Drive"/>
    <x v="1"/>
    <m/>
    <m/>
    <m/>
    <x v="10"/>
    <n v="0"/>
    <s v="Packard Forest Products"/>
    <n v="60"/>
    <n v="32000"/>
    <n v="10410057.23"/>
    <n v="162000"/>
    <n v="0.11671405575932649"/>
    <n v="2.73"/>
    <n v="5.94"/>
    <n v="7"/>
    <n v="7.5"/>
    <n v="3.5"/>
    <n v="3"/>
    <m/>
    <m/>
    <n v="0"/>
    <n v="0"/>
    <n v="38609.760000000002"/>
    <n v="32000"/>
    <m/>
    <n v="0"/>
    <n v="70609.760000000009"/>
    <n v="1286992"/>
    <x v="1"/>
    <d v="2024-08-16T00:00:00"/>
    <m/>
    <m/>
    <m/>
    <m/>
    <m/>
    <m/>
    <m/>
    <s v="3oh00001"/>
    <m/>
    <s v="3oh00001"/>
    <m/>
    <s v="Renewal"/>
    <x v="1"/>
    <s v="2H2024"/>
    <x v="1"/>
    <n v="32000"/>
    <n v="87360"/>
    <n v="190080"/>
    <n v="224000"/>
    <n v="240000"/>
    <n v="240000"/>
    <n v="240000"/>
    <n v="0"/>
    <n v="0"/>
    <n v="0"/>
    <n v="0"/>
    <n v="0"/>
    <s v=""/>
    <n v="0"/>
    <n v="0"/>
    <n v="0"/>
    <n v="0"/>
    <n v="112000"/>
    <n v="96000"/>
  </r>
  <r>
    <s v="153 Bauer"/>
    <x v="0"/>
    <m/>
    <m/>
    <m/>
    <x v="3"/>
    <s v="Yes"/>
    <s v="Premio Sausage"/>
    <n v="63"/>
    <n v="40800"/>
    <n v="10079700.140000001"/>
    <n v="40800"/>
    <n v="5.9704157032592034E-2"/>
    <n v="10.33"/>
    <n v="16.829999999999998"/>
    <n v="13.91"/>
    <n v="14.75"/>
    <n v="4"/>
    <n v="4"/>
    <m/>
    <m/>
    <n v="1"/>
    <n v="6"/>
    <n v="246910.18"/>
    <n v="20000"/>
    <m/>
    <n v="150450"/>
    <n v="417360.18"/>
    <n v="3292135.68"/>
    <x v="1"/>
    <d v="2024-07-31T00:00:00"/>
    <m/>
    <m/>
    <m/>
    <m/>
    <m/>
    <m/>
    <m/>
    <s v="3nj00002"/>
    <m/>
    <s v="3nj00002"/>
    <m/>
    <s v="New Lease"/>
    <x v="1"/>
    <s v="2H2024"/>
    <x v="1"/>
    <n v="40800"/>
    <n v="421464"/>
    <n v="686663.99999999988"/>
    <n v="567528"/>
    <n v="601800"/>
    <n v="601800"/>
    <n v="601800"/>
    <n v="0"/>
    <n v="0"/>
    <n v="40800"/>
    <n v="40800"/>
    <n v="244800"/>
    <n v="601800"/>
    <n v="3"/>
    <n v="1805400"/>
    <n v="0"/>
    <n v="0"/>
    <n v="163200"/>
    <n v="163200"/>
  </r>
  <r>
    <s v="9176 Red Branch"/>
    <x v="1"/>
    <m/>
    <m/>
    <m/>
    <x v="8"/>
    <s v="Yes"/>
    <s v="Xcision Medical Systems, LLC"/>
    <n v="62"/>
    <n v="17901"/>
    <n v="10115300.140000001"/>
    <n v="81311"/>
    <n v="0.1024898159868146"/>
    <n v="10.09"/>
    <n v="13.11"/>
    <n v="9"/>
    <n v="12.75"/>
    <n v="3.5"/>
    <n v="4"/>
    <m/>
    <m/>
    <n v="0"/>
    <n v="0"/>
    <n v="49242.3"/>
    <n v="110000"/>
    <m/>
    <n v="38039.629999999997"/>
    <n v="197281.93"/>
    <n v="1231057.74"/>
    <x v="1"/>
    <d v="2024-07-24T00:00:00"/>
    <m/>
    <m/>
    <m/>
    <m/>
    <m/>
    <m/>
    <m/>
    <s v="3md00001"/>
    <m/>
    <s v="3md00001"/>
    <m/>
    <s v="Renewal"/>
    <x v="1"/>
    <s v="2H2024"/>
    <x v="0"/>
    <n v="17901"/>
    <n v="180621.09"/>
    <n v="234682.11"/>
    <n v="161109"/>
    <n v="228237.75"/>
    <n v="228237.75"/>
    <n v="228237.75"/>
    <n v="0"/>
    <n v="0"/>
    <n v="0"/>
    <n v="0"/>
    <n v="0"/>
    <n v="228237.75"/>
    <n v="2.000000262883769"/>
    <n v="456475.55999999994"/>
    <n v="0"/>
    <n v="0"/>
    <n v="62653.5"/>
    <n v="71604"/>
  </r>
  <r>
    <s v="2616 Andjon Drive"/>
    <x v="1"/>
    <m/>
    <m/>
    <m/>
    <x v="7"/>
    <n v="0"/>
    <s v="Z&amp;A Enterprises, LLC"/>
    <n v="24"/>
    <n v="8923"/>
    <n v="2774100.31"/>
    <n v="25334"/>
    <n v="7.5798340543785175E-2"/>
    <n v="6.28"/>
    <n v="8.5"/>
    <n v="7.22"/>
    <n v="8.3000000000000007"/>
    <n v="10.24"/>
    <n v="0"/>
    <m/>
    <m/>
    <n v="0"/>
    <n v="0"/>
    <n v="7006.79"/>
    <m/>
    <m/>
    <n v="0"/>
    <n v="7006.79"/>
    <n v="155706.35"/>
    <x v="0"/>
    <d v="2024-07-24T00:00:00"/>
    <m/>
    <m/>
    <m/>
    <m/>
    <m/>
    <m/>
    <m/>
    <s v="xtx2616a"/>
    <m/>
    <s v="xtx2616a"/>
    <m/>
    <s v="Renewal"/>
    <x v="1"/>
    <s v="2H2024"/>
    <x v="0"/>
    <n v="8923"/>
    <n v="56036.44"/>
    <n v="75845.5"/>
    <n v="64424.06"/>
    <n v="74060.900000000009"/>
    <n v="74060.900000000009"/>
    <n v="74060.900000000009"/>
    <n v="0"/>
    <n v="0"/>
    <n v="0"/>
    <n v="0"/>
    <n v="0"/>
    <s v=""/>
    <n v="0"/>
    <n v="0"/>
    <n v="0"/>
    <n v="0"/>
    <n v="91371.520000000004"/>
    <n v="0"/>
  </r>
  <r>
    <s v="1425 Grandview Avenue, Paulsboro, NJ"/>
    <x v="0"/>
    <s v="Lease up"/>
    <s v="Lease up"/>
    <m/>
    <x v="4"/>
    <n v="0"/>
    <s v="ABCO"/>
    <n v="120"/>
    <n v="47268"/>
    <m/>
    <m/>
    <m/>
    <m/>
    <n v="8.5"/>
    <n v="9"/>
    <n v="14"/>
    <n v="4.5"/>
    <n v="4"/>
    <n v="7"/>
    <n v="26.2"/>
    <n v="9"/>
    <n v="6"/>
    <n v="284862"/>
    <n v="0"/>
    <n v="250000"/>
    <n v="0"/>
    <n v="534862"/>
    <n v="8131747"/>
    <x v="1"/>
    <d v="2023-06-30T00:00:00"/>
    <m/>
    <m/>
    <m/>
    <m/>
    <m/>
    <m/>
    <m/>
    <m/>
    <m/>
    <m/>
    <m/>
    <s v="New Lease"/>
    <x v="2"/>
    <s v="1H2023"/>
    <x v="1"/>
    <s v=""/>
    <s v=""/>
    <n v="401778"/>
    <n v="425412"/>
    <s v=""/>
    <n v="661752"/>
    <s v=""/>
    <n v="0"/>
    <n v="0"/>
    <n v="425412"/>
    <n v="47268"/>
    <n v="283608"/>
    <s v=""/>
    <n v="0"/>
    <n v="0"/>
    <n v="330876"/>
    <n v="1238421.5999999999"/>
    <n v="212706"/>
    <n v="189072"/>
  </r>
  <r>
    <s v="19-05 Nevins Road"/>
    <x v="1"/>
    <m/>
    <m/>
    <m/>
    <x v="3"/>
    <n v="0"/>
    <s v="RD Foods"/>
    <n v="63"/>
    <n v="151799"/>
    <n v="27968334.659775093"/>
    <n v="151799"/>
    <n v="8.2769845904676231E-2"/>
    <n v="8.11"/>
    <n v="13.98"/>
    <n v="14"/>
    <n v="15.25"/>
    <n v="3.75"/>
    <n v="2.91"/>
    <n v="8.7488518128149249"/>
    <m/>
    <n v="0"/>
    <n v="6"/>
    <n v="600381"/>
    <n v="0"/>
    <n v="0"/>
    <n v="450148.23"/>
    <n v="1050529.23"/>
    <n v="12007624"/>
    <x v="0"/>
    <d v="2024-06-30T00:00:00"/>
    <m/>
    <m/>
    <m/>
    <m/>
    <m/>
    <m/>
    <m/>
    <s v="xnj19nev"/>
    <m/>
    <m/>
    <m/>
    <s v="Renewal"/>
    <x v="3"/>
    <s v="1H2024"/>
    <x v="2"/>
    <n v="151799"/>
    <n v="1231089.8899999999"/>
    <n v="2122150.02"/>
    <n v="2125186"/>
    <n v="2314934.75"/>
    <n v="2314934.75"/>
    <n v="2314934.75"/>
    <n v="0"/>
    <n v="0"/>
    <n v="0"/>
    <n v="0"/>
    <n v="910794"/>
    <n v="2314934.75"/>
    <n v="2.3334475237369001"/>
    <n v="5401778.7599999998"/>
    <n v="1328066.9563334929"/>
    <n v="0"/>
    <n v="569246.25"/>
    <n v="441735.09"/>
  </r>
  <r>
    <s v="4200 Macalaster Street"/>
    <x v="2"/>
    <m/>
    <m/>
    <m/>
    <x v="4"/>
    <n v="0"/>
    <s v="Ehmke Manufacturing Co., Inc"/>
    <n v="60"/>
    <n v="40791"/>
    <n v="3610311.38"/>
    <n v="40791"/>
    <n v="6.3384424752858853E-2"/>
    <n v="5.51"/>
    <n v="6.44"/>
    <n v="5.39"/>
    <n v="5.61"/>
    <n v="2"/>
    <n v="2"/>
    <m/>
    <m/>
    <n v="0"/>
    <n v="0"/>
    <n v="53657.53"/>
    <n v="0"/>
    <n v="0"/>
    <n v="0"/>
    <n v="53657.53"/>
    <n v="1192389.6499999999"/>
    <x v="0"/>
    <d v="2024-06-30T00:00:00"/>
    <m/>
    <m/>
    <m/>
    <m/>
    <m/>
    <m/>
    <m/>
    <s v="xpa4200m"/>
    <m/>
    <m/>
    <m/>
    <s v="Renewal"/>
    <x v="3"/>
    <s v="1H2024"/>
    <x v="1"/>
    <n v="40791"/>
    <n v="224758.41"/>
    <n v="262694.04000000004"/>
    <n v="219863.49"/>
    <n v="228837.51"/>
    <n v="228837.51"/>
    <n v="228837.51"/>
    <n v="0"/>
    <n v="0"/>
    <n v="0"/>
    <n v="0"/>
    <n v="0"/>
    <s v=""/>
    <n v="0"/>
    <n v="0"/>
    <n v="0"/>
    <n v="0"/>
    <n v="81582"/>
    <n v="81582"/>
  </r>
  <r>
    <s v="26 Hanes Drive"/>
    <x v="1"/>
    <m/>
    <m/>
    <m/>
    <x v="3"/>
    <n v="0"/>
    <s v="Z.One Concept USA"/>
    <n v="88"/>
    <n v="41000"/>
    <n v="9072288.2200000007"/>
    <n v="41000"/>
    <n v="7.7505253685602141E-2"/>
    <n v="11.28"/>
    <n v="16.579999999999998"/>
    <n v="16"/>
    <n v="17.149999999999999"/>
    <n v="3.75"/>
    <n v="3"/>
    <m/>
    <m/>
    <n v="0"/>
    <n v="6"/>
    <n v="417834"/>
    <n v="106500"/>
    <n v="0"/>
    <m/>
    <n v="524334"/>
    <n v="5571131.25"/>
    <x v="1"/>
    <d v="2024-06-30T00:00:00"/>
    <m/>
    <m/>
    <m/>
    <m/>
    <m/>
    <m/>
    <m/>
    <s v="3nj00003"/>
    <m/>
    <m/>
    <m/>
    <s v="Renewal"/>
    <x v="3"/>
    <s v="1H2024"/>
    <x v="1"/>
    <n v="41000"/>
    <n v="462480"/>
    <n v="679779.99999999988"/>
    <n v="656000"/>
    <n v="703149.99999999988"/>
    <n v="703149.99999999988"/>
    <n v="703149.99999999988"/>
    <n v="0"/>
    <n v="0"/>
    <n v="0"/>
    <n v="0"/>
    <n v="246000"/>
    <s v=""/>
    <n v="0"/>
    <n v="0"/>
    <n v="0"/>
    <n v="0"/>
    <n v="153750"/>
    <n v="123000"/>
  </r>
  <r>
    <s v="3272 Democrat"/>
    <x v="1"/>
    <m/>
    <m/>
    <m/>
    <x v="1"/>
    <n v="0"/>
    <s v="Motion Industries, Inc. "/>
    <n v="36"/>
    <n v="30000"/>
    <n v="2003199.3796734856"/>
    <n v="30000"/>
    <n v="8.0870632071783799E-2"/>
    <n v="4.3499999999999996"/>
    <n v="4.62"/>
    <n v="4.1500000000000004"/>
    <n v="5.4"/>
    <n v="3"/>
    <n v="3"/>
    <m/>
    <m/>
    <n v="0"/>
    <n v="0"/>
    <n v="20400"/>
    <n v="0"/>
    <n v="0"/>
    <n v="0"/>
    <n v="20400"/>
    <n v="510000"/>
    <x v="1"/>
    <d v="2024-06-30T00:00:00"/>
    <m/>
    <m/>
    <m/>
    <m/>
    <m/>
    <m/>
    <m/>
    <s v="3tn00004"/>
    <m/>
    <m/>
    <m/>
    <s v="Renewal"/>
    <x v="3"/>
    <s v="1H2024"/>
    <x v="1"/>
    <n v="30000"/>
    <n v="130499.99999999999"/>
    <n v="138600"/>
    <n v="124500.00000000001"/>
    <n v="162000"/>
    <n v="162000"/>
    <n v="162000"/>
    <n v="0"/>
    <n v="0"/>
    <n v="0"/>
    <n v="0"/>
    <n v="0"/>
    <s v=""/>
    <n v="0"/>
    <n v="0"/>
    <n v="0"/>
    <n v="0"/>
    <n v="90000"/>
    <n v="90000"/>
  </r>
  <r>
    <s v="2900 Jones Mill Road"/>
    <x v="0"/>
    <m/>
    <m/>
    <m/>
    <x v="2"/>
    <n v="0"/>
    <s v="Reliable Restoration"/>
    <n v="62"/>
    <n v="58255"/>
    <n v="10974766.029999999"/>
    <n v="58255"/>
    <n v="5.3877071126955042E-2"/>
    <n v="10.1"/>
    <n v="10.199999999999999"/>
    <n v="9.6"/>
    <n v="10.15"/>
    <n v="4"/>
    <n v="3.5"/>
    <n v="6.5546014577477978"/>
    <m/>
    <n v="3"/>
    <n v="0"/>
    <n v="112709.66"/>
    <m/>
    <m/>
    <n v="98499.23"/>
    <n v="211208.89"/>
    <n v="3222299.5"/>
    <x v="0"/>
    <d v="2024-06-28T00:00:00"/>
    <m/>
    <m/>
    <m/>
    <m/>
    <m/>
    <m/>
    <m/>
    <s v="xga2900j"/>
    <m/>
    <m/>
    <m/>
    <s v="New Lease"/>
    <x v="3"/>
    <s v="1H2024"/>
    <x v="3"/>
    <n v="58255"/>
    <n v="588375.5"/>
    <n v="594201"/>
    <n v="559248"/>
    <n v="591288.25"/>
    <n v="591288.25"/>
    <n v="591288.25"/>
    <n v="0"/>
    <n v="0"/>
    <n v="174765"/>
    <n v="58255"/>
    <n v="0"/>
    <n v="591288.25"/>
    <n v="1.9990093833253069"/>
    <n v="1181990.7599999998"/>
    <n v="381838.30792109796"/>
    <n v="0"/>
    <n v="233020"/>
    <n v="203892.5"/>
  </r>
  <r>
    <s v="Spring Creek Park"/>
    <x v="1"/>
    <m/>
    <m/>
    <m/>
    <x v="7"/>
    <n v="0"/>
    <s v="Tri-State Car Wash Supplies, LLC"/>
    <n v="37"/>
    <n v="4574"/>
    <n v="12775000"/>
    <n v="77539"/>
    <n v="7.4959424657534246E-2"/>
    <n v="9.61"/>
    <n v="11.75"/>
    <n v="11.75"/>
    <n v="12.35"/>
    <n v="4"/>
    <n v="3.5"/>
    <n v="5.7586056997554822"/>
    <m/>
    <n v="0"/>
    <n v="0"/>
    <n v="3980.78"/>
    <n v="1500"/>
    <m/>
    <n v="4707.5600000000004"/>
    <n v="10188.34"/>
    <n v="176923.73"/>
    <x v="1"/>
    <d v="2024-06-17T00:00:00"/>
    <m/>
    <m/>
    <m/>
    <m/>
    <m/>
    <m/>
    <m/>
    <s v="3tx00015"/>
    <m/>
    <m/>
    <m/>
    <s v="Renewal"/>
    <x v="3"/>
    <s v="1H2024"/>
    <x v="0"/>
    <n v="4574"/>
    <n v="43956.14"/>
    <n v="53744.5"/>
    <n v="53744.5"/>
    <n v="56488.9"/>
    <n v="56488.9"/>
    <n v="56488.9"/>
    <n v="0"/>
    <n v="0"/>
    <n v="0"/>
    <n v="0"/>
    <n v="0"/>
    <n v="56488.9"/>
    <n v="1.0000322187190758"/>
    <n v="56490.719999999994"/>
    <n v="26339.862470681575"/>
    <n v="0"/>
    <n v="18296"/>
    <n v="16009"/>
  </r>
  <r>
    <s v="2060-2098 N Integrity Dr"/>
    <x v="0"/>
    <m/>
    <m/>
    <m/>
    <x v="10"/>
    <n v="0"/>
    <s v="Boston Retail Solutions"/>
    <n v="61"/>
    <n v="8000"/>
    <n v="10410057.23"/>
    <n v="162000"/>
    <n v="0.15561874101243534"/>
    <n v="5.89"/>
    <n v="5.76"/>
    <n v="9.25"/>
    <n v="10"/>
    <n v="3.5"/>
    <n v="3"/>
    <n v="3.4088177849252688"/>
    <m/>
    <n v="16"/>
    <n v="9"/>
    <n v="0"/>
    <n v="8000"/>
    <m/>
    <n v="6666.4"/>
    <n v="14666.4"/>
    <n v="430248.87"/>
    <x v="1"/>
    <d v="2024-06-12T00:00:00"/>
    <m/>
    <m/>
    <m/>
    <m/>
    <m/>
    <m/>
    <m/>
    <s v="3oh00001"/>
    <m/>
    <m/>
    <m/>
    <s v="New Lease"/>
    <x v="3"/>
    <s v="1H2024"/>
    <x v="0"/>
    <n v="8000"/>
    <n v="47120"/>
    <n v="46080"/>
    <n v="74000"/>
    <n v="80000"/>
    <n v="80000"/>
    <n v="80000"/>
    <n v="0"/>
    <n v="0"/>
    <n v="128000"/>
    <n v="8000"/>
    <n v="72000"/>
    <n v="80000"/>
    <n v="0.99995999999999985"/>
    <n v="79996.799999999988"/>
    <n v="27270.542279402151"/>
    <n v="0"/>
    <n v="28000"/>
    <n v="24000"/>
  </r>
  <r>
    <s v="4646 South Grady Avenue"/>
    <x v="1"/>
    <m/>
    <m/>
    <m/>
    <x v="9"/>
    <n v="0"/>
    <s v="QG Printing II LLC"/>
    <n v="36"/>
    <n v="79188"/>
    <n v="7030747.9800000004"/>
    <n v="79188"/>
    <n v="0.10418365187938367"/>
    <n v="8.4"/>
    <n v="7.4"/>
    <n v="8.99"/>
    <n v="9.25"/>
    <n v="3"/>
    <n v="2"/>
    <n v="2.0000002031758801"/>
    <m/>
    <n v="0"/>
    <n v="0"/>
    <n v="45280.97"/>
    <n v="0"/>
    <m/>
    <n v="0"/>
    <n v="45280.97"/>
    <n v="2264048.27"/>
    <x v="0"/>
    <d v="2024-06-11T00:00:00"/>
    <m/>
    <m/>
    <m/>
    <m/>
    <m/>
    <m/>
    <m/>
    <s v="xfl4646g"/>
    <m/>
    <m/>
    <m/>
    <s v="Renewal"/>
    <x v="3"/>
    <s v="1H2024"/>
    <x v="3"/>
    <n v="79188"/>
    <n v="665179.20000000007"/>
    <n v="585991.20000000007"/>
    <n v="711900.12"/>
    <n v="732489"/>
    <n v="732489"/>
    <n v="732489"/>
    <n v="0"/>
    <n v="0"/>
    <n v="0"/>
    <n v="0"/>
    <n v="0"/>
    <s v=""/>
    <n v="0"/>
    <n v="0"/>
    <n v="158376.0160890916"/>
    <n v="0"/>
    <n v="237564"/>
    <n v="158376"/>
  </r>
  <r>
    <s v="7120 Ambassador Road"/>
    <x v="0"/>
    <m/>
    <m/>
    <m/>
    <x v="8"/>
    <n v="0"/>
    <s v="dBat"/>
    <n v="124"/>
    <n v="16013"/>
    <n v="5384938.6699999999"/>
    <n v="47078"/>
    <n v="8.9610955587726318E-2"/>
    <n v="6.5"/>
    <n v="6.88"/>
    <n v="10.5"/>
    <n v="10.25"/>
    <n v="3"/>
    <n v="4"/>
    <n v="17.171993181238076"/>
    <m/>
    <n v="10"/>
    <n v="4"/>
    <n v="113614.88"/>
    <n v="150000"/>
    <m/>
    <n v="61550.77"/>
    <n v="325165.65000000002"/>
    <n v="1893581.29"/>
    <x v="1"/>
    <d v="2024-05-15T00:00:00"/>
    <m/>
    <m/>
    <m/>
    <m/>
    <m/>
    <m/>
    <m/>
    <s v="3md00004"/>
    <m/>
    <m/>
    <m/>
    <s v="New Lease"/>
    <x v="3"/>
    <s v="1H2024"/>
    <x v="0"/>
    <n v="16013"/>
    <n v="104084.5"/>
    <n v="110169.44"/>
    <n v="168136.5"/>
    <n v="164133.25"/>
    <n v="164133.25"/>
    <n v="164133.25"/>
    <n v="0"/>
    <n v="0"/>
    <n v="160130"/>
    <n v="16013"/>
    <n v="64052"/>
    <n v="164133.25"/>
    <n v="4.5000585804521629"/>
    <n v="738609.24"/>
    <n v="274975.1268111653"/>
    <n v="0"/>
    <n v="48039"/>
    <n v="64052"/>
  </r>
  <r>
    <s v="7120 Ambassador Road"/>
    <x v="0"/>
    <m/>
    <m/>
    <m/>
    <x v="8"/>
    <n v="0"/>
    <s v="Airtron Heating and Air"/>
    <n v="62"/>
    <n v="9429"/>
    <n v="5384938.6699999999"/>
    <n v="47078"/>
    <n v="9.1796588650841587E-2"/>
    <n v="7.7"/>
    <n v="11.05"/>
    <n v="11"/>
    <n v="10.5"/>
    <n v="4"/>
    <n v="4"/>
    <n v="22.157050565282091"/>
    <m/>
    <n v="10"/>
    <n v="4"/>
    <n v="32388.93"/>
    <n v="70717.5"/>
    <m/>
    <n v="16500.75"/>
    <n v="119607.18"/>
    <n v="539815.43999999994"/>
    <x v="1"/>
    <d v="2024-06-07T00:00:00"/>
    <m/>
    <m/>
    <m/>
    <m/>
    <m/>
    <m/>
    <m/>
    <s v="3md00004"/>
    <m/>
    <m/>
    <m/>
    <s v="New Lease"/>
    <x v="3"/>
    <s v="1H2024"/>
    <x v="0"/>
    <n v="9429"/>
    <n v="72603.3"/>
    <n v="104190.45000000001"/>
    <n v="103719"/>
    <n v="99004.5"/>
    <n v="99004.5"/>
    <n v="99004.5"/>
    <n v="0"/>
    <n v="0"/>
    <n v="94290"/>
    <n v="9429"/>
    <n v="37716"/>
    <n v="99004.5"/>
    <n v="2"/>
    <n v="198009"/>
    <n v="208918.82978004485"/>
    <n v="0"/>
    <n v="37716"/>
    <n v="37716"/>
  </r>
  <r>
    <s v="801 Blacklawn Road"/>
    <x v="1"/>
    <m/>
    <m/>
    <m/>
    <x v="2"/>
    <n v="0"/>
    <s v="Clique Here, LLC"/>
    <n v="48"/>
    <n v="38383"/>
    <n v="12926369.359999999"/>
    <n v="111540"/>
    <n v="5.997066758736036E-2"/>
    <n v="5.85"/>
    <n v="6.14"/>
    <n v="6.95"/>
    <n v="6.95"/>
    <n v="4"/>
    <n v="3.25"/>
    <n v="10.413866730395839"/>
    <m/>
    <n v="0"/>
    <n v="5"/>
    <n v="67967.62"/>
    <n v="50000"/>
    <n v="0"/>
    <n v="0"/>
    <n v="117967.62"/>
    <n v="1132793.6399999999"/>
    <x v="1"/>
    <d v="2024-05-24T00:00:00"/>
    <m/>
    <m/>
    <m/>
    <m/>
    <m/>
    <m/>
    <m/>
    <s v="3ga00002"/>
    <m/>
    <m/>
    <m/>
    <s v="Renewal"/>
    <x v="3"/>
    <s v="1H2024"/>
    <x v="1"/>
    <n v="38383"/>
    <n v="224540.55"/>
    <n v="235671.62"/>
    <n v="266761.85000000003"/>
    <n v="266761.85000000003"/>
    <n v="266761.85000000003"/>
    <n v="266761.85000000003"/>
    <n v="0"/>
    <n v="0"/>
    <n v="0"/>
    <n v="0"/>
    <n v="191915"/>
    <s v=""/>
    <n v="0"/>
    <n v="0"/>
    <n v="399715.44671278348"/>
    <n v="0"/>
    <n v="153532"/>
    <n v="124744.75"/>
  </r>
  <r>
    <s v="145 Algonquin Parkway"/>
    <x v="0"/>
    <m/>
    <m/>
    <m/>
    <x v="3"/>
    <n v="0"/>
    <s v="Computechsale"/>
    <n v="62"/>
    <n v="11701"/>
    <n v="3670506.7980262642"/>
    <n v="23478"/>
    <n v="9.2747682740448645E-2"/>
    <n v="11"/>
    <n v="12.43"/>
    <n v="14.47"/>
    <n v="14.5"/>
    <n v="3.5"/>
    <n v="3"/>
    <n v="24.467879077767034"/>
    <m/>
    <n v="3"/>
    <n v="6"/>
    <n v="68634.600000000006"/>
    <n v="127000"/>
    <n v="0"/>
    <n v="28277.81"/>
    <n v="223912.41"/>
    <n v="915127.99"/>
    <x v="0"/>
    <d v="2024-05-21T00:00:00"/>
    <m/>
    <m/>
    <m/>
    <m/>
    <m/>
    <m/>
    <m/>
    <s v="xnj145al"/>
    <m/>
    <m/>
    <m/>
    <s v="New Lease"/>
    <x v="3"/>
    <s v="1H2024"/>
    <x v="0"/>
    <n v="11701"/>
    <n v="128711"/>
    <n v="145443.43"/>
    <n v="169313.47"/>
    <n v="169664.5"/>
    <n v="169664.5"/>
    <n v="169664.5"/>
    <n v="0"/>
    <n v="0"/>
    <n v="35103"/>
    <n v="11701"/>
    <n v="70206"/>
    <n v="169664.5"/>
    <n v="2.0000278196086985"/>
    <n v="339333.72000000003"/>
    <n v="286298.65308895207"/>
    <n v="0"/>
    <n v="40953.5"/>
    <n v="35103"/>
  </r>
  <r>
    <s v="150-152 Railroad"/>
    <x v="0"/>
    <m/>
    <m/>
    <m/>
    <x v="0"/>
    <s v="Yes"/>
    <s v="EventLink"/>
    <n v="62"/>
    <n v="22406"/>
    <n v="3101119.3600000003"/>
    <n v="40996"/>
    <n v="9.5843134525463738E-2"/>
    <n v="5.72"/>
    <n v="6.45"/>
    <n v="7.14"/>
    <n v="7.25"/>
    <n v="4"/>
    <n v="3"/>
    <n v="9.4545899958156063"/>
    <m/>
    <n v="8"/>
    <n v="9"/>
    <n v="63897.429999999993"/>
    <n v="22406"/>
    <n v="0"/>
    <n v="0"/>
    <n v="86303.43"/>
    <n v="912820.44"/>
    <x v="1"/>
    <d v="2024-05-10T00:00:00"/>
    <m/>
    <m/>
    <m/>
    <m/>
    <m/>
    <m/>
    <m/>
    <s v="3il00002"/>
    <m/>
    <m/>
    <m/>
    <s v="New Lease"/>
    <x v="3"/>
    <s v="1H2024"/>
    <x v="1"/>
    <n v="22406"/>
    <n v="128162.31999999999"/>
    <n v="144518.70000000001"/>
    <n v="159978.84"/>
    <n v="162443.5"/>
    <n v="162443.5"/>
    <n v="162443.5"/>
    <n v="0"/>
    <n v="0"/>
    <n v="179248"/>
    <n v="22406"/>
    <n v="201654"/>
    <s v=""/>
    <n v="0"/>
    <n v="0"/>
    <n v="211839.54344624447"/>
    <n v="0"/>
    <n v="89624"/>
    <n v="67218"/>
  </r>
  <r>
    <s v="2101 Arthur Avenue"/>
    <x v="0"/>
    <m/>
    <m/>
    <m/>
    <x v="0"/>
    <n v="0"/>
    <s v="Logisteed America"/>
    <n v="54"/>
    <n v="26994"/>
    <n v="6688282.8728767121"/>
    <n v="82529"/>
    <n v="0.11413890000015134"/>
    <n v="7.16"/>
    <n v="6.65"/>
    <n v="8.84"/>
    <n v="9.25"/>
    <n v="3.5"/>
    <n v="2.5"/>
    <n v="16.812480432233325"/>
    <m/>
    <n v="2"/>
    <n v="9"/>
    <n v="82242.399999999994"/>
    <n v="94479"/>
    <n v="0"/>
    <n v="20806.98"/>
    <n v="197528.38"/>
    <n v="1174891.3600000001"/>
    <x v="0"/>
    <d v="2024-05-10T00:00:00"/>
    <m/>
    <m/>
    <m/>
    <m/>
    <m/>
    <m/>
    <m/>
    <s v="xil2101"/>
    <m/>
    <m/>
    <m/>
    <s v="New Lease"/>
    <x v="3"/>
    <s v="1H2024"/>
    <x v="1"/>
    <n v="26994"/>
    <n v="193277.04"/>
    <n v="179510.1"/>
    <n v="238626.96"/>
    <n v="249694.5"/>
    <n v="249694.5"/>
    <n v="249694.5"/>
    <n v="0"/>
    <n v="0"/>
    <n v="53988"/>
    <n v="26994"/>
    <n v="242946"/>
    <n v="249694.5"/>
    <n v="0.99995698743865002"/>
    <n v="249683.76"/>
    <n v="453836.09678770637"/>
    <n v="0"/>
    <n v="94479"/>
    <n v="67485"/>
  </r>
  <r>
    <s v="201 James Street"/>
    <x v="2"/>
    <m/>
    <m/>
    <m/>
    <x v="0"/>
    <n v="0"/>
    <s v="JL Services Group, Inc."/>
    <n v="36"/>
    <n v="1971"/>
    <n v="2315417.6018076534"/>
    <n v="21987"/>
    <n v="7.7676553836157972E-2"/>
    <n v="7.8900000000000006"/>
    <n v="8.89"/>
    <n v="8.15"/>
    <n v="8.18"/>
    <n v="3"/>
    <n v="3"/>
    <n v="2.999992327939875"/>
    <m/>
    <n v="0"/>
    <n v="0"/>
    <n v="1798.73"/>
    <n v="0"/>
    <n v="0"/>
    <n v="0"/>
    <n v="1798.73"/>
    <n v="59957.82"/>
    <x v="0"/>
    <d v="2024-04-30T00:00:00"/>
    <m/>
    <m/>
    <m/>
    <m/>
    <m/>
    <m/>
    <m/>
    <s v="xil201ja"/>
    <m/>
    <m/>
    <m/>
    <s v="Renewal"/>
    <x v="3"/>
    <s v="1H2024"/>
    <x v="0"/>
    <n v="1971"/>
    <n v="15551.19"/>
    <n v="17522.190000000002"/>
    <n v="16063.650000000001"/>
    <n v="16122.779999999999"/>
    <n v="16122.779999999999"/>
    <n v="16122.779999999999"/>
    <n v="0"/>
    <n v="0"/>
    <n v="0"/>
    <n v="0"/>
    <n v="0"/>
    <s v=""/>
    <n v="0"/>
    <n v="0"/>
    <n v="5912.9848783694933"/>
    <n v="0"/>
    <n v="5913"/>
    <n v="5913"/>
  </r>
  <r>
    <s v="440 Benigno Boulevard"/>
    <x v="0"/>
    <m/>
    <m/>
    <m/>
    <x v="4"/>
    <n v="0"/>
    <s v="Somerset Contractors, LLC"/>
    <n v="25"/>
    <n v="825"/>
    <n v="4182275.0491347439"/>
    <n v="42963"/>
    <n v="0.15408957862140774"/>
    <n v="10.91"/>
    <n v="9.25"/>
    <n v="14.69"/>
    <n v="15"/>
    <n v="3"/>
    <n v="3"/>
    <n v="9.5018473994452837"/>
    <m/>
    <n v="16"/>
    <n v="12"/>
    <n v="1361.7"/>
    <n v="0"/>
    <n v="0"/>
    <n v="1031.25"/>
    <n v="2392.9499999999998"/>
    <n v="25184.05"/>
    <x v="0"/>
    <d v="2024-04-25T00:00:00"/>
    <m/>
    <m/>
    <m/>
    <m/>
    <m/>
    <m/>
    <m/>
    <s v="xnj440be"/>
    <m/>
    <m/>
    <m/>
    <s v="New Lease"/>
    <x v="3"/>
    <s v="1H2024"/>
    <x v="0"/>
    <n v="825"/>
    <n v="9000.75"/>
    <n v="7631.25"/>
    <n v="12119.25"/>
    <n v="12375"/>
    <n v="12375"/>
    <n v="12375"/>
    <n v="0"/>
    <n v="0"/>
    <n v="13200"/>
    <n v="825"/>
    <n v="9900"/>
    <n v="12375"/>
    <n v="1"/>
    <n v="12375"/>
    <n v="7839.0241045423591"/>
    <n v="0"/>
    <n v="2475"/>
    <n v="2475"/>
  </r>
  <r>
    <s v="420 Benigno Boulevard"/>
    <x v="1"/>
    <m/>
    <m/>
    <m/>
    <x v="4"/>
    <n v="0"/>
    <s v="Kings Management Company"/>
    <n v="62"/>
    <n v="1894"/>
    <n v="5434351.140865257"/>
    <n v="53101"/>
    <n v="0.1538989160473789"/>
    <n v="15.3"/>
    <n v="9.25"/>
    <n v="15"/>
    <n v="15.75"/>
    <n v="3.25"/>
    <n v="3"/>
    <n v="7.606764559604569"/>
    <m/>
    <n v="0"/>
    <n v="0"/>
    <n v="7201.3499999999995"/>
    <n v="0"/>
    <n v="0"/>
    <n v="4971.75"/>
    <n v="12173.099999999999"/>
    <n v="160029.93"/>
    <x v="0"/>
    <d v="2024-04-25T00:00:00"/>
    <m/>
    <m/>
    <m/>
    <m/>
    <m/>
    <m/>
    <m/>
    <s v="xnj420be"/>
    <m/>
    <m/>
    <m/>
    <s v="Renewal"/>
    <x v="3"/>
    <s v="1H2024"/>
    <x v="0"/>
    <n v="1894"/>
    <n v="28978.2"/>
    <n v="17519.5"/>
    <n v="28410"/>
    <n v="29830.5"/>
    <n v="29830.5"/>
    <n v="29830.5"/>
    <n v="0"/>
    <n v="0"/>
    <n v="0"/>
    <n v="0"/>
    <n v="0"/>
    <n v="29830.5"/>
    <n v="2"/>
    <n v="59661"/>
    <n v="14407.212075891053"/>
    <n v="0"/>
    <n v="6155.5"/>
    <n v="5682"/>
  </r>
  <r>
    <s v="1101 Venture Ct."/>
    <x v="0"/>
    <m/>
    <m/>
    <m/>
    <x v="7"/>
    <s v="Yes"/>
    <s v="EGL Motors"/>
    <n v="62"/>
    <n v="23272"/>
    <n v="5154702.8347228011"/>
    <n v="47175"/>
    <n v="9.7924655636748181E-2"/>
    <n v="4.74"/>
    <n v="9.6300000000000008"/>
    <n v="10.1"/>
    <n v="10.7"/>
    <n v="4"/>
    <n v="3"/>
    <n v="13.234808633572367"/>
    <m/>
    <n v="3"/>
    <n v="6"/>
    <n v="91645.489999999991"/>
    <n v="46544"/>
    <n v="0"/>
    <n v="41500.959999999999"/>
    <n v="179690.44999999998"/>
    <n v="1357710.98"/>
    <x v="1"/>
    <d v="2024-04-22T00:00:00"/>
    <m/>
    <m/>
    <m/>
    <m/>
    <m/>
    <m/>
    <m/>
    <s v="3tx00011"/>
    <m/>
    <m/>
    <m/>
    <s v="New Lease"/>
    <x v="3"/>
    <s v="1H2024"/>
    <x v="1"/>
    <n v="23272"/>
    <n v="110309.28"/>
    <n v="224109.36000000002"/>
    <n v="235047.19999999998"/>
    <n v="249010.4"/>
    <n v="249010.4"/>
    <n v="249010.4"/>
    <n v="0"/>
    <n v="0"/>
    <n v="69816"/>
    <n v="23272"/>
    <n v="139632"/>
    <n v="249010.4"/>
    <n v="1.99996273248025"/>
    <n v="498011.52"/>
    <n v="308000.46652049612"/>
    <n v="0"/>
    <n v="93088"/>
    <n v="69816"/>
  </r>
  <r>
    <s v="95 Bauer Drive"/>
    <x v="1"/>
    <m/>
    <m/>
    <m/>
    <x v="3"/>
    <n v="0"/>
    <s v="Kradle to Kindergarten, Inc."/>
    <n v="36"/>
    <n v="6792"/>
    <n v="2299436.4633107767"/>
    <n v="6792"/>
    <n v="5.6121576768507007E-2"/>
    <n v="16.39"/>
    <n v="16.71"/>
    <n v="18.600000000000001"/>
    <n v="19"/>
    <n v="3"/>
    <n v="3"/>
    <n v="15.041583963024177"/>
    <m/>
    <n v="0"/>
    <n v="0"/>
    <n v="0"/>
    <n v="60000"/>
    <n v="0"/>
    <n v="0"/>
    <n v="60000"/>
    <n v="398894.16"/>
    <x v="0"/>
    <d v="2024-04-04T00:00:00"/>
    <m/>
    <m/>
    <m/>
    <m/>
    <m/>
    <m/>
    <m/>
    <s v="xnj95bau"/>
    <m/>
    <m/>
    <m/>
    <s v="Renewal"/>
    <x v="3"/>
    <s v="1H2024"/>
    <x v="0"/>
    <n v="6792"/>
    <n v="111320.88"/>
    <n v="113494.32"/>
    <n v="126331.20000000001"/>
    <n v="129048"/>
    <n v="129048"/>
    <n v="129048"/>
    <n v="0"/>
    <n v="0"/>
    <n v="0"/>
    <n v="0"/>
    <n v="0"/>
    <s v=""/>
    <n v="0"/>
    <n v="0"/>
    <n v="102162.43827686021"/>
    <n v="0"/>
    <n v="20376"/>
    <n v="20376"/>
  </r>
  <r>
    <s v="2200 Executive Street"/>
    <x v="0"/>
    <m/>
    <m/>
    <m/>
    <x v="6"/>
    <n v="0"/>
    <s v="Charlotte Water"/>
    <n v="120"/>
    <n v="22961"/>
    <n v="3076696.03"/>
    <n v="22900"/>
    <n v="9.6759639918019461E-2"/>
    <n v="12.64"/>
    <n v="12.78"/>
    <n v="12.83"/>
    <n v="13"/>
    <n v="3"/>
    <n v="4"/>
    <n v="7.000000055525069"/>
    <m/>
    <n v="1"/>
    <n v="9"/>
    <n v="239531.45"/>
    <s v=""/>
    <m/>
    <n v="0"/>
    <n v="239531.45"/>
    <n v="3421877.83"/>
    <x v="1"/>
    <d v="2024-03-25T00:00:00"/>
    <m/>
    <m/>
    <m/>
    <m/>
    <m/>
    <m/>
    <m/>
    <s v="3nc00005"/>
    <m/>
    <m/>
    <m/>
    <s v="New Lease"/>
    <x v="4"/>
    <s v="1H2024"/>
    <x v="1"/>
    <n v="22961"/>
    <n v="290227.04000000004"/>
    <n v="293441.57999999996"/>
    <n v="294589.63"/>
    <n v="298493"/>
    <n v="298493"/>
    <n v="298493"/>
    <n v="0"/>
    <n v="0"/>
    <n v="22961"/>
    <n v="22961"/>
    <n v="206649"/>
    <s v=""/>
    <n v="0"/>
    <n v="0"/>
    <n v="160727.0012749111"/>
    <n v="0"/>
    <n v="68883"/>
    <n v="91844"/>
  </r>
  <r>
    <s v="6 Pearl Court"/>
    <x v="1"/>
    <m/>
    <m/>
    <m/>
    <x v="3"/>
    <n v="0"/>
    <s v="TBS Controls, LLC"/>
    <n v="61"/>
    <n v="5444"/>
    <n v="21984241.829999998"/>
    <n v="99919"/>
    <n v="7.9537994237939127E-2"/>
    <n v="15.7"/>
    <n v="17.010000000000002"/>
    <n v="17.5"/>
    <n v="17.5"/>
    <n v="4"/>
    <n v="3.5"/>
    <n v="6.5333457355678792"/>
    <m/>
    <n v="0"/>
    <n v="0"/>
    <n v="25887.81"/>
    <s v=""/>
    <m/>
    <n v="7938.99"/>
    <n v="33826.800000000003"/>
    <n v="517756.15999999997"/>
    <x v="1"/>
    <d v="2024-03-12T00:00:00"/>
    <m/>
    <m/>
    <m/>
    <m/>
    <m/>
    <m/>
    <m/>
    <s v="3nj00014"/>
    <m/>
    <m/>
    <m/>
    <s v="Renewal"/>
    <x v="4"/>
    <s v="1H2024"/>
    <x v="0"/>
    <n v="5444"/>
    <n v="85470.8"/>
    <n v="92602.44"/>
    <n v="95270"/>
    <n v="95270"/>
    <n v="95270"/>
    <n v="95270"/>
    <n v="0"/>
    <n v="0"/>
    <n v="0"/>
    <n v="0"/>
    <n v="0"/>
    <n v="95270"/>
    <n v="0.99997774745460266"/>
    <n v="95267.87999999999"/>
    <n v="35567.534184431534"/>
    <n v="0"/>
    <n v="21776"/>
    <n v="19054"/>
  </r>
  <r>
    <s v="6 Pearl Court"/>
    <x v="0"/>
    <m/>
    <m/>
    <m/>
    <x v="3"/>
    <n v="0"/>
    <s v="IMCD"/>
    <n v="123"/>
    <n v="10000"/>
    <n v="21984241.829999998"/>
    <n v="99919"/>
    <n v="7.2720451874687203E-2"/>
    <n v="14.24"/>
    <n v="16"/>
    <n v="15.5"/>
    <n v="16"/>
    <n v="3.5"/>
    <n v="3.5"/>
    <n v="14.893617459500138"/>
    <m/>
    <n v="3"/>
    <n v="2"/>
    <n v="142014.37"/>
    <n v="100000"/>
    <m/>
    <n v="40000"/>
    <n v="282014.37"/>
    <n v="1893525"/>
    <x v="1"/>
    <d v="2024-03-11T00:00:00"/>
    <m/>
    <m/>
    <m/>
    <m/>
    <m/>
    <m/>
    <m/>
    <s v="3nj00014"/>
    <m/>
    <m/>
    <m/>
    <s v="New Lease"/>
    <x v="4"/>
    <s v="1H2024"/>
    <x v="0"/>
    <n v="10000"/>
    <n v="142400"/>
    <n v="160000"/>
    <n v="155000"/>
    <n v="160000"/>
    <n v="160000"/>
    <n v="160000"/>
    <n v="0"/>
    <n v="0"/>
    <n v="30000"/>
    <n v="10000"/>
    <n v="20000"/>
    <n v="160000"/>
    <n v="3"/>
    <n v="480000"/>
    <n v="148936.17459500139"/>
    <n v="0"/>
    <n v="35000"/>
    <n v="35000"/>
  </r>
  <r>
    <s v="3 Pearl Court"/>
    <x v="1"/>
    <m/>
    <m/>
    <m/>
    <x v="3"/>
    <n v="0"/>
    <s v="WAB US Corporation"/>
    <n v="85"/>
    <n v="21000"/>
    <n v="9213159.8800000008"/>
    <n v="41500"/>
    <n v="7.6575247709692401E-2"/>
    <n v="9.73"/>
    <n v="16.86"/>
    <n v="17"/>
    <n v="17"/>
    <n v="3.5"/>
    <n v="3.5"/>
    <n v="11.657971415109158"/>
    <m/>
    <n v="0"/>
    <n v="0"/>
    <n v="194989.38"/>
    <n v="100000"/>
    <m/>
    <n v="29750.7"/>
    <n v="324740.08"/>
    <n v="2785562.5"/>
    <x v="1"/>
    <d v="2024-03-11T00:00:00"/>
    <m/>
    <m/>
    <m/>
    <m/>
    <m/>
    <m/>
    <m/>
    <s v="3nj00012"/>
    <m/>
    <m/>
    <m/>
    <s v="Renewal"/>
    <x v="4"/>
    <s v="1H2024"/>
    <x v="1"/>
    <n v="21000"/>
    <n v="204330"/>
    <n v="354060"/>
    <n v="357000"/>
    <n v="357000"/>
    <n v="357000"/>
    <n v="357000"/>
    <n v="0"/>
    <n v="0"/>
    <n v="0"/>
    <n v="0"/>
    <n v="0"/>
    <n v="357000"/>
    <n v="1.0000235294117648"/>
    <n v="357008.4"/>
    <n v="244817.39971729231"/>
    <n v="0"/>
    <n v="73500"/>
    <n v="73500"/>
  </r>
  <r>
    <s v="370 Gees Mill"/>
    <x v="0"/>
    <m/>
    <m/>
    <m/>
    <x v="2"/>
    <n v="0"/>
    <s v="Eckart, LLC"/>
    <n v="87"/>
    <n v="30523"/>
    <n v="2543251.31"/>
    <n v="30523"/>
    <n v="8.5811201253249328E-2"/>
    <n v="5.53"/>
    <n v="7.24"/>
    <n v="7.15"/>
    <n v="7.15"/>
    <n v="4"/>
    <n v="4"/>
    <n v="13.380176542421832"/>
    <m/>
    <n v="5"/>
    <n v="4"/>
    <n v="130916.71"/>
    <n v="45784.5"/>
    <m/>
    <n v="56034.12"/>
    <n v="232735.33000000002"/>
    <n v="1739404.03"/>
    <x v="1"/>
    <d v="2024-03-05T00:00:00"/>
    <m/>
    <m/>
    <m/>
    <m/>
    <m/>
    <m/>
    <m/>
    <s v="3ga00005"/>
    <m/>
    <m/>
    <m/>
    <s v="New Lease"/>
    <x v="4"/>
    <s v="1H2024"/>
    <x v="1"/>
    <n v="30523"/>
    <n v="168792.19"/>
    <n v="220986.52000000002"/>
    <n v="218239.45"/>
    <n v="218239.45"/>
    <n v="218239.45"/>
    <n v="218239.45"/>
    <n v="0"/>
    <n v="0"/>
    <n v="152615"/>
    <n v="30523"/>
    <n v="122092"/>
    <n v="218239.45"/>
    <n v="3.0810627501123191"/>
    <n v="672409.44"/>
    <n v="408403.12860434159"/>
    <n v="0"/>
    <n v="122092"/>
    <n v="122092"/>
  </r>
  <r>
    <s v="125 Algonquin Parkway"/>
    <x v="0"/>
    <m/>
    <m/>
    <m/>
    <x v="3"/>
    <n v="0"/>
    <s v="Krowne Metal Corporate"/>
    <n v="61"/>
    <n v="50000"/>
    <n v="15417018.24"/>
    <n v="71000"/>
    <n v="7.1382155931081007E-2"/>
    <n v="14.5"/>
    <n v="13.14"/>
    <n v="14.47"/>
    <n v="15.5"/>
    <n v="4"/>
    <n v="3"/>
    <n v="9.0335391190787142"/>
    <m/>
    <n v="3.2"/>
    <n v="6"/>
    <n v="315862.5"/>
    <s v=""/>
    <m/>
    <n v="64585"/>
    <n v="380447.5"/>
    <n v="4211500"/>
    <x v="0"/>
    <d v="2024-02-28T00:00:00"/>
    <m/>
    <m/>
    <m/>
    <m/>
    <m/>
    <m/>
    <m/>
    <s v="xnj125al"/>
    <m/>
    <m/>
    <m/>
    <s v="New Lease"/>
    <x v="4"/>
    <s v="1H2024"/>
    <x v="3"/>
    <n v="50000"/>
    <n v="725000"/>
    <n v="657000"/>
    <n v="723500"/>
    <n v="775000"/>
    <n v="775000"/>
    <n v="775000"/>
    <n v="0"/>
    <n v="0"/>
    <n v="160000"/>
    <n v="50000"/>
    <n v="300000"/>
    <n v="775000"/>
    <n v="1.0000258064516128"/>
    <n v="775019.99999999988"/>
    <n v="451676.95595393569"/>
    <n v="0"/>
    <n v="200000"/>
    <n v="150000"/>
  </r>
  <r>
    <s v="4525 McEwen Road"/>
    <x v="1"/>
    <m/>
    <m/>
    <m/>
    <x v="7"/>
    <n v="0"/>
    <s v="Worldpac, Inc."/>
    <n v="60"/>
    <n v="20983"/>
    <n v="4385434.0999999996"/>
    <n v="36122"/>
    <n v="8.6074694407105565E-2"/>
    <n v="5.85"/>
    <n v="5.85"/>
    <n v="9.9"/>
    <n v="10.45"/>
    <n v="3"/>
    <n v="3"/>
    <n v="4.50000018898122"/>
    <m/>
    <n v="0"/>
    <n v="0"/>
    <n v="52386.16"/>
    <s v=""/>
    <m/>
    <n v="0"/>
    <n v="52386.16"/>
    <n v="1164136.8400000001"/>
    <x v="1"/>
    <d v="2024-02-27T00:00:00"/>
    <m/>
    <m/>
    <m/>
    <m/>
    <m/>
    <m/>
    <m/>
    <s v="3tx00012"/>
    <m/>
    <m/>
    <m/>
    <s v="Renewal"/>
    <x v="4"/>
    <s v="1H2024"/>
    <x v="1"/>
    <n v="20983"/>
    <n v="122750.54999999999"/>
    <n v="122750.54999999999"/>
    <n v="207731.7"/>
    <n v="219272.34999999998"/>
    <n v="219272.34999999998"/>
    <n v="219272.34999999998"/>
    <n v="0"/>
    <n v="0"/>
    <n v="0"/>
    <n v="0"/>
    <n v="0"/>
    <s v=""/>
    <n v="0"/>
    <n v="0"/>
    <n v="94423.503965392942"/>
    <n v="0"/>
    <n v="62949"/>
    <n v="62949"/>
  </r>
  <r>
    <s v="3338-3352 Democrat"/>
    <x v="0"/>
    <m/>
    <m/>
    <m/>
    <x v="1"/>
    <n v="0"/>
    <s v="AMERICAN BUILDERS &amp; CONTRACTORS SUPPLY CO., INC - Exp."/>
    <n v="17"/>
    <n v="12000"/>
    <n v="9808093.4700000007"/>
    <n v="168000"/>
    <n v="6.9713854388869317E-2"/>
    <n v="3.09"/>
    <n v="3.55"/>
    <n v="4.07"/>
    <n v="4.07"/>
    <n v="3"/>
    <n v="3"/>
    <n v="0"/>
    <m/>
    <n v="1"/>
    <n v="6"/>
    <n v="0"/>
    <s v=""/>
    <m/>
    <n v="0"/>
    <n v="0"/>
    <n v="70630"/>
    <x v="1"/>
    <d v="2024-02-26T00:00:00"/>
    <m/>
    <m/>
    <m/>
    <m/>
    <m/>
    <m/>
    <m/>
    <s v="3tn00001"/>
    <m/>
    <m/>
    <m/>
    <s v="New Lease"/>
    <x v="4"/>
    <s v="1H2024"/>
    <x v="0"/>
    <n v="12000"/>
    <n v="37080"/>
    <n v="42600"/>
    <n v="48840"/>
    <n v="48840"/>
    <n v="48840"/>
    <n v="48840"/>
    <n v="0"/>
    <n v="0"/>
    <n v="12000"/>
    <n v="12000"/>
    <n v="72000"/>
    <s v=""/>
    <n v="0"/>
    <n v="0"/>
    <n v="0"/>
    <n v="0"/>
    <n v="36000"/>
    <n v="36000"/>
  </r>
  <r>
    <s v="1601-1641 Sherman Avenue"/>
    <x v="0"/>
    <m/>
    <m/>
    <m/>
    <x v="4"/>
    <n v="0"/>
    <s v="The Printer Inc. (TPI)"/>
    <n v="36"/>
    <n v="9012"/>
    <n v="6461520.5800000001"/>
    <n v="57321"/>
    <n v="9.7582448619238163E-2"/>
    <n v="7.96"/>
    <n v="6.71"/>
    <n v="10.09"/>
    <n v="11"/>
    <n v="4"/>
    <n v="3"/>
    <n v="3.999998965981034"/>
    <m/>
    <n v="0"/>
    <n v="6"/>
    <n v="12378.88"/>
    <s v=""/>
    <m/>
    <n v="0"/>
    <n v="12378.88"/>
    <n v="309472.08"/>
    <x v="0"/>
    <d v="2024-02-26T00:00:00"/>
    <m/>
    <m/>
    <m/>
    <m/>
    <m/>
    <m/>
    <m/>
    <s v="xnj1601s"/>
    <m/>
    <m/>
    <m/>
    <s v="New Lease"/>
    <x v="4"/>
    <s v="1H2024"/>
    <x v="0"/>
    <n v="9012"/>
    <n v="71735.520000000004"/>
    <n v="60470.52"/>
    <n v="90931.08"/>
    <n v="99132"/>
    <n v="99132"/>
    <n v="99132"/>
    <n v="0"/>
    <n v="0"/>
    <n v="0"/>
    <n v="9012"/>
    <n v="54072"/>
    <s v=""/>
    <n v="0"/>
    <n v="0"/>
    <n v="36047.990681421077"/>
    <n v="0"/>
    <n v="36048"/>
    <n v="27036"/>
  </r>
  <r>
    <s v="221 Cockeysville Road"/>
    <x v="0"/>
    <m/>
    <m/>
    <m/>
    <x v="8"/>
    <n v="0"/>
    <s v="Lake Partners"/>
    <n v="18"/>
    <n v="2674"/>
    <n v="3842221"/>
    <n v="32699"/>
    <n v="9.3614864943999843E-2"/>
    <m/>
    <n v="11.44"/>
    <n v="10.5"/>
    <n v="11"/>
    <n v="4"/>
    <n v="4"/>
    <n v="4.1066612270800755"/>
    <m/>
    <m/>
    <n v="9"/>
    <n v="1811.9"/>
    <s v=""/>
    <m/>
    <n v="0"/>
    <n v="1811.9"/>
    <n v="44121"/>
    <x v="1"/>
    <d v="2024-02-20T00:00:00"/>
    <m/>
    <m/>
    <m/>
    <m/>
    <m/>
    <m/>
    <m/>
    <s v="3md00005"/>
    <m/>
    <m/>
    <m/>
    <s v="New Lease"/>
    <x v="4"/>
    <s v="1H2024"/>
    <x v="0"/>
    <s v=""/>
    <s v=""/>
    <n v="30590.559999999998"/>
    <n v="28077"/>
    <s v=""/>
    <n v="29414"/>
    <s v=""/>
    <n v="0"/>
    <n v="0"/>
    <n v="0"/>
    <n v="2674"/>
    <n v="24066"/>
    <s v=""/>
    <n v="0"/>
    <n v="0"/>
    <n v="10981.212121212122"/>
    <n v="0"/>
    <n v="10696"/>
    <n v="10696"/>
  </r>
  <r>
    <s v="12080 Mosteller Road"/>
    <x v="0"/>
    <m/>
    <m/>
    <m/>
    <x v="5"/>
    <n v="0"/>
    <s v="Appliance Factory"/>
    <n v="25"/>
    <n v="47107"/>
    <n v="9864876.4600000009"/>
    <n v="272221"/>
    <n v="0.14487360848308078"/>
    <n v="3.5"/>
    <n v="3.27"/>
    <n v="5"/>
    <n v="5.25"/>
    <n v="4"/>
    <n v="3"/>
    <n v="11.571345440060457"/>
    <m/>
    <n v="0"/>
    <n v="6"/>
    <n v="37965.300000000003"/>
    <s v=""/>
    <m/>
    <n v="20609.310000000001"/>
    <n v="58574.61"/>
    <n v="506203.97"/>
    <x v="0"/>
    <d v="2024-02-20T00:00:00"/>
    <m/>
    <m/>
    <m/>
    <m/>
    <m/>
    <m/>
    <m/>
    <s v="xohmost"/>
    <m/>
    <m/>
    <m/>
    <s v="New Lease"/>
    <x v="4"/>
    <s v="1H2024"/>
    <x v="1"/>
    <n v="47107"/>
    <n v="164874.5"/>
    <n v="154039.89000000001"/>
    <n v="235535"/>
    <n v="247311.75"/>
    <n v="247311.75"/>
    <n v="247311.75"/>
    <n v="0"/>
    <n v="0"/>
    <n v="0"/>
    <n v="47107"/>
    <n v="282642"/>
    <n v="247311.75"/>
    <n v="0.99999987869561402"/>
    <n v="247311.72000000003"/>
    <n v="545091.36964492791"/>
    <n v="0"/>
    <n v="188428"/>
    <n v="141321"/>
  </r>
  <r>
    <s v="9176 Red Branch"/>
    <x v="0"/>
    <m/>
    <m/>
    <m/>
    <x v="8"/>
    <s v="Yes"/>
    <s v="Snap Entertainment"/>
    <n v="60"/>
    <n v="7571"/>
    <n v="9772433.6699999999"/>
    <n v="81311"/>
    <n v="0.10816578916723413"/>
    <n v="11.75"/>
    <n v="12.98"/>
    <n v="9"/>
    <n v="13"/>
    <n v="4"/>
    <n v="4"/>
    <n v="6.0000006378100039"/>
    <m/>
    <n v="17"/>
    <n v="6"/>
    <n v="31984.45"/>
    <s v=""/>
    <m/>
    <n v="0"/>
    <n v="31984.45"/>
    <n v="533074.11"/>
    <x v="1"/>
    <d v="2024-02-15T00:00:00"/>
    <m/>
    <m/>
    <m/>
    <m/>
    <m/>
    <m/>
    <m/>
    <s v="3md00001"/>
    <m/>
    <m/>
    <m/>
    <s v="New Lease"/>
    <x v="4"/>
    <s v="1H2024"/>
    <x v="0"/>
    <n v="7571"/>
    <n v="88959.25"/>
    <n v="98271.58"/>
    <n v="68139"/>
    <n v="98423"/>
    <n v="98423"/>
    <n v="98423"/>
    <n v="0"/>
    <n v="0"/>
    <n v="128707"/>
    <n v="7571"/>
    <n v="45426"/>
    <s v=""/>
    <n v="0"/>
    <n v="0"/>
    <n v="45426.004828859543"/>
    <n v="0"/>
    <n v="30284"/>
    <n v="30284"/>
  </r>
  <r>
    <s v="4600&amp;4630 Frederick Drive "/>
    <x v="0"/>
    <m/>
    <m/>
    <m/>
    <x v="2"/>
    <n v="0"/>
    <s v="USA Family Moving"/>
    <n v="63"/>
    <n v="7437"/>
    <n v="6386923.0300000003"/>
    <n v="87532"/>
    <n v="0.10895377895293033"/>
    <n v="4.54"/>
    <n v="6.22"/>
    <n v="7.14"/>
    <n v="7.95"/>
    <n v="4"/>
    <n v="3"/>
    <n v="10.16253512081486"/>
    <m/>
    <n v="4"/>
    <n v="6"/>
    <n v="17651.47"/>
    <s v=""/>
    <m/>
    <n v="15177.43"/>
    <n v="32828.9"/>
    <n v="323038.49"/>
    <x v="0"/>
    <d v="2024-02-02T00:00:00"/>
    <m/>
    <m/>
    <m/>
    <m/>
    <m/>
    <m/>
    <m/>
    <s v="xga4600f"/>
    <m/>
    <m/>
    <m/>
    <s v="New Lease"/>
    <x v="4"/>
    <s v="1H2024"/>
    <x v="0"/>
    <n v="7437"/>
    <n v="33763.980000000003"/>
    <n v="46258.14"/>
    <n v="53100.18"/>
    <n v="59124.15"/>
    <n v="59124.15"/>
    <n v="59124.15"/>
    <n v="0"/>
    <n v="0"/>
    <n v="29748"/>
    <n v="7437"/>
    <n v="44622"/>
    <n v="59124.15"/>
    <n v="3.0804529113737789"/>
    <n v="182129.16000000003"/>
    <n v="75578.773693500116"/>
    <n v="0"/>
    <n v="29748"/>
    <n v="22311"/>
  </r>
  <r>
    <s v="3040 – 3050 E 14th Avenue"/>
    <x v="0"/>
    <m/>
    <m/>
    <m/>
    <x v="10"/>
    <n v="0"/>
    <s v="True World Foods"/>
    <n v="20"/>
    <n v="5893"/>
    <n v="909995"/>
    <n v="11518"/>
    <n v="0.10125769921812756"/>
    <n v="6.05"/>
    <n v="6.95"/>
    <n v="8.25"/>
    <n v="8"/>
    <n v="3.5"/>
    <n v="2.5"/>
    <n v="13.396447695942532"/>
    <m/>
    <n v="0"/>
    <n v="9"/>
    <n v="4780.3999999999996"/>
    <n v="5893"/>
    <m/>
    <n v="0"/>
    <n v="10673.4"/>
    <n v="79673.36"/>
    <x v="0"/>
    <d v="2024-01-30T00:00:00"/>
    <m/>
    <m/>
    <m/>
    <m/>
    <m/>
    <m/>
    <m/>
    <s v="xohcolu3"/>
    <m/>
    <m/>
    <m/>
    <s v="New Lease"/>
    <x v="4"/>
    <s v="1H2024"/>
    <x v="0"/>
    <n v="5893"/>
    <n v="35652.65"/>
    <n v="40956.35"/>
    <n v="48617.25"/>
    <n v="47144"/>
    <n v="47144"/>
    <n v="47144"/>
    <n v="0"/>
    <n v="0"/>
    <n v="0"/>
    <n v="5893"/>
    <n v="53037"/>
    <s v=""/>
    <n v="0"/>
    <n v="0"/>
    <n v="78945.266272189343"/>
    <n v="0"/>
    <n v="20625.5"/>
    <n v="14732.5"/>
  </r>
  <r>
    <s v="17-01 Pollitt Drive"/>
    <x v="0"/>
    <m/>
    <m/>
    <m/>
    <x v="3"/>
    <n v="0"/>
    <s v="Madina Industrial Corp"/>
    <n v="36"/>
    <n v="20994"/>
    <n v="18195181.870000001"/>
    <n v="105350"/>
    <n v="7.5269926389584366E-2"/>
    <n v="13"/>
    <n v="14"/>
    <n v="12.5"/>
    <n v="13"/>
    <n v="4"/>
    <n v="3"/>
    <n v="7.5000001173796376"/>
    <m/>
    <n v="15"/>
    <n v="0"/>
    <n v="63895.24"/>
    <s v=""/>
    <m/>
    <n v="0"/>
    <n v="63895.24"/>
    <n v="851936.52"/>
    <x v="0"/>
    <d v="2024-01-25T00:00:00"/>
    <m/>
    <m/>
    <m/>
    <m/>
    <m/>
    <m/>
    <m/>
    <s v="xnj17pol"/>
    <m/>
    <m/>
    <m/>
    <s v="New Lease"/>
    <x v="4"/>
    <s v="1H2024"/>
    <x v="1"/>
    <n v="20994"/>
    <n v="272922"/>
    <n v="293916"/>
    <n v="262425"/>
    <n v="272922"/>
    <n v="272922"/>
    <n v="272922"/>
    <n v="0"/>
    <n v="0"/>
    <n v="314910"/>
    <n v="20994"/>
    <n v="0"/>
    <s v=""/>
    <n v="0"/>
    <n v="0"/>
    <n v="157455.00246426812"/>
    <n v="0"/>
    <n v="83976"/>
    <n v="62982"/>
  </r>
  <r>
    <s v="6 Pearl Court"/>
    <x v="1"/>
    <m/>
    <m/>
    <m/>
    <x v="3"/>
    <n v="0"/>
    <s v="Biosil Technologies, Inc."/>
    <n v="61"/>
    <n v="5000"/>
    <n v="21984241.829999998"/>
    <n v="99919"/>
    <n v="7.4992965995771169E-2"/>
    <n v="14.65"/>
    <n v="16.36"/>
    <n v="16"/>
    <n v="16.5"/>
    <n v="4"/>
    <n v="3.5"/>
    <n v="14.109600468397135"/>
    <m/>
    <n v="0"/>
    <n v="0"/>
    <n v="31383.63"/>
    <n v="25000"/>
    <m/>
    <n v="6875"/>
    <n v="63258.630000000005"/>
    <n v="448337.5"/>
    <x v="1"/>
    <d v="2024-01-24T00:00:00"/>
    <m/>
    <m/>
    <m/>
    <m/>
    <m/>
    <m/>
    <m/>
    <s v="3nj00014"/>
    <m/>
    <m/>
    <m/>
    <s v="Renewal"/>
    <x v="4"/>
    <s v="1H2024"/>
    <x v="0"/>
    <n v="5000"/>
    <n v="73250"/>
    <n v="81800"/>
    <n v="80000"/>
    <n v="82500"/>
    <n v="82500"/>
    <n v="82500"/>
    <n v="0"/>
    <n v="0"/>
    <n v="0"/>
    <n v="0"/>
    <n v="0"/>
    <n v="82500"/>
    <n v="1"/>
    <n v="82500"/>
    <n v="70548.002341985673"/>
    <n v="0"/>
    <n v="20000"/>
    <n v="17500"/>
  </r>
  <r>
    <s v="8154 Bracken Creek Drive"/>
    <x v="1"/>
    <m/>
    <m/>
    <m/>
    <x v="11"/>
    <n v="0"/>
    <s v="Tormax USA, Inc"/>
    <n v="36"/>
    <n v="35510"/>
    <n v="4574707.03"/>
    <n v="60350"/>
    <n v="9.2344711307119479E-2"/>
    <n v="4.43"/>
    <n v="5.52"/>
    <n v="7.38"/>
    <n v="7"/>
    <n v="4"/>
    <n v="3"/>
    <n v="3.6180132969279932"/>
    <m/>
    <n v="0"/>
    <n v="9"/>
    <n v="28071.93"/>
    <s v=""/>
    <m/>
    <n v="0"/>
    <n v="28071.93"/>
    <n v="775893.5"/>
    <x v="0"/>
    <d v="2024-01-08T00:00:00"/>
    <m/>
    <m/>
    <m/>
    <m/>
    <m/>
    <m/>
    <m/>
    <s v="xtx8154b"/>
    <m/>
    <m/>
    <m/>
    <s v="Renewal"/>
    <x v="4"/>
    <s v="1H2024"/>
    <x v="1"/>
    <n v="35510"/>
    <n v="157309.29999999999"/>
    <n v="196015.19999999998"/>
    <n v="262063.8"/>
    <n v="248570"/>
    <n v="248570"/>
    <n v="248570"/>
    <n v="0"/>
    <n v="0"/>
    <n v="0"/>
    <n v="0"/>
    <n v="319590"/>
    <s v=""/>
    <n v="0"/>
    <n v="0"/>
    <n v="128475.65217391304"/>
    <n v="0"/>
    <n v="142040"/>
    <n v="106530"/>
  </r>
  <r>
    <s v="6704 Curtis - (Unit B) Equipment Share"/>
    <x v="0"/>
    <s v="Lease up"/>
    <s v="Lease up"/>
    <m/>
    <x v="8"/>
    <n v="0"/>
    <s v="EquipmentShare"/>
    <n v="60"/>
    <n v="11369"/>
    <m/>
    <m/>
    <m/>
    <m/>
    <n v="12.478999999999999"/>
    <n v="11"/>
    <n v="12.5"/>
    <n v="4"/>
    <n v="4"/>
    <n v="7.5384778559000001"/>
    <n v="29"/>
    <n v="18"/>
    <n v="6"/>
    <n v="46183"/>
    <n v="0"/>
    <n v="0"/>
    <n v="11842.71"/>
    <n v="58025.71"/>
    <n v="769727"/>
    <x v="1"/>
    <d v="2023-12-05T00:00:00"/>
    <m/>
    <m/>
    <m/>
    <m/>
    <m/>
    <m/>
    <m/>
    <s v="3md00002"/>
    <m/>
    <m/>
    <m/>
    <s v="New Lease"/>
    <x v="5"/>
    <s v="2H2023"/>
    <x v="0"/>
    <s v=""/>
    <s v=""/>
    <n v="141873.75099999999"/>
    <n v="125059"/>
    <s v=""/>
    <n v="142112.5"/>
    <s v=""/>
    <n v="0"/>
    <n v="0"/>
    <n v="204642"/>
    <n v="11369"/>
    <n v="68214"/>
    <n v="142112.5"/>
    <n v="1.0000001407335737"/>
    <n v="142112.51999999999"/>
    <n v="85704.954743727096"/>
    <n v="329701"/>
    <n v="45476"/>
    <n v="45476"/>
  </r>
  <r>
    <s v="128 Bauer - Black Walnut"/>
    <x v="0"/>
    <m/>
    <m/>
    <m/>
    <x v="3"/>
    <n v="0"/>
    <s v="Black Walnut"/>
    <n v="84"/>
    <n v="21142"/>
    <m/>
    <m/>
    <m/>
    <n v="8.25"/>
    <n v="12.87"/>
    <n v="13.5"/>
    <n v="13.75"/>
    <n v="4"/>
    <n v="3"/>
    <n v="12.047000000000001"/>
    <n v="17.61"/>
    <n v="15"/>
    <n v="6"/>
    <n v="178145.13"/>
    <n v="59555"/>
    <n v="0"/>
    <n v="48450.42"/>
    <n v="286150.55"/>
    <n v="2296054"/>
    <x v="0"/>
    <d v="2023-10-27T00:00:00"/>
    <m/>
    <m/>
    <m/>
    <m/>
    <m/>
    <m/>
    <m/>
    <s v="xnj128ba"/>
    <m/>
    <m/>
    <m/>
    <s v="New Lease"/>
    <x v="5"/>
    <s v="2H2023"/>
    <x v="1"/>
    <n v="21142"/>
    <n v="174421.5"/>
    <n v="272097.53999999998"/>
    <n v="285417"/>
    <n v="290702.5"/>
    <n v="290702.5"/>
    <n v="290702.5"/>
    <n v="0"/>
    <n v="0"/>
    <n v="317130"/>
    <n v="21142"/>
    <n v="126852"/>
    <n v="290702.5"/>
    <n v="2.0000001375977159"/>
    <n v="581405.04"/>
    <n v="254697.674"/>
    <n v="372310.62"/>
    <n v="84568"/>
    <n v="63426"/>
  </r>
  <r>
    <s v="10507 King William - Sky House Distribution"/>
    <x v="1"/>
    <m/>
    <m/>
    <m/>
    <x v="7"/>
    <n v="0"/>
    <s v="Sky House Distribution, Inc."/>
    <n v="68"/>
    <n v="5000"/>
    <m/>
    <m/>
    <m/>
    <n v="4.72"/>
    <n v="7.55"/>
    <n v="9"/>
    <n v="9"/>
    <n v="4"/>
    <n v="3"/>
    <n v="7.2499515011"/>
    <n v="4.5"/>
    <n v="0"/>
    <n v="0"/>
    <n v="12361.4"/>
    <n v="0"/>
    <n v="0"/>
    <n v="7554"/>
    <n v="19915.400000000001"/>
    <n v="279995"/>
    <x v="0"/>
    <d v="2023-11-30T00:00:00"/>
    <m/>
    <m/>
    <m/>
    <m/>
    <m/>
    <m/>
    <m/>
    <s v="xtx1050k"/>
    <m/>
    <m/>
    <m/>
    <s v="Renewal"/>
    <x v="5"/>
    <s v="2H2023"/>
    <x v="0"/>
    <n v="5000"/>
    <n v="23600"/>
    <n v="37750"/>
    <n v="45000"/>
    <n v="45000"/>
    <n v="45000"/>
    <n v="45000"/>
    <n v="0"/>
    <n v="0"/>
    <n v="0"/>
    <n v="0"/>
    <n v="0"/>
    <n v="45000"/>
    <n v="2.0144000000000002"/>
    <n v="90648.000000000015"/>
    <n v="36249.757505499998"/>
    <n v="22500"/>
    <n v="20000"/>
    <n v="15000"/>
  </r>
  <r>
    <s v="2005 Marietta (Brasfield &amp; Gorrie)"/>
    <x v="0"/>
    <s v="Re-tenant"/>
    <s v="Stabilized"/>
    <n v="0.11680000000000001"/>
    <x v="2"/>
    <s v="Yes"/>
    <s v="Brasfield Gorrie"/>
    <n v="25"/>
    <n v="15372"/>
    <m/>
    <m/>
    <m/>
    <n v="12.5"/>
    <n v="13.96"/>
    <n v="12.5"/>
    <n v="12.5"/>
    <n v="4"/>
    <n v="3"/>
    <n v="7.9215686275000001"/>
    <n v="10.87"/>
    <n v="1"/>
    <n v="6"/>
    <n v="31051.439999999999"/>
    <n v="0"/>
    <n v="0"/>
    <n v="0"/>
    <n v="31051.439999999999"/>
    <n v="408995"/>
    <x v="1"/>
    <d v="2023-11-27T00:00:00"/>
    <m/>
    <m/>
    <m/>
    <m/>
    <m/>
    <m/>
    <m/>
    <s v="3ga00004"/>
    <m/>
    <m/>
    <m/>
    <s v="New Lease"/>
    <x v="5"/>
    <s v="2H2023"/>
    <x v="0"/>
    <n v="15372"/>
    <n v="192150"/>
    <n v="214593.12000000002"/>
    <n v="192150"/>
    <n v="192150"/>
    <n v="192150"/>
    <n v="192150"/>
    <n v="0"/>
    <n v="0"/>
    <n v="15372"/>
    <n v="15372"/>
    <n v="92232"/>
    <s v=""/>
    <n v="0"/>
    <n v="0"/>
    <n v="121770.35294193"/>
    <n v="167093.63999999998"/>
    <n v="61488"/>
    <n v="46116"/>
  </r>
  <r>
    <s v="10501 King William - Sky House Distribution"/>
    <x v="1"/>
    <m/>
    <m/>
    <m/>
    <x v="7"/>
    <n v="0"/>
    <s v="Sky House Distribution, Inc."/>
    <n v="62"/>
    <n v="9961"/>
    <m/>
    <m/>
    <m/>
    <n v="4.96"/>
    <n v="7.55"/>
    <n v="9"/>
    <n v="9"/>
    <n v="4"/>
    <n v="3"/>
    <n v="12.8981122442"/>
    <n v="8.56"/>
    <n v="0"/>
    <n v="0"/>
    <n v="10955.05"/>
    <n v="13000"/>
    <n v="0"/>
    <n v="7441.5"/>
    <n v="31396.55"/>
    <n v="503451"/>
    <x v="0"/>
    <d v="2023-11-29T00:00:00"/>
    <m/>
    <m/>
    <m/>
    <m/>
    <m/>
    <m/>
    <m/>
    <s v="xtx1050k"/>
    <m/>
    <m/>
    <m/>
    <s v="Renewal"/>
    <x v="5"/>
    <s v="2H2023"/>
    <x v="0"/>
    <n v="9961"/>
    <n v="49406.559999999998"/>
    <n v="75205.55"/>
    <n v="89649"/>
    <n v="89649"/>
    <n v="89649"/>
    <n v="89649"/>
    <n v="0"/>
    <n v="0"/>
    <n v="0"/>
    <n v="0"/>
    <n v="0"/>
    <n v="89649"/>
    <n v="0.99608473044875012"/>
    <n v="89298"/>
    <n v="128478.09606447619"/>
    <n v="85266.16"/>
    <n v="39844"/>
    <n v="29883"/>
  </r>
  <r>
    <s v="6000 Irwin Road-PSE&amp;G"/>
    <x v="0"/>
    <m/>
    <m/>
    <m/>
    <x v="4"/>
    <n v="0"/>
    <s v="PSE&amp;G"/>
    <n v="48"/>
    <n v="46188"/>
    <m/>
    <m/>
    <m/>
    <m/>
    <n v="8.6300000000000008"/>
    <n v="12"/>
    <n v="12"/>
    <n v="4"/>
    <n v="3"/>
    <n v="6.8038694732999998"/>
    <n v="40.11"/>
    <n v="15"/>
    <n v="12"/>
    <n v="160145.43"/>
    <n v="0"/>
    <s v=""/>
    <n v="0"/>
    <n v="160145.43"/>
    <n v="2353628"/>
    <x v="0"/>
    <d v="2023-11-27T00:00:00"/>
    <m/>
    <m/>
    <m/>
    <m/>
    <m/>
    <m/>
    <m/>
    <s v="xnj6000i"/>
    <m/>
    <m/>
    <m/>
    <s v="New Lease"/>
    <x v="5"/>
    <s v="2H2023"/>
    <x v="1"/>
    <s v=""/>
    <s v=""/>
    <n v="398602.44000000006"/>
    <n v="554256"/>
    <s v=""/>
    <n v="554256"/>
    <s v=""/>
    <n v="0"/>
    <n v="0"/>
    <n v="692820"/>
    <n v="46188"/>
    <n v="554256"/>
    <s v=""/>
    <n v="0"/>
    <n v="0"/>
    <n v="314257.12323278037"/>
    <n v="1852600.68"/>
    <n v="184752"/>
    <n v="138564"/>
  </r>
  <r>
    <s v="3001 Irwin Road-Closet Factory"/>
    <x v="3"/>
    <m/>
    <m/>
    <m/>
    <x v="4"/>
    <n v="0"/>
    <s v="Closet Factory"/>
    <n v="120"/>
    <n v="12187"/>
    <m/>
    <m/>
    <m/>
    <m/>
    <n v="9.68"/>
    <n v="10"/>
    <n v="10"/>
    <n v="4"/>
    <n v="3"/>
    <n v="25.843332824600001"/>
    <n v="38.46"/>
    <n v="6"/>
    <n v="12"/>
    <n v="54289.03"/>
    <n v="250000"/>
    <s v=""/>
    <n v="46463.33"/>
    <n v="350752.36"/>
    <n v="4542871"/>
    <x v="0"/>
    <d v="2023-10-23T00:00:00"/>
    <m/>
    <m/>
    <m/>
    <m/>
    <m/>
    <m/>
    <m/>
    <s v="xnj3001i"/>
    <m/>
    <m/>
    <m/>
    <s v="New Lease"/>
    <x v="5"/>
    <s v="2H2023"/>
    <x v="0"/>
    <s v=""/>
    <s v=""/>
    <n v="117970.16"/>
    <n v="121870"/>
    <s v=""/>
    <n v="121870"/>
    <s v=""/>
    <n v="0"/>
    <n v="0"/>
    <n v="73122"/>
    <n v="12187"/>
    <n v="146244"/>
    <n v="121870"/>
    <n v="4.5750386477393947"/>
    <n v="557559.96000000008"/>
    <n v="314952.69713340019"/>
    <n v="468712.02"/>
    <n v="48748"/>
    <n v="36561"/>
  </r>
  <r>
    <s v="220 NJ-70- Simonik"/>
    <x v="0"/>
    <m/>
    <m/>
    <m/>
    <x v="4"/>
    <n v="0"/>
    <s v="Simonik"/>
    <n v="61"/>
    <n v="23545"/>
    <m/>
    <m/>
    <m/>
    <n v="8.94"/>
    <n v="6.06"/>
    <n v="8"/>
    <n v="8.75"/>
    <n v="4"/>
    <n v="2"/>
    <n v="7.8102882566999998"/>
    <n v="41.29"/>
    <n v="1"/>
    <n v="9"/>
    <n v="71615.360000000001"/>
    <s v=""/>
    <s v=""/>
    <n v="17168.23"/>
    <n v="88783.59"/>
    <n v="1136378"/>
    <x v="0"/>
    <d v="2023-11-15T00:00:00"/>
    <m/>
    <m/>
    <m/>
    <m/>
    <m/>
    <m/>
    <m/>
    <s v="xnj220r"/>
    <m/>
    <m/>
    <m/>
    <s v="New Lease"/>
    <x v="5"/>
    <s v="2H2023"/>
    <x v="1"/>
    <n v="23545"/>
    <n v="210492.3"/>
    <n v="142682.69999999998"/>
    <n v="188360"/>
    <n v="206018.75"/>
    <n v="206018.75"/>
    <n v="206018.75"/>
    <n v="0"/>
    <n v="0"/>
    <n v="23545"/>
    <n v="23545"/>
    <n v="211905"/>
    <n v="206018.75"/>
    <n v="1.0000000485392713"/>
    <n v="206018.75999999998"/>
    <n v="183893.23700400151"/>
    <n v="972173.04999999993"/>
    <n v="94180"/>
    <n v="47090"/>
  </r>
  <r>
    <s v="3471 Atlanta Industrial"/>
    <x v="2"/>
    <m/>
    <m/>
    <m/>
    <x v="2"/>
    <n v="0"/>
    <s v="Atlantic Chemical and Equipment Company"/>
    <n v="24"/>
    <n v="36072"/>
    <m/>
    <m/>
    <m/>
    <n v="6.73"/>
    <n v="7.47"/>
    <n v="7"/>
    <n v="7"/>
    <n v="3.5"/>
    <n v="3.5"/>
    <n v="0"/>
    <n v="0"/>
    <n v="0"/>
    <n v="0"/>
    <n v="0"/>
    <n v="0"/>
    <n v="0"/>
    <n v="0"/>
    <n v="0"/>
    <n v="513846"/>
    <x v="0"/>
    <d v="2023-11-21T00:00:00"/>
    <m/>
    <m/>
    <m/>
    <m/>
    <m/>
    <m/>
    <m/>
    <s v="xga3471a"/>
    <m/>
    <m/>
    <m/>
    <s v="Renewal"/>
    <x v="5"/>
    <s v="2H2023"/>
    <x v="1"/>
    <n v="36072"/>
    <n v="242764.56000000003"/>
    <n v="269457.83999999997"/>
    <n v="252504"/>
    <n v="252504"/>
    <n v="252504"/>
    <n v="252504"/>
    <n v="0"/>
    <n v="0"/>
    <n v="0"/>
    <n v="0"/>
    <n v="0"/>
    <s v=""/>
    <n v="0"/>
    <n v="0"/>
    <n v="0"/>
    <n v="0"/>
    <n v="126252"/>
    <n v="126252"/>
  </r>
  <r>
    <s v="9 S. Forrest Avenue- 911 SE"/>
    <x v="1"/>
    <s v="Renewal"/>
    <s v="Stabilized"/>
    <n v="4.1666666666666741E-2"/>
    <x v="4"/>
    <n v="0"/>
    <n v="911"/>
    <n v="36"/>
    <n v="13939"/>
    <m/>
    <m/>
    <m/>
    <n v="8.16"/>
    <n v="8.5"/>
    <n v="10"/>
    <n v="10"/>
    <n v="4"/>
    <n v="4"/>
    <n v="13.609224746000001"/>
    <n v="0"/>
    <n v="0"/>
    <n v="0"/>
    <n v="17407.02"/>
    <n v="18585.330000000002"/>
    <s v=""/>
    <n v="23231.67"/>
    <n v="59224.02"/>
    <n v="435120"/>
    <x v="1"/>
    <d v="2023-11-21T00:00:00"/>
    <m/>
    <m/>
    <m/>
    <m/>
    <m/>
    <m/>
    <m/>
    <s v="3pa00001"/>
    <m/>
    <m/>
    <m/>
    <s v="Renewal"/>
    <x v="5"/>
    <s v="2H2023"/>
    <x v="0"/>
    <n v="13939"/>
    <n v="113742.24"/>
    <n v="118481.5"/>
    <n v="139390"/>
    <n v="139390"/>
    <n v="139390"/>
    <n v="139390"/>
    <n v="0"/>
    <n v="0"/>
    <n v="0"/>
    <n v="0"/>
    <n v="0"/>
    <n v="139390"/>
    <n v="2.0000002869646312"/>
    <n v="278780.03999999992"/>
    <n v="189698.98373449402"/>
    <n v="0"/>
    <n v="55756"/>
    <n v="55756"/>
  </r>
  <r>
    <s v="920 NW 159 Drive"/>
    <x v="0"/>
    <s v="Lease up"/>
    <s v="Lease up"/>
    <m/>
    <x v="12"/>
    <n v="0"/>
    <s v="Krispy Kreme "/>
    <n v="182"/>
    <n v="32082"/>
    <m/>
    <m/>
    <m/>
    <m/>
    <n v="13.58"/>
    <n v="12.84"/>
    <n v="15"/>
    <n v="3.5"/>
    <n v="4"/>
    <n v="5.4"/>
    <n v="10.35"/>
    <n v="13"/>
    <n v="6"/>
    <n v="407949.72"/>
    <n v="0"/>
    <n v="0"/>
    <n v="93140.46"/>
    <n v="501090.18"/>
    <n v="9259506.8399999999"/>
    <x v="1"/>
    <d v="2023-12-12T00:00:00"/>
    <m/>
    <m/>
    <m/>
    <m/>
    <m/>
    <m/>
    <m/>
    <m/>
    <m/>
    <m/>
    <m/>
    <s v="New Lease"/>
    <x v="5"/>
    <s v="2H2023"/>
    <x v="1"/>
    <s v=""/>
    <s v=""/>
    <n v="435673.56"/>
    <n v="411932.88"/>
    <s v=""/>
    <n v="481230"/>
    <s v=""/>
    <n v="0"/>
    <n v="0"/>
    <n v="417066"/>
    <n v="32082"/>
    <n v="192492"/>
    <n v="481230"/>
    <n v="2.322559940153357"/>
    <n v="1117685.52"/>
    <n v="173242.80000000002"/>
    <n v="332048.7"/>
    <n v="112287"/>
    <n v="128328"/>
  </r>
  <r>
    <s v="3276 Democrat - Habegger Corp"/>
    <x v="0"/>
    <s v="Re-tenant"/>
    <s v="M2M"/>
    <n v="0.50825082508250841"/>
    <x v="1"/>
    <n v="0"/>
    <s v="Habegger"/>
    <n v="60"/>
    <n v="22500"/>
    <m/>
    <m/>
    <m/>
    <n v="3.03"/>
    <n v="4.57"/>
    <n v="4.84"/>
    <n v="5.35"/>
    <n v="3.5"/>
    <n v="3"/>
    <n v="24.7186011386"/>
    <n v="11"/>
    <n v="6"/>
    <n v="6"/>
    <n v="38731.5"/>
    <n v="45000"/>
    <n v="65802"/>
    <n v="10031.25"/>
    <n v="159564.75"/>
    <n v="645507"/>
    <x v="1"/>
    <d v="2023-10-19T00:00:00"/>
    <m/>
    <m/>
    <m/>
    <m/>
    <m/>
    <m/>
    <m/>
    <s v="3tn00003"/>
    <m/>
    <m/>
    <m/>
    <s v="New Lease"/>
    <x v="5"/>
    <s v="2H2023"/>
    <x v="1"/>
    <n v="22500"/>
    <n v="68175"/>
    <n v="102825"/>
    <n v="108900"/>
    <n v="120374.99999999999"/>
    <n v="120374.99999999999"/>
    <n v="120374.99999999999"/>
    <n v="0"/>
    <n v="0"/>
    <n v="135000"/>
    <n v="22500"/>
    <n v="135000"/>
    <n v="120374.99999999999"/>
    <n v="1.0000000000000002"/>
    <n v="120375.00000000001"/>
    <n v="556168.52561849996"/>
    <n v="247500"/>
    <n v="78750"/>
    <n v="67500"/>
  </r>
  <r>
    <s v="440 Benigno Blvd - Studio 9Eight, LLC"/>
    <x v="1"/>
    <m/>
    <m/>
    <m/>
    <x v="4"/>
    <n v="0"/>
    <s v="Studio 9Eight"/>
    <n v="60"/>
    <n v="2218"/>
    <m/>
    <m/>
    <m/>
    <n v="10.61"/>
    <n v="7.15"/>
    <n v="5"/>
    <n v="12.3"/>
    <n v="4"/>
    <n v="3"/>
    <n v="4.0000027353999998"/>
    <n v="22.71"/>
    <n v="0"/>
    <n v="0"/>
    <n v="5849.29"/>
    <n v="0"/>
    <n v="0"/>
    <n v="0"/>
    <n v="5849.29"/>
    <n v="147765"/>
    <x v="0"/>
    <d v="2023-10-03T00:00:00"/>
    <m/>
    <m/>
    <m/>
    <m/>
    <m/>
    <m/>
    <m/>
    <s v="xnj440be"/>
    <m/>
    <m/>
    <m/>
    <s v="Renewal"/>
    <x v="5"/>
    <s v="2H2023"/>
    <x v="0"/>
    <n v="2218"/>
    <n v="23532.98"/>
    <n v="15858.7"/>
    <n v="11090"/>
    <n v="27281.4"/>
    <n v="27281.4"/>
    <n v="27281.4"/>
    <n v="0"/>
    <n v="0"/>
    <n v="0"/>
    <n v="0"/>
    <n v="0"/>
    <s v=""/>
    <n v="0"/>
    <n v="0"/>
    <n v="8872.0060671171996"/>
    <n v="50370.78"/>
    <n v="8872"/>
    <n v="6654"/>
  </r>
  <r>
    <s v="12150 Shiloh - Tex-Sun Shade Specialties"/>
    <x v="1"/>
    <m/>
    <m/>
    <m/>
    <x v="7"/>
    <n v="0"/>
    <s v="Tex Sun Shade"/>
    <n v="60"/>
    <n v="11473"/>
    <m/>
    <m/>
    <m/>
    <n v="4.78"/>
    <n v="6.5"/>
    <n v="8.5"/>
    <n v="8.75"/>
    <n v="4.25"/>
    <n v="3"/>
    <n v="4.0000000731999998"/>
    <n v="8.4700000000000006"/>
    <n v="0"/>
    <n v="0"/>
    <n v="21858.36"/>
    <n v="0"/>
    <n v="0"/>
    <n v="0"/>
    <n v="21858.36"/>
    <n v="546461"/>
    <x v="0"/>
    <d v="2023-10-11T00:00:00"/>
    <m/>
    <m/>
    <m/>
    <m/>
    <m/>
    <m/>
    <m/>
    <s v="xtx12150"/>
    <m/>
    <m/>
    <m/>
    <s v="Renewal"/>
    <x v="5"/>
    <s v="2H2023"/>
    <x v="0"/>
    <n v="11473"/>
    <n v="54840.94"/>
    <n v="74574.5"/>
    <n v="97520.5"/>
    <n v="100388.75"/>
    <n v="100388.75"/>
    <n v="100388.75"/>
    <n v="0"/>
    <n v="0"/>
    <n v="0"/>
    <n v="0"/>
    <n v="0"/>
    <s v=""/>
    <n v="0"/>
    <n v="0"/>
    <n v="45892.000839823595"/>
    <n v="97176.310000000012"/>
    <n v="48760.25"/>
    <n v="34419"/>
  </r>
  <r>
    <s v="10511 King William Drive"/>
    <x v="0"/>
    <m/>
    <m/>
    <m/>
    <x v="7"/>
    <n v="0"/>
    <s v="Stone select LLC"/>
    <n v="60"/>
    <n v="5423"/>
    <m/>
    <m/>
    <m/>
    <n v="5.03"/>
    <n v="7.49"/>
    <n v="9"/>
    <n v="9"/>
    <n v="4"/>
    <n v="3"/>
    <n v="12.9435658026"/>
    <n v="21.2"/>
    <n v="5"/>
    <n v="6"/>
    <n v="17841.400000000001"/>
    <n v="16370.65"/>
    <n v="0"/>
    <n v="0"/>
    <n v="34212.050000000003"/>
    <n v="264354"/>
    <x v="0"/>
    <d v="2023-10-02T00:00:00"/>
    <m/>
    <m/>
    <m/>
    <m/>
    <m/>
    <m/>
    <m/>
    <s v="xtx1050k"/>
    <m/>
    <m/>
    <m/>
    <s v="New Lease"/>
    <x v="5"/>
    <s v="2H2023"/>
    <x v="0"/>
    <n v="5423"/>
    <n v="27277.690000000002"/>
    <n v="40618.270000000004"/>
    <n v="48807"/>
    <n v="48807"/>
    <n v="48807"/>
    <n v="48807"/>
    <n v="0"/>
    <n v="0"/>
    <n v="27115"/>
    <n v="5423"/>
    <n v="32538"/>
    <s v=""/>
    <n v="0"/>
    <n v="0"/>
    <n v="70192.957347499803"/>
    <n v="114967.59999999999"/>
    <n v="21692"/>
    <n v="16269"/>
  </r>
  <r>
    <s v="2005 Marietta (Gaylor Elec)"/>
    <x v="0"/>
    <s v="Re-tenant"/>
    <s v="Stabilized"/>
    <n v="0.11680000000000001"/>
    <x v="2"/>
    <s v="Yes"/>
    <s v="Gaylor Electric"/>
    <n v="25"/>
    <n v="11828"/>
    <m/>
    <m/>
    <m/>
    <n v="12.5"/>
    <n v="13.96"/>
    <n v="12.5"/>
    <n v="12.5"/>
    <n v="4"/>
    <n v="3"/>
    <n v="7.7556339980000004"/>
    <n v="10.87"/>
    <n v="1"/>
    <n v="6"/>
    <n v="24425.61"/>
    <n v="0"/>
    <n v="0"/>
    <n v="0"/>
    <n v="24425.61"/>
    <n v="314702"/>
    <x v="1"/>
    <d v="2023-11-27T00:00:00"/>
    <m/>
    <m/>
    <m/>
    <m/>
    <m/>
    <m/>
    <m/>
    <s v="3ga00004"/>
    <m/>
    <m/>
    <m/>
    <s v="New Lease"/>
    <x v="5"/>
    <s v="2H2023"/>
    <x v="0"/>
    <n v="11828"/>
    <n v="147850"/>
    <n v="165118.88"/>
    <n v="147850"/>
    <n v="147850"/>
    <n v="147850"/>
    <n v="147850"/>
    <n v="0"/>
    <n v="0"/>
    <n v="11828"/>
    <n v="11828"/>
    <n v="70968"/>
    <s v=""/>
    <n v="0"/>
    <n v="0"/>
    <n v="91733.638928344008"/>
    <n v="128570.35999999999"/>
    <n v="47312"/>
    <n v="35484"/>
  </r>
  <r>
    <s v="382 Circle Freeway Dr.- Trane"/>
    <x v="1"/>
    <m/>
    <m/>
    <m/>
    <x v="5"/>
    <n v="0"/>
    <s v="Trane U.S. Inc.(DSM)"/>
    <n v="60"/>
    <n v="47635"/>
    <m/>
    <m/>
    <m/>
    <n v="4.8099999999999996"/>
    <n v="5.56"/>
    <n v="6.55"/>
    <n v="6.78"/>
    <n v="3"/>
    <n v="1.9"/>
    <n v="6.4370526246999997"/>
    <n v="8.81"/>
    <n v="0"/>
    <n v="0"/>
    <n v="51985.120000000003"/>
    <n v="59500"/>
    <n v="0"/>
    <n v="0"/>
    <n v="111485.12"/>
    <n v="1714667"/>
    <x v="0"/>
    <d v="2023-11-03T00:00:00"/>
    <m/>
    <m/>
    <m/>
    <m/>
    <m/>
    <m/>
    <m/>
    <s v="xoh382c"/>
    <m/>
    <m/>
    <m/>
    <s v="Renewal"/>
    <x v="5"/>
    <s v="2H2023"/>
    <x v="1"/>
    <n v="47635"/>
    <n v="229124.34999999998"/>
    <n v="264850.59999999998"/>
    <n v="312009.25"/>
    <n v="322965.3"/>
    <n v="322965.3"/>
    <n v="322965.3"/>
    <n v="0"/>
    <n v="0"/>
    <n v="0"/>
    <n v="0"/>
    <n v="0"/>
    <s v=""/>
    <n v="0"/>
    <n v="0"/>
    <n v="306629.00177758449"/>
    <n v="419664.35000000003"/>
    <n v="142905"/>
    <n v="90506.5"/>
  </r>
  <r>
    <s v="2500 W Lake"/>
    <x v="1"/>
    <m/>
    <m/>
    <m/>
    <x v="0"/>
    <s v="Yes"/>
    <s v="A. Messe &amp; Sons Corp."/>
    <n v="44"/>
    <n v="13000"/>
    <m/>
    <m/>
    <m/>
    <n v="6.15"/>
    <n v="9.57"/>
    <n v="9.07"/>
    <n v="9.6199999999999992"/>
    <n v="5"/>
    <n v="3"/>
    <n v="4"/>
    <n v="9.52"/>
    <n v="0"/>
    <n v="0"/>
    <n v="0"/>
    <n v="0"/>
    <n v="0"/>
    <n v="21882"/>
    <n v="21882"/>
    <n v="489980"/>
    <x v="0"/>
    <d v="2023-11-03T00:00:00"/>
    <m/>
    <m/>
    <m/>
    <m/>
    <m/>
    <m/>
    <m/>
    <s v="xil2500w"/>
    <m/>
    <m/>
    <m/>
    <s v="Renewal"/>
    <x v="5"/>
    <s v="2H2023"/>
    <x v="0"/>
    <n v="13000"/>
    <n v="79950"/>
    <n v="124410"/>
    <n v="117910"/>
    <n v="125059.99999999999"/>
    <n v="125059.99999999999"/>
    <n v="125059.99999999999"/>
    <n v="0"/>
    <n v="0"/>
    <n v="0"/>
    <n v="0"/>
    <n v="0"/>
    <n v="125059.99999999999"/>
    <n v="2.099664161202623"/>
    <n v="262584"/>
    <n v="52000"/>
    <n v="123760"/>
    <n v="65000"/>
    <n v="39000"/>
  </r>
  <r>
    <s v="201 James St"/>
    <x v="0"/>
    <m/>
    <m/>
    <m/>
    <x v="0"/>
    <n v="0"/>
    <s v="Frontier Electric Supply "/>
    <n v="60"/>
    <n v="7020"/>
    <m/>
    <m/>
    <m/>
    <n v="8.25"/>
    <n v="8.7200000000000006"/>
    <n v="9"/>
    <n v="9.5"/>
    <n v="4"/>
    <n v="3"/>
    <n v="2"/>
    <n v="10"/>
    <n v="3"/>
    <n v="9"/>
    <n v="0"/>
    <n v="0"/>
    <n v="0"/>
    <n v="5557.5"/>
    <n v="5557.5"/>
    <n v="361215"/>
    <x v="0"/>
    <d v="2023-12-20T00:00:00"/>
    <m/>
    <m/>
    <m/>
    <m/>
    <m/>
    <m/>
    <m/>
    <s v="xil201ja"/>
    <m/>
    <m/>
    <m/>
    <s v="New Lease"/>
    <x v="5"/>
    <s v="2H2023"/>
    <x v="0"/>
    <n v="7020"/>
    <n v="57915"/>
    <n v="61214.400000000001"/>
    <n v="63180"/>
    <n v="66690"/>
    <n v="66690"/>
    <n v="66690"/>
    <n v="0"/>
    <n v="0"/>
    <n v="21060"/>
    <n v="7020"/>
    <n v="63180"/>
    <n v="66690"/>
    <n v="1"/>
    <n v="66690"/>
    <n v="14040"/>
    <n v="70200"/>
    <n v="28080"/>
    <n v="21060"/>
  </r>
  <r>
    <s v="9100 Pennsauken Highway"/>
    <x v="1"/>
    <m/>
    <m/>
    <m/>
    <x v="4"/>
    <n v="0"/>
    <s v="CS 9100, INC."/>
    <n v="60"/>
    <n v="47256"/>
    <m/>
    <m/>
    <m/>
    <n v="5.71"/>
    <n v="7.05"/>
    <n v="4.92"/>
    <n v="5.71"/>
    <n v="1"/>
    <n v="1"/>
    <n v="0"/>
    <n v="16.53"/>
    <n v="0"/>
    <n v="0"/>
    <n v="0"/>
    <n v="0"/>
    <n v="0"/>
    <n v="0"/>
    <n v="0"/>
    <n v="1376413"/>
    <x v="0"/>
    <d v="2023-10-06T00:00:00"/>
    <m/>
    <m/>
    <m/>
    <m/>
    <m/>
    <m/>
    <m/>
    <s v="xnj9100p"/>
    <m/>
    <m/>
    <m/>
    <s v="Renewal"/>
    <x v="5"/>
    <s v="2H2023"/>
    <x v="1"/>
    <n v="47256"/>
    <n v="269831.76"/>
    <n v="333154.8"/>
    <n v="232499.52"/>
    <n v="269831.76"/>
    <n v="269831.76"/>
    <n v="269831.76"/>
    <n v="0"/>
    <n v="0"/>
    <n v="0"/>
    <n v="0"/>
    <n v="0"/>
    <s v=""/>
    <n v="0"/>
    <n v="0"/>
    <n v="0"/>
    <n v="781141.68"/>
    <n v="47256"/>
    <n v="47256"/>
  </r>
  <r>
    <s v="8154 Bracken Creek - Dana Safety Supply"/>
    <x v="0"/>
    <m/>
    <m/>
    <m/>
    <x v="11"/>
    <n v="0"/>
    <s v="Dana Safety Supply, Inc."/>
    <n v="136"/>
    <n v="25100"/>
    <m/>
    <m/>
    <m/>
    <n v="4.43"/>
    <n v="5.36"/>
    <n v="7"/>
    <n v="10.4"/>
    <n v="3"/>
    <n v="3"/>
    <n v="26.75"/>
    <n v="32.36"/>
    <n v="5"/>
    <n v="12"/>
    <n v="216253.18"/>
    <n v="622818"/>
    <n v="0"/>
    <n v="87013.33"/>
    <n v="926084.50999999989"/>
    <n v="3462609"/>
    <x v="0"/>
    <d v="2023-08-03T00:00:00"/>
    <s v=""/>
    <s v=""/>
    <s v=""/>
    <s v=""/>
    <n v="7.5"/>
    <m/>
    <m/>
    <s v="xtx8154b"/>
    <m/>
    <m/>
    <m/>
    <s v="New Lease"/>
    <x v="6"/>
    <s v="2H2023"/>
    <x v="1"/>
    <n v="25100"/>
    <n v="111193"/>
    <n v="134536"/>
    <n v="175700"/>
    <n v="261040"/>
    <n v="261040"/>
    <n v="261040"/>
    <e v="#VALUE!"/>
    <e v="#VALUE!"/>
    <n v="125500"/>
    <n v="25100"/>
    <n v="301200"/>
    <n v="261040"/>
    <n v="3.9999998467667792"/>
    <n v="1044159.9600000002"/>
    <n v="671425"/>
    <n v="812236"/>
    <n v="75300"/>
    <n v="75300"/>
  </r>
  <r>
    <s v="59 Chambers Brook Road, NJ - ADT"/>
    <x v="1"/>
    <m/>
    <m/>
    <m/>
    <x v="4"/>
    <n v="0"/>
    <s v="ADT"/>
    <n v="36"/>
    <n v="10272"/>
    <m/>
    <m/>
    <m/>
    <n v="12.26"/>
    <n v="13.2"/>
    <n v="12.98"/>
    <n v="14"/>
    <n v="4"/>
    <n v="3"/>
    <n v="7.7425098765999998"/>
    <n v="13.41"/>
    <n v="0"/>
    <n v="0"/>
    <n v="21845.119999999999"/>
    <n v="0"/>
    <n v="0"/>
    <n v="11984"/>
    <n v="33829.120000000003"/>
    <n v="448911"/>
    <x v="0"/>
    <d v="2023-09-21T00:00:00"/>
    <m/>
    <m/>
    <m/>
    <m/>
    <m/>
    <m/>
    <m/>
    <s v="xnj59cha"/>
    <m/>
    <m/>
    <m/>
    <s v="Renewal"/>
    <x v="6"/>
    <s v="2H2023"/>
    <x v="0"/>
    <n v="10272"/>
    <n v="125934.72"/>
    <n v="135590.39999999999"/>
    <n v="133330.56"/>
    <n v="143808"/>
    <n v="143808"/>
    <n v="143808"/>
    <n v="0"/>
    <n v="0"/>
    <n v="0"/>
    <n v="0"/>
    <n v="0"/>
    <n v="143808"/>
    <n v="1"/>
    <n v="143808"/>
    <n v="79531.061452435199"/>
    <n v="137747.51999999999"/>
    <n v="41088"/>
    <n v="30816"/>
  </r>
  <r>
    <s v="1688 Glen Ellyn Rd - KKSP"/>
    <x v="2"/>
    <m/>
    <m/>
    <m/>
    <x v="0"/>
    <n v="0"/>
    <s v="KKSP"/>
    <n v="60"/>
    <n v="169608"/>
    <m/>
    <m/>
    <m/>
    <n v="4.5599999999999996"/>
    <n v="5.58"/>
    <n v="4.37"/>
    <n v="4.37"/>
    <n v="2.25"/>
    <n v="2"/>
    <n v="2.9999998349000001"/>
    <n v="3.2"/>
    <n v="0"/>
    <n v="0"/>
    <n v="58158.58"/>
    <n v="0"/>
    <n v="0"/>
    <n v="0"/>
    <n v="58158.58"/>
    <n v="3876497"/>
    <x v="0"/>
    <d v="2023-08-22T00:00:00"/>
    <m/>
    <m/>
    <m/>
    <m/>
    <m/>
    <m/>
    <m/>
    <s v="xil1688"/>
    <m/>
    <m/>
    <m/>
    <s v="Renewal"/>
    <x v="6"/>
    <s v="2H2023"/>
    <x v="2"/>
    <n v="169608"/>
    <n v="773412.48"/>
    <n v="946412.64"/>
    <n v="741186.96"/>
    <n v="741186.96"/>
    <n v="741186.96"/>
    <n v="741186.96"/>
    <n v="0"/>
    <n v="0"/>
    <n v="0"/>
    <n v="0"/>
    <n v="0"/>
    <s v=""/>
    <n v="0"/>
    <n v="0"/>
    <n v="508823.9719977192"/>
    <n v="542745.59999999998"/>
    <n v="381618"/>
    <n v="339216"/>
  </r>
  <r>
    <s v="800 Greenleaf - Mid America Safety"/>
    <x v="1"/>
    <s v="Renewal"/>
    <s v="M2M"/>
    <n v="0.35527589545014515"/>
    <x v="0"/>
    <n v="0"/>
    <s v="Mid America Safety"/>
    <n v="37"/>
    <n v="9250"/>
    <m/>
    <m/>
    <m/>
    <n v="5.165"/>
    <n v="7"/>
    <n v="8"/>
    <n v="9"/>
    <n v="4"/>
    <n v="3.5"/>
    <n v="12.7884291262"/>
    <n v="0"/>
    <n v="0"/>
    <n v="0"/>
    <n v="7796.2"/>
    <n v="18500"/>
    <n v="0"/>
    <n v="6937.5"/>
    <n v="33233.699999999997"/>
    <n v="267537"/>
    <x v="1"/>
    <d v="2023-07-03T00:00:00"/>
    <m/>
    <m/>
    <m/>
    <m/>
    <m/>
    <m/>
    <m/>
    <s v="3il00007"/>
    <m/>
    <m/>
    <m/>
    <s v="Renewal"/>
    <x v="6"/>
    <s v="2H2023"/>
    <x v="0"/>
    <n v="9250"/>
    <n v="47776.25"/>
    <n v="64750"/>
    <n v="74000"/>
    <n v="83250"/>
    <n v="83250"/>
    <n v="83250"/>
    <n v="0"/>
    <n v="0"/>
    <n v="0"/>
    <n v="0"/>
    <n v="0"/>
    <n v="83250"/>
    <n v="1"/>
    <n v="83250"/>
    <n v="118292.96941735"/>
    <n v="0"/>
    <n v="37000"/>
    <n v="32375"/>
  </r>
  <r>
    <s v="305 E North Ave - THE MCALEAR GROUP, INC"/>
    <x v="0"/>
    <m/>
    <m/>
    <m/>
    <x v="0"/>
    <n v="0"/>
    <s v="The McAlear Group"/>
    <n v="87"/>
    <n v="32838"/>
    <m/>
    <m/>
    <m/>
    <n v="5.52"/>
    <n v="6.61"/>
    <n v="8"/>
    <n v="8.5"/>
    <n v="4"/>
    <n v="3"/>
    <n v="13.273840482500001"/>
    <n v="24.48"/>
    <n v="0"/>
    <n v="0"/>
    <n v="154286.95000000001"/>
    <n v="68500"/>
    <n v="0"/>
    <n v="69780"/>
    <n v="292566.95"/>
    <n v="2295076"/>
    <x v="0"/>
    <d v="2023-07-03T00:00:00"/>
    <m/>
    <m/>
    <m/>
    <m/>
    <m/>
    <m/>
    <m/>
    <s v="xil305e"/>
    <m/>
    <m/>
    <m/>
    <s v="New Lease"/>
    <x v="6"/>
    <s v="2H2023"/>
    <x v="1"/>
    <n v="32838"/>
    <n v="181265.75999999998"/>
    <n v="217059.18000000002"/>
    <n v="262704"/>
    <n v="279123"/>
    <n v="279123"/>
    <n v="279123"/>
    <n v="0"/>
    <n v="0"/>
    <n v="0"/>
    <n v="32838"/>
    <n v="0"/>
    <n v="279123"/>
    <n v="2.9999677561505145"/>
    <n v="837360"/>
    <n v="435886.373764335"/>
    <n v="803874.24"/>
    <n v="131352"/>
    <n v="98514"/>
  </r>
  <r>
    <s v="802 Greenleaf - Krishiv Foods"/>
    <x v="1"/>
    <s v="Renewal"/>
    <s v="M2M"/>
    <n v="0.39860139860139876"/>
    <x v="0"/>
    <n v="0"/>
    <s v="Krishiv Foods"/>
    <n v="37"/>
    <n v="18500"/>
    <m/>
    <m/>
    <m/>
    <n v="5.72"/>
    <n v="8"/>
    <n v="8"/>
    <n v="9"/>
    <n v="3.5"/>
    <n v="3.125"/>
    <n v="7.1827827821000003"/>
    <n v="19.600000000000001"/>
    <n v="0"/>
    <n v="0"/>
    <n v="11636.69"/>
    <n v="0"/>
    <n v="0"/>
    <n v="6937.5"/>
    <n v="18574.189999999999"/>
    <n v="532329"/>
    <x v="1"/>
    <d v="2023-07-24T00:00:00"/>
    <m/>
    <m/>
    <m/>
    <m/>
    <m/>
    <m/>
    <m/>
    <s v="3il00007"/>
    <m/>
    <m/>
    <m/>
    <s v="Renewal"/>
    <x v="6"/>
    <s v="2H2023"/>
    <x v="0"/>
    <n v="18500"/>
    <n v="105820"/>
    <n v="148000"/>
    <n v="148000"/>
    <n v="166500"/>
    <n v="166500"/>
    <n v="166500"/>
    <n v="0"/>
    <n v="0"/>
    <n v="0"/>
    <n v="0"/>
    <n v="0"/>
    <n v="166500"/>
    <n v="0.5"/>
    <n v="83250"/>
    <n v="132881.48146885002"/>
    <n v="362600"/>
    <n v="64750"/>
    <n v="57812.5"/>
  </r>
  <r>
    <s v="231 James - Skala Manufacuring"/>
    <x v="0"/>
    <m/>
    <m/>
    <m/>
    <x v="0"/>
    <n v="0"/>
    <s v="Skala Manufacturing"/>
    <n v="36"/>
    <n v="2139"/>
    <m/>
    <m/>
    <m/>
    <n v="6.32"/>
    <n v="8.51"/>
    <n v="9"/>
    <n v="10"/>
    <n v="4"/>
    <n v="4"/>
    <n v="6.0000023959000002"/>
    <n v="23.28"/>
    <n v="2"/>
    <n v="0"/>
    <n v="4006.78"/>
    <n v="0"/>
    <n v="0"/>
    <n v="0"/>
    <n v="4006.78"/>
    <n v="66771"/>
    <x v="0"/>
    <d v="2023-07-31T00:00:00"/>
    <m/>
    <m/>
    <m/>
    <m/>
    <m/>
    <m/>
    <m/>
    <s v="xil231ja"/>
    <m/>
    <m/>
    <m/>
    <s v="New Lease"/>
    <x v="6"/>
    <s v="2H2023"/>
    <x v="0"/>
    <n v="2139"/>
    <n v="13518.480000000001"/>
    <n v="18202.89"/>
    <n v="19251"/>
    <n v="21390"/>
    <n v="21390"/>
    <n v="21390"/>
    <n v="0"/>
    <n v="0"/>
    <n v="4278"/>
    <n v="2139"/>
    <n v="0"/>
    <s v=""/>
    <n v="0"/>
    <n v="0"/>
    <n v="12834.005124830101"/>
    <n v="49795.920000000006"/>
    <n v="8556"/>
    <n v="8556"/>
  </r>
  <r>
    <s v="1 Territorial Ct - Turbo Systems"/>
    <x v="1"/>
    <m/>
    <m/>
    <m/>
    <x v="0"/>
    <n v="0"/>
    <s v="Turbo Systems US Inc."/>
    <n v="60"/>
    <n v="52403"/>
    <m/>
    <m/>
    <m/>
    <n v="7.56"/>
    <n v="7.16"/>
    <n v="8.5"/>
    <n v="8.58"/>
    <n v="4"/>
    <n v="3"/>
    <n v="8.5740364049999993"/>
    <n v="10.7"/>
    <n v="0"/>
    <n v="0"/>
    <n v="80401.78"/>
    <n v="44002"/>
    <n v="0"/>
    <n v="47192.160000000003"/>
    <n v="171595.94"/>
    <n v="2435275"/>
    <x v="0"/>
    <d v="2023-09-01T00:00:00"/>
    <m/>
    <m/>
    <m/>
    <m/>
    <m/>
    <m/>
    <m/>
    <s v="xil1terr"/>
    <m/>
    <m/>
    <m/>
    <s v="Renewal"/>
    <x v="6"/>
    <s v="2H2023"/>
    <x v="3"/>
    <n v="52403"/>
    <n v="396166.68"/>
    <n v="375205.48"/>
    <n v="445425.5"/>
    <n v="449617.74"/>
    <n v="449617.74"/>
    <n v="449617.74"/>
    <n v="0"/>
    <n v="0"/>
    <n v="0"/>
    <n v="0"/>
    <n v="0"/>
    <n v="449617.74"/>
    <n v="1.2595275266496382"/>
    <n v="566305.92000000016"/>
    <n v="449305.22973121499"/>
    <n v="560712.1"/>
    <n v="209612"/>
    <n v="157209"/>
  </r>
  <r>
    <s v="3276 Democrat rd suite 4-5 - Penske"/>
    <x v="0"/>
    <s v="Re-tenant"/>
    <s v="M2M"/>
    <n v="0.3569321533923302"/>
    <x v="1"/>
    <n v="0"/>
    <s v="Penske"/>
    <n v="36"/>
    <n v="15000"/>
    <m/>
    <m/>
    <m/>
    <n v="3.39"/>
    <n v="4.5999999999999996"/>
    <n v="5"/>
    <n v="5.2"/>
    <n v="3.5"/>
    <n v="3"/>
    <n v="6"/>
    <n v="6"/>
    <n v="4"/>
    <n v="6"/>
    <n v="14535"/>
    <n v="0"/>
    <n v="0"/>
    <n v="0"/>
    <n v="14535"/>
    <n v="242286"/>
    <x v="1"/>
    <d v="2023-08-25T00:00:00"/>
    <m/>
    <m/>
    <m/>
    <m/>
    <m/>
    <m/>
    <m/>
    <s v="3tn00003"/>
    <m/>
    <m/>
    <m/>
    <s v="New Lease"/>
    <x v="6"/>
    <s v="2H2023"/>
    <x v="0"/>
    <n v="15000"/>
    <n v="50850"/>
    <n v="69000"/>
    <n v="75000"/>
    <n v="78000"/>
    <n v="78000"/>
    <n v="78000"/>
    <n v="0"/>
    <n v="0"/>
    <n v="60000"/>
    <n v="15000"/>
    <n v="90000"/>
    <s v=""/>
    <n v="0"/>
    <n v="0"/>
    <n v="90000"/>
    <n v="90000"/>
    <n v="52500"/>
    <n v="45000"/>
  </r>
  <r>
    <s v="4728 Goldfield Buildings 1&amp;2 - DFW Movers &amp; Erectors Inc."/>
    <x v="1"/>
    <m/>
    <m/>
    <m/>
    <x v="11"/>
    <n v="0"/>
    <s v="DFW Movers &amp; Erectors Inc."/>
    <n v="60"/>
    <n v="16490"/>
    <m/>
    <m/>
    <m/>
    <n v="7.03"/>
    <n v="7.41"/>
    <n v="8.75"/>
    <n v="8.75"/>
    <n v="4"/>
    <n v="3"/>
    <n v="8.1346222011999991"/>
    <n v="6.85"/>
    <n v="0"/>
    <n v="0"/>
    <n v="33568.9"/>
    <n v="30000"/>
    <n v="0"/>
    <n v="0"/>
    <n v="63568.9"/>
    <n v="781508"/>
    <x v="0"/>
    <d v="2023-08-31T00:00:00"/>
    <m/>
    <m/>
    <m/>
    <m/>
    <m/>
    <m/>
    <m/>
    <s v="xtxritti"/>
    <m/>
    <m/>
    <m/>
    <s v="Renewal"/>
    <x v="6"/>
    <s v="2H2023"/>
    <x v="0"/>
    <n v="16490"/>
    <n v="115924.7"/>
    <n v="122190.90000000001"/>
    <n v="144287.5"/>
    <n v="144287.5"/>
    <n v="144287.5"/>
    <n v="144287.5"/>
    <n v="0"/>
    <n v="0"/>
    <n v="0"/>
    <n v="0"/>
    <n v="0"/>
    <s v=""/>
    <n v="0"/>
    <n v="0"/>
    <n v="134139.92009778798"/>
    <n v="112956.5"/>
    <n v="65960"/>
    <n v="49470"/>
  </r>
  <r>
    <s v="800 Wharton (Formations Studio, renewal)"/>
    <x v="1"/>
    <m/>
    <m/>
    <m/>
    <x v="2"/>
    <n v="0"/>
    <s v="Formations Studio LLC"/>
    <n v="30"/>
    <n v="1600"/>
    <m/>
    <m/>
    <m/>
    <n v="4.75"/>
    <n v="4.84"/>
    <n v="5.25"/>
    <n v="5.25"/>
    <n v="4"/>
    <n v="3.5"/>
    <n v="0"/>
    <n v="11.41"/>
    <n v="0"/>
    <n v="0"/>
    <n v="0"/>
    <n v="0"/>
    <n v="0"/>
    <n v="0"/>
    <n v="0"/>
    <n v="21634"/>
    <x v="0"/>
    <d v="2023-08-29T00:00:00"/>
    <m/>
    <m/>
    <m/>
    <m/>
    <m/>
    <m/>
    <m/>
    <s v="xga800wh"/>
    <m/>
    <m/>
    <m/>
    <s v="Renewal"/>
    <x v="6"/>
    <s v="2H2023"/>
    <x v="0"/>
    <n v="1600"/>
    <n v="7600"/>
    <n v="7744"/>
    <n v="8400"/>
    <n v="8400"/>
    <n v="8400"/>
    <n v="8400"/>
    <n v="0"/>
    <n v="0"/>
    <n v="0"/>
    <n v="0"/>
    <n v="0"/>
    <s v=""/>
    <n v="0"/>
    <n v="0"/>
    <n v="0"/>
    <n v="18256"/>
    <n v="6400"/>
    <n v="5600"/>
  </r>
  <r>
    <s v="10515 King William - AMG Stone Inc"/>
    <x v="0"/>
    <m/>
    <m/>
    <m/>
    <x v="7"/>
    <n v="0"/>
    <s v="AMG Stone Inc."/>
    <n v="36"/>
    <n v="6635"/>
    <m/>
    <m/>
    <m/>
    <n v="4.13"/>
    <n v="7.44"/>
    <n v="9"/>
    <n v="9"/>
    <n v="4"/>
    <n v="3"/>
    <n v="6.74"/>
    <n v="21.23"/>
    <n v="5"/>
    <n v="6"/>
    <n v="12580.45"/>
    <n v="0"/>
    <n v="0"/>
    <n v="0"/>
    <n v="12580.45"/>
    <n v="186406"/>
    <x v="0"/>
    <d v="2023-08-14T00:00:00"/>
    <m/>
    <m/>
    <m/>
    <m/>
    <m/>
    <m/>
    <m/>
    <s v="xtx1050k"/>
    <m/>
    <m/>
    <m/>
    <s v="New Lease"/>
    <x v="6"/>
    <s v="2H2023"/>
    <x v="0"/>
    <n v="6635"/>
    <n v="27402.55"/>
    <n v="49364.4"/>
    <n v="59715"/>
    <n v="59715"/>
    <n v="59715"/>
    <n v="59715"/>
    <n v="0"/>
    <n v="0"/>
    <n v="33175"/>
    <n v="6635"/>
    <n v="39810"/>
    <s v=""/>
    <n v="0"/>
    <n v="0"/>
    <n v="44719.9"/>
    <n v="140861.04999999999"/>
    <n v="26540"/>
    <n v="19905"/>
  </r>
  <r>
    <s v="4535 McEwen - Consolidated Clothiers"/>
    <x v="1"/>
    <s v="Renewal"/>
    <s v="M2M"/>
    <n v="0.7093235831809872"/>
    <x v="7"/>
    <n v="0"/>
    <s v="Consolidated Clothiers Inc."/>
    <n v="61"/>
    <n v="15260"/>
    <m/>
    <m/>
    <m/>
    <n v="5.47"/>
    <n v="9.35"/>
    <n v="9.65"/>
    <n v="9.65"/>
    <n v="3"/>
    <n v="3"/>
    <n v="9.4"/>
    <n v="10.039999999999999"/>
    <n v="0"/>
    <n v="0"/>
    <n v="35193.379999999997"/>
    <n v="25000"/>
    <n v="0"/>
    <n v="12171.58"/>
    <n v="72364.960000000006"/>
    <n v="795852"/>
    <x v="1"/>
    <d v="2023-08-11T00:00:00"/>
    <m/>
    <m/>
    <m/>
    <m/>
    <m/>
    <m/>
    <m/>
    <s v="3tx00012"/>
    <m/>
    <m/>
    <m/>
    <s v="Renewal"/>
    <x v="6"/>
    <s v="2H2023"/>
    <x v="0"/>
    <n v="15260"/>
    <n v="83472.2"/>
    <n v="142681"/>
    <n v="147259"/>
    <n v="147259"/>
    <n v="147259"/>
    <n v="147259"/>
    <n v="0"/>
    <n v="0"/>
    <n v="0"/>
    <n v="0"/>
    <n v="0"/>
    <n v="147259"/>
    <n v="0.99185082066291363"/>
    <n v="146058.96000000002"/>
    <n v="143444"/>
    <n v="153210.4"/>
    <n v="45780"/>
    <n v="45780"/>
  </r>
  <r>
    <s v="2060 N Integrity Dr.- Ross Restoration- 17,000 sqft"/>
    <x v="0"/>
    <s v="Re-tenant"/>
    <s v="Stabilized"/>
    <n v="0.16666666666666674"/>
    <x v="10"/>
    <n v="0"/>
    <s v="Ross Restoration"/>
    <n v="61"/>
    <n v="17000"/>
    <m/>
    <m/>
    <m/>
    <n v="4.5"/>
    <n v="5.25"/>
    <n v="8"/>
    <n v="8.1"/>
    <n v="4"/>
    <n v="3"/>
    <n v="12.35"/>
    <n v="19.66"/>
    <n v="1"/>
    <n v="9"/>
    <n v="63938.7"/>
    <n v="17000"/>
    <n v="0"/>
    <n v="11475"/>
    <n v="92413.7"/>
    <n v="759539"/>
    <x v="1"/>
    <d v="2023-07-03T00:00:00"/>
    <m/>
    <m/>
    <m/>
    <m/>
    <n v="8"/>
    <m/>
    <m/>
    <s v="3oh00001"/>
    <m/>
    <m/>
    <m/>
    <s v="New Lease"/>
    <x v="6"/>
    <s v="2H2023"/>
    <x v="0"/>
    <n v="17000"/>
    <n v="76500"/>
    <n v="89250"/>
    <n v="136000"/>
    <n v="137700"/>
    <n v="137700"/>
    <n v="137700"/>
    <n v="0"/>
    <n v="0"/>
    <n v="17000"/>
    <n v="17000"/>
    <n v="153000"/>
    <n v="137700"/>
    <n v="1"/>
    <n v="137700"/>
    <n v="209950"/>
    <n v="334220"/>
    <n v="68000"/>
    <n v="51000"/>
  </r>
  <r>
    <s v="5070 Minola (New Tenant, Ashanti, LCD 8/1)"/>
    <x v="0"/>
    <m/>
    <m/>
    <m/>
    <x v="2"/>
    <n v="0"/>
    <s v="Ashanti Films"/>
    <n v="63"/>
    <n v="48276"/>
    <m/>
    <m/>
    <m/>
    <m/>
    <n v="4.1900000000000004"/>
    <n v="5.3"/>
    <n v="5.75"/>
    <n v="4"/>
    <n v="3"/>
    <n v="11.990710249922008"/>
    <n v="25.12"/>
    <n v="4"/>
    <n v="9"/>
    <n v="120860"/>
    <n v="0"/>
    <n v="0"/>
    <n v="69396"/>
    <n v="190256"/>
    <n v="1586695"/>
    <x v="0"/>
    <d v="2023-07-04T00:00:00"/>
    <s v=""/>
    <s v=""/>
    <s v=""/>
    <s v=""/>
    <n v="7"/>
    <m/>
    <m/>
    <s v="xga5070"/>
    <m/>
    <m/>
    <m/>
    <s v="New Lease"/>
    <x v="6"/>
    <s v="2H2023"/>
    <x v="1"/>
    <s v=""/>
    <s v=""/>
    <n v="202276.44000000003"/>
    <n v="255862.8"/>
    <s v=""/>
    <n v="277587"/>
    <s v=""/>
    <e v="#VALUE!"/>
    <e v="#VALUE!"/>
    <n v="193104"/>
    <n v="48276"/>
    <n v="434484"/>
    <n v="277587"/>
    <n v="2.9999675777323866"/>
    <n v="832752"/>
    <n v="578863.52802523493"/>
    <n v="1212693.1200000001"/>
    <n v="193104"/>
    <n v="144828"/>
  </r>
  <r>
    <s v="9330 Ind Trace (Myers Tire Renewal)"/>
    <x v="1"/>
    <m/>
    <m/>
    <m/>
    <x v="2"/>
    <n v="0"/>
    <s v="Myers Tire"/>
    <n v="60"/>
    <n v="22500"/>
    <m/>
    <m/>
    <m/>
    <n v="5.67"/>
    <n v="6.23"/>
    <n v="6.08"/>
    <n v="8"/>
    <n v="3"/>
    <n v="3"/>
    <n v="13.301606037394679"/>
    <n v="2.7"/>
    <n v="0"/>
    <n v="0"/>
    <n v="77116"/>
    <n v="50000"/>
    <n v="0"/>
    <n v="0"/>
    <n v="127116"/>
    <n v="955644"/>
    <x v="0"/>
    <d v="2023-07-03T00:00:00"/>
    <n v="6"/>
    <s v=""/>
    <n v="25"/>
    <s v=""/>
    <n v="8.6"/>
    <m/>
    <m/>
    <s v="xga9330"/>
    <m/>
    <m/>
    <m/>
    <s v="Renewal"/>
    <x v="6"/>
    <s v="2H2023"/>
    <x v="1"/>
    <n v="22500"/>
    <n v="127575"/>
    <n v="140175"/>
    <n v="136800"/>
    <n v="180000"/>
    <n v="180000"/>
    <n v="180000"/>
    <n v="135000"/>
    <e v="#VALUE!"/>
    <n v="0"/>
    <n v="0"/>
    <n v="0"/>
    <s v=""/>
    <n v="0"/>
    <n v="0"/>
    <n v="299286.13584138028"/>
    <n v="60750.000000000007"/>
    <n v="67500"/>
    <n v="67500"/>
  </r>
  <r>
    <s v="4255 Mcever (Trussway, renewal per option)"/>
    <x v="2"/>
    <m/>
    <m/>
    <m/>
    <x v="2"/>
    <n v="0"/>
    <s v="Trussway LTD"/>
    <n v="61"/>
    <n v="45376"/>
    <m/>
    <m/>
    <m/>
    <n v="6"/>
    <n v="6.36"/>
    <n v="6.18"/>
    <n v="5.91"/>
    <n v="4"/>
    <n v="3"/>
    <n v="15.751919605735493"/>
    <n v="15.06"/>
    <n v="0"/>
    <n v="0"/>
    <n v="118459.97"/>
    <n v="92197"/>
    <n v="0"/>
    <n v="22347"/>
    <n v="233003.97"/>
    <n v="1479210"/>
    <x v="0"/>
    <d v="2023-07-06T00:00:00"/>
    <s v=""/>
    <s v=""/>
    <s v=""/>
    <s v=""/>
    <n v="7.4"/>
    <m/>
    <m/>
    <s v="xgamc255"/>
    <m/>
    <m/>
    <m/>
    <s v="Renewal"/>
    <x v="6"/>
    <s v="2H2023"/>
    <x v="1"/>
    <n v="45376"/>
    <n v="272256"/>
    <n v="288591.35999999999"/>
    <n v="280423.67999999999"/>
    <n v="268172.16000000003"/>
    <n v="268172.16000000003"/>
    <n v="268172.16000000003"/>
    <e v="#VALUE!"/>
    <e v="#VALUE!"/>
    <n v="0"/>
    <n v="0"/>
    <n v="0"/>
    <n v="268172.16000000003"/>
    <n v="0.99996957178552748"/>
    <n v="268163.99999999994"/>
    <n v="714759.10402985371"/>
    <n v="683362.56"/>
    <n v="181504"/>
    <n v="136128"/>
  </r>
  <r>
    <s v="4260 McEver (Trussway, M2M renewal)"/>
    <x v="1"/>
    <m/>
    <m/>
    <m/>
    <x v="2"/>
    <n v="0"/>
    <s v="Trussway LTD"/>
    <n v="61"/>
    <n v="16704"/>
    <m/>
    <m/>
    <m/>
    <n v="7.62"/>
    <n v="8.2200000000000006"/>
    <n v="7.98"/>
    <n v="10.5"/>
    <n v="4"/>
    <n v="3"/>
    <n v="13.027326646296839"/>
    <n v="13.72"/>
    <n v="0"/>
    <n v="0"/>
    <n v="77476.09"/>
    <n v="33940"/>
    <n v="0"/>
    <n v="14616"/>
    <n v="126032.09"/>
    <n v="967444"/>
    <x v="0"/>
    <d v="2023-07-06T00:00:00"/>
    <s v=""/>
    <s v=""/>
    <s v=""/>
    <s v=""/>
    <n v="7.4"/>
    <m/>
    <m/>
    <s v="xgamc260"/>
    <m/>
    <m/>
    <m/>
    <s v="Renewal"/>
    <x v="6"/>
    <s v="2H2023"/>
    <x v="0"/>
    <n v="16704"/>
    <n v="127284.48"/>
    <n v="137306.88"/>
    <n v="133297.92000000001"/>
    <n v="175392"/>
    <n v="175392"/>
    <n v="175392"/>
    <e v="#VALUE!"/>
    <e v="#VALUE!"/>
    <n v="0"/>
    <n v="0"/>
    <n v="0"/>
    <n v="175392"/>
    <n v="1"/>
    <n v="175392"/>
    <n v="217608.46429974239"/>
    <n v="229178.88"/>
    <n v="66816"/>
    <n v="50112"/>
  </r>
  <r>
    <s v="4220 McEver (Trussway, M2M renewal)"/>
    <x v="1"/>
    <m/>
    <m/>
    <m/>
    <x v="2"/>
    <n v="0"/>
    <s v="Trussway LTD"/>
    <n v="61"/>
    <n v="36352"/>
    <m/>
    <m/>
    <m/>
    <n v="7.16"/>
    <n v="7.16"/>
    <n v="7.21"/>
    <n v="10.5"/>
    <n v="4"/>
    <n v="3"/>
    <n v="13.027334050221429"/>
    <n v="14.4"/>
    <n v="0"/>
    <n v="0"/>
    <n v="168606.97"/>
    <n v="73862"/>
    <n v="0"/>
    <n v="31808"/>
    <n v="274276.96999999997"/>
    <n v="2105396"/>
    <x v="0"/>
    <d v="2023-07-06T00:00:00"/>
    <n v="0"/>
    <s v=""/>
    <s v=""/>
    <s v=""/>
    <n v="7.4"/>
    <m/>
    <m/>
    <s v="xgamc220"/>
    <m/>
    <m/>
    <m/>
    <s v="Renewal"/>
    <x v="6"/>
    <s v="2H2023"/>
    <x v="1"/>
    <n v="36352"/>
    <n v="260280.32000000001"/>
    <n v="260280.32000000001"/>
    <n v="262097.92000000001"/>
    <n v="381696"/>
    <n v="381696"/>
    <n v="381696"/>
    <n v="0"/>
    <e v="#VALUE!"/>
    <n v="0"/>
    <n v="0"/>
    <n v="0"/>
    <n v="381696"/>
    <n v="1"/>
    <n v="381696"/>
    <n v="473569.64739364939"/>
    <n v="523468.79999999999"/>
    <n v="145408"/>
    <n v="109056"/>
  </r>
  <r>
    <s v="30 Leslie - Nephros"/>
    <x v="0"/>
    <m/>
    <m/>
    <m/>
    <x v="3"/>
    <n v="0"/>
    <s v="Nephros"/>
    <n v="60"/>
    <n v="16003"/>
    <m/>
    <m/>
    <m/>
    <m/>
    <n v="12.94"/>
    <n v="14.04"/>
    <n v="16.36"/>
    <n v="4"/>
    <n v="3"/>
    <n v="22.737196782605874"/>
    <n v="19.78"/>
    <n v="9"/>
    <n v="6"/>
    <n v="105423"/>
    <n v="217000"/>
    <n v="0"/>
    <n v="0"/>
    <n v="322423"/>
    <n v="1418042"/>
    <x v="0"/>
    <d v="2023-07-05T00:00:00"/>
    <s v=""/>
    <s v=""/>
    <s v=""/>
    <s v=""/>
    <m/>
    <m/>
    <m/>
    <s v="xnj30les"/>
    <m/>
    <m/>
    <m/>
    <s v="New Lease"/>
    <x v="6"/>
    <s v="2H2023"/>
    <x v="0"/>
    <s v=""/>
    <s v=""/>
    <n v="207078.81999999998"/>
    <n v="224682.12"/>
    <s v=""/>
    <n v="261809.08"/>
    <s v=""/>
    <e v="#VALUE!"/>
    <e v="#VALUE!"/>
    <n v="144027"/>
    <n v="16003"/>
    <n v="96018"/>
    <s v=""/>
    <n v="0"/>
    <n v="0"/>
    <n v="363863.36011204182"/>
    <n v="316539.34000000003"/>
    <n v="64012"/>
    <n v="48009"/>
  </r>
  <r>
    <s v="4630 FrederickA Suite A ( Tradavo)"/>
    <x v="0"/>
    <m/>
    <m/>
    <m/>
    <x v="2"/>
    <n v="0"/>
    <s v="Tradavo Inc"/>
    <n v="61"/>
    <n v="7529"/>
    <m/>
    <m/>
    <m/>
    <n v="3.88"/>
    <n v="6.03"/>
    <n v="5.9"/>
    <n v="7.25"/>
    <n v="4"/>
    <n v="3"/>
    <n v="14.520311405009181"/>
    <n v="22.95"/>
    <n v="1.5"/>
    <n v="6"/>
    <n v="24112"/>
    <n v="15058"/>
    <n v="0"/>
    <n v="4548.7700000000004"/>
    <n v="43718.77"/>
    <n v="301087"/>
    <x v="0"/>
    <d v="2023-07-20T00:00:00"/>
    <s v=""/>
    <s v=""/>
    <s v=""/>
    <s v=""/>
    <m/>
    <m/>
    <m/>
    <s v="xga4600f"/>
    <m/>
    <m/>
    <m/>
    <s v="New Lease"/>
    <x v="6"/>
    <s v="2H2023"/>
    <x v="0"/>
    <n v="7529"/>
    <n v="29212.52"/>
    <n v="45399.87"/>
    <n v="44421.100000000006"/>
    <n v="54585.25"/>
    <n v="54585.25"/>
    <n v="54585.25"/>
    <e v="#VALUE!"/>
    <e v="#VALUE!"/>
    <n v="11293.5"/>
    <n v="7529"/>
    <n v="45174"/>
    <n v="54585.25"/>
    <n v="0.99999981680032624"/>
    <n v="54585.240000000013"/>
    <n v="109323.42456831412"/>
    <n v="172790.55"/>
    <n v="30116"/>
    <n v="22587"/>
  </r>
  <r>
    <s v="I-LOG dba Waylanders - 3333 N Canal"/>
    <x v="0"/>
    <m/>
    <m/>
    <m/>
    <x v="13"/>
    <n v="0"/>
    <s v="I-Log dba Waylanders"/>
    <n v="36"/>
    <n v="39000"/>
    <m/>
    <m/>
    <m/>
    <n v="4.25"/>
    <n v="4.6349999999999998"/>
    <n v="4.43"/>
    <n v="5.75"/>
    <n v="6"/>
    <n v="3"/>
    <n v="10.650318669100001"/>
    <n v="13.09"/>
    <n v="0"/>
    <n v="8.09"/>
    <n v="0"/>
    <n v="25000"/>
    <n v="3000"/>
    <n v="48035"/>
    <n v="76035"/>
    <n v="713922.3"/>
    <x v="0"/>
    <d v="2023-03-25T00:00:00"/>
    <n v="5.7329501913190022"/>
    <n v="5.6373491904757769"/>
    <n v="0.29651841179999999"/>
    <n v="1.9591445135000001"/>
    <n v="8"/>
    <m/>
    <m/>
    <s v="xfl3333c"/>
    <m/>
    <n v="0.23688245767400273"/>
    <n v="0.21625656752443945"/>
    <s v="New Lease"/>
    <x v="7"/>
    <s v="1H2023"/>
    <x v="1"/>
    <n v="39000"/>
    <n v="165750"/>
    <n v="180765"/>
    <n v="172770"/>
    <n v="224250"/>
    <n v="224250"/>
    <n v="224250"/>
    <n v="223585.05746144109"/>
    <n v="219856.61842855529"/>
    <n v="0"/>
    <n v="39000"/>
    <n v="315510"/>
    <n v="224250"/>
    <n v="2.5704347826086957"/>
    <n v="576420"/>
    <n v="415362.42809490004"/>
    <n v="510510"/>
    <n v="234000"/>
    <n v="117000"/>
  </r>
  <r>
    <s v="770 Arthur - Sigma Global"/>
    <x v="3"/>
    <m/>
    <m/>
    <m/>
    <x v="0"/>
    <n v="0"/>
    <s v="Sigma Global, Inc."/>
    <n v="36"/>
    <n v="41455"/>
    <m/>
    <m/>
    <m/>
    <n v="4.82"/>
    <n v="5.25"/>
    <s v=""/>
    <n v="5.65"/>
    <n v="5"/>
    <n v="0"/>
    <n v="38.036285009099998"/>
    <n v="32"/>
    <n v="4"/>
    <n v="11.09"/>
    <n v="43131.76"/>
    <n v="200000"/>
    <n v="0"/>
    <n v="30296.7"/>
    <n v="273428.46000000002"/>
    <n v="718862.16"/>
    <x v="0"/>
    <d v="2022-02-15T00:00:00"/>
    <n v="7.2692462001643028"/>
    <n v="7.0582828304222396"/>
    <n v="0.28659224781669068"/>
    <n v="0.24925359830482119"/>
    <m/>
    <m/>
    <m/>
    <s v="xil770ar"/>
    <m/>
    <n v="0.38461832384081962"/>
    <n v="0.34443482484233146"/>
    <s v="New Lease"/>
    <x v="8"/>
    <s v="1H2022"/>
    <x v="1"/>
    <n v="41455"/>
    <n v="199813.1"/>
    <n v="217638.75"/>
    <s v=""/>
    <n v="234220.75000000003"/>
    <n v="234220.75000000003"/>
    <n v="234220.75000000003"/>
    <n v="301346.60122781119"/>
    <n v="292601.11473515397"/>
    <n v="165820"/>
    <n v="41455"/>
    <n v="459735.95"/>
    <n v="234220.75000000003"/>
    <n v="1.5522126028543584"/>
    <n v="363560.39999999997"/>
    <n v="1576794.1950522405"/>
    <n v="1326560"/>
    <n v="207275"/>
    <n v="0"/>
  </r>
  <r>
    <s v="156 Algonquin- Whippany Athletic Club"/>
    <x v="1"/>
    <m/>
    <m/>
    <m/>
    <x v="3"/>
    <n v="0"/>
    <s v="Whippany Athletic Club, LLC"/>
    <n v="36"/>
    <n v="12215"/>
    <m/>
    <m/>
    <m/>
    <n v="13.47"/>
    <n v="11"/>
    <s v=""/>
    <n v="14.15"/>
    <n v="5"/>
    <n v="3"/>
    <n v="5"/>
    <n v="10.36"/>
    <n v="0"/>
    <n v="0"/>
    <n v="26576.79"/>
    <n v="0"/>
    <n v="0"/>
    <n v="0"/>
    <n v="26576.79"/>
    <n v="531535.80000000005"/>
    <x v="0"/>
    <d v="2022-03-16T00:00:00"/>
    <n v="13.140487855015666"/>
    <n v="13.049868683566299"/>
    <n v="-7.1343614486525375E-2"/>
    <n v="-7.774779621439587E-2"/>
    <m/>
    <m/>
    <m/>
    <s v="xnj156al"/>
    <m/>
    <n v="0.19458980500142409"/>
    <n v="0.18635169850602717"/>
    <s v="Renewal"/>
    <x v="8"/>
    <s v="1H2022"/>
    <x v="0"/>
    <n v="12215"/>
    <n v="164536.05000000002"/>
    <n v="134365"/>
    <s v=""/>
    <n v="172842.25"/>
    <n v="172842.25"/>
    <n v="172842.25"/>
    <n v="160511.05914901636"/>
    <n v="159404.14596976235"/>
    <n v="0"/>
    <n v="0"/>
    <n v="0"/>
    <s v=""/>
    <n v="0"/>
    <n v="0"/>
    <n v="61075"/>
    <n v="126547.4"/>
    <n v="61075"/>
    <n v="36645"/>
  </r>
  <r>
    <s v="18 Railroad - Bengal Converting Services"/>
    <x v="1"/>
    <m/>
    <m/>
    <m/>
    <x v="4"/>
    <s v="Yes"/>
    <s v="Bengal Converting Services"/>
    <n v="36"/>
    <n v="189746"/>
    <m/>
    <m/>
    <m/>
    <n v="3.5"/>
    <n v="6.24"/>
    <s v=""/>
    <n v="6.25"/>
    <n v="5"/>
    <n v="3"/>
    <n v="2.9999998716"/>
    <n v="25.91"/>
    <n v="0"/>
    <n v="0"/>
    <n v="112157.67"/>
    <n v="0"/>
    <n v="0"/>
    <n v="0"/>
    <n v="112157.67"/>
    <n v="3738589.16"/>
    <x v="0"/>
    <d v="2022-06-01T00:00:00"/>
    <n v="6.1074576781958489"/>
    <n v="6.1998691083141573"/>
    <n v="-2.2806771488664168E-2"/>
    <n v="-8.020942669734854E-3"/>
    <m/>
    <m/>
    <m/>
    <s v="xpa18rai"/>
    <m/>
    <n v="-2.124075669938319E-2"/>
    <n v="-6.4312326419619925E-3"/>
    <s v="Renewal"/>
    <x v="9"/>
    <s v="1H2022"/>
    <x v="2"/>
    <n v="189746"/>
    <n v="664111"/>
    <n v="1184015.04"/>
    <s v=""/>
    <n v="1185912.5"/>
    <n v="1185912.5"/>
    <n v="1185912.5"/>
    <n v="1158865.6646069495"/>
    <n v="1176400.363826178"/>
    <n v="0"/>
    <n v="0"/>
    <n v="0"/>
    <s v=""/>
    <n v="0"/>
    <n v="0"/>
    <n v="569237.97563661356"/>
    <n v="4916318.8600000003"/>
    <n v="948730"/>
    <n v="569238"/>
  </r>
  <r>
    <s v="1 Pearl Buck Court- NES"/>
    <x v="1"/>
    <m/>
    <m/>
    <m/>
    <x v="4"/>
    <n v="0"/>
    <s v="Penn Detroit Diesel Allison, LLC (NES)"/>
    <n v="60"/>
    <n v="9711"/>
    <m/>
    <m/>
    <m/>
    <s v="9.81"/>
    <n v="7.68"/>
    <n v="7.47"/>
    <n v="10"/>
    <n v="2"/>
    <n v="2"/>
    <n v="4"/>
    <n v="17.52"/>
    <n v="0"/>
    <n v="0"/>
    <n v="20214.57"/>
    <n v="0"/>
    <n v="0"/>
    <n v="0"/>
    <n v="20214.57"/>
    <n v="505364"/>
    <x v="0"/>
    <d v="2023-01-20T00:00:00"/>
    <m/>
    <m/>
    <m/>
    <m/>
    <m/>
    <m/>
    <m/>
    <m/>
    <m/>
    <m/>
    <m/>
    <s v="Renewal"/>
    <x v="7"/>
    <s v="1H2023"/>
    <x v="0"/>
    <n v="-2"/>
    <n v="-19.62"/>
    <n v="74580.479999999996"/>
    <n v="72541.17"/>
    <n v="-20"/>
    <n v="97110"/>
    <n v="97110"/>
    <n v="0"/>
    <n v="0"/>
    <n v="0"/>
    <n v="0"/>
    <n v="0"/>
    <s v=""/>
    <n v="0"/>
    <n v="0"/>
    <n v="38844"/>
    <n v="170136.72"/>
    <n v="19422"/>
    <n v="19422"/>
  </r>
  <r>
    <s v="17-01 Pollitt Drive - CSM"/>
    <x v="0"/>
    <m/>
    <m/>
    <m/>
    <x v="3"/>
    <n v="0"/>
    <s v="CSM Entertainment"/>
    <n v="62"/>
    <n v="18880"/>
    <m/>
    <m/>
    <m/>
    <n v="17"/>
    <n v="13.25"/>
    <n v="14"/>
    <n v="13.25"/>
    <n v="4"/>
    <n v="3"/>
    <n v="10.465999999999999"/>
    <n v="22.53"/>
    <n v="6"/>
    <n v="6"/>
    <n v="105425.51"/>
    <m/>
    <m/>
    <n v="41693.339999999997"/>
    <n v="147118.85"/>
    <n v="1404848"/>
    <x v="0"/>
    <d v="2023-04-01T00:00:00"/>
    <m/>
    <m/>
    <m/>
    <m/>
    <m/>
    <m/>
    <m/>
    <s v="xnj17pol"/>
    <m/>
    <m/>
    <m/>
    <s v="New Lease"/>
    <x v="2"/>
    <s v="1H2023"/>
    <x v="0"/>
    <n v="-1"/>
    <n v="-17"/>
    <n v="250160"/>
    <n v="264320"/>
    <n v="-13.25"/>
    <n v="250160"/>
    <n v="250160"/>
    <n v="0"/>
    <n v="0"/>
    <n v="113280"/>
    <n v="18880"/>
    <n v="113280"/>
    <n v="250160"/>
    <n v="2.0000003197953307"/>
    <n v="500320.07999999996"/>
    <n v="197598.07999999999"/>
    <n v="425366.4"/>
    <n v="75520"/>
    <n v="56640"/>
  </r>
  <r>
    <s v="420 S Ware: Suite C (Sigma Marble)"/>
    <x v="0"/>
    <m/>
    <m/>
    <m/>
    <x v="9"/>
    <n v="0"/>
    <s v="Sigma Marble &amp; Granite-Florida, Inc."/>
    <n v="36"/>
    <n v="8956"/>
    <m/>
    <m/>
    <m/>
    <m/>
    <n v="9.75"/>
    <s v=""/>
    <n v="10.95"/>
    <n v="5"/>
    <n v="3"/>
    <n v="5.9999967653999997"/>
    <n v="6"/>
    <n v="2"/>
    <n v="1.0899999999999999"/>
    <n v="18549.59"/>
    <n v="0"/>
    <n v="0"/>
    <n v="0"/>
    <n v="18549.59"/>
    <n v="309160"/>
    <x v="0"/>
    <d v="2022-04-25T00:00:00"/>
    <n v="8.2262261955819085"/>
    <n v="7.951135750233429"/>
    <n v="-0.24874646615690332"/>
    <n v="-0.27386888125722109"/>
    <m/>
    <m/>
    <m/>
    <s v="xfl420sw"/>
    <m/>
    <n v="-0.1562844927608299"/>
    <n v="-0.18449889741195602"/>
    <s v="New Lease"/>
    <x v="9"/>
    <s v="1H2022"/>
    <x v="0"/>
    <n v="0"/>
    <n v="0"/>
    <n v="87321"/>
    <s v=""/>
    <n v="0"/>
    <n v="98068.2"/>
    <s v=""/>
    <n v="73674.081807631577"/>
    <n v="71210.371779090594"/>
    <n v="17912"/>
    <n v="8956"/>
    <n v="9762.0399999999991"/>
    <s v=""/>
    <n v="0"/>
    <n v="0"/>
    <n v="53735.971030922396"/>
    <n v="53736"/>
    <n v="44780"/>
    <n v="26868"/>
  </r>
  <r>
    <s v="14-16 Thomas J Rhodes - Mule Extracts"/>
    <x v="0"/>
    <m/>
    <m/>
    <m/>
    <x v="4"/>
    <n v="0"/>
    <s v="Mule Extracts LLC"/>
    <n v="60"/>
    <n v="8510"/>
    <m/>
    <m/>
    <m/>
    <n v="8.07"/>
    <n v="7.5"/>
    <s v=""/>
    <n v="10"/>
    <n v="5"/>
    <n v="3"/>
    <n v="4.0000002551999998"/>
    <n v="39.86"/>
    <n v="3"/>
    <n v="8.09"/>
    <n v="18809.25"/>
    <n v="0"/>
    <n v="0"/>
    <n v="0"/>
    <n v="18809.25"/>
    <n v="470231.22"/>
    <x v="0"/>
    <d v="2022-06-01T00:00:00"/>
    <n v="11.57783158822601"/>
    <s v=""/>
    <n v="0.15778315882260108"/>
    <m/>
    <m/>
    <m/>
    <m/>
    <s v="xnj14th"/>
    <m/>
    <n v="0.54371087843013455"/>
    <m/>
    <s v="New Lease"/>
    <x v="9"/>
    <s v="1H2022"/>
    <x v="0"/>
    <n v="8510"/>
    <n v="68675.7"/>
    <n v="63825"/>
    <s v=""/>
    <n v="85100"/>
    <n v="85100"/>
    <n v="85100"/>
    <n v="98527.34681580335"/>
    <m/>
    <n v="25530"/>
    <n v="8510"/>
    <n v="68845.899999999994"/>
    <s v=""/>
    <n v="0"/>
    <n v="0"/>
    <n v="34040.002171751999"/>
    <n v="339208.6"/>
    <n v="42550"/>
    <n v="25530"/>
  </r>
  <r>
    <s v="2066 N Integrity Dr- Benchmark Building Supply"/>
    <x v="0"/>
    <s v="Re-tenant"/>
    <s v="Stabilized"/>
    <n v="-0.125"/>
    <x v="10"/>
    <n v="0"/>
    <s v="Benchmark Building Supply,Inc."/>
    <n v="60"/>
    <n v="8000"/>
    <m/>
    <m/>
    <m/>
    <n v="6"/>
    <n v="5.25"/>
    <n v="7.21"/>
    <n v="7.5"/>
    <n v="4"/>
    <n v="3"/>
    <n v="12.2619206286"/>
    <n v="7.38"/>
    <n v="2"/>
    <n v="9"/>
    <n v="22741.599999999999"/>
    <n v="17094.939999999999"/>
    <n v="0"/>
    <n v="0"/>
    <n v="39836.54"/>
    <n v="324880.09999999998"/>
    <x v="1"/>
    <d v="2022-12-12T00:00:00"/>
    <n v="6.9619648484390826"/>
    <n v="6.6443645468740824"/>
    <n v="-7.1738020208122366E-2"/>
    <n v="-0.11408472708345563"/>
    <n v="8.5"/>
    <m/>
    <m/>
    <s v="3oh00001"/>
    <m/>
    <n v="0.32608854255982522"/>
    <n v="0.26559324702363485"/>
    <s v="New Lease"/>
    <x v="10"/>
    <s v="2H2022"/>
    <x v="0"/>
    <n v="8000"/>
    <n v="48000"/>
    <n v="42000"/>
    <n v="57680"/>
    <n v="60000"/>
    <n v="60000"/>
    <n v="60000"/>
    <n v="55695.718787512662"/>
    <n v="53154.916374992659"/>
    <n v="16000"/>
    <n v="8000"/>
    <n v="72000"/>
    <s v=""/>
    <n v="0"/>
    <n v="0"/>
    <n v="98095.365028800006"/>
    <n v="59040"/>
    <n v="32000"/>
    <n v="24000"/>
  </r>
  <r>
    <s v="128 Bauer - NuProduct Seasonsing (dba NuSprice)"/>
    <x v="2"/>
    <m/>
    <m/>
    <m/>
    <x v="3"/>
    <n v="0"/>
    <s v="Goldstein &amp; Burton"/>
    <n v="60"/>
    <n v="10431"/>
    <m/>
    <m/>
    <m/>
    <n v="8.16"/>
    <n v="12.5"/>
    <s v=""/>
    <n v="13.5"/>
    <n v="5"/>
    <n v="3"/>
    <n v="5"/>
    <n v="5.45"/>
    <n v="0"/>
    <n v="0"/>
    <n v="38577.1"/>
    <n v="0"/>
    <n v="0"/>
    <n v="0"/>
    <n v="38577.1"/>
    <n v="771542"/>
    <x v="0"/>
    <d v="2022-05-18T00:00:00"/>
    <n v="12.350162848424503"/>
    <n v="10.860346279540453"/>
    <n v="-8.5173122338925711E-2"/>
    <n v="-0.19552990521922575"/>
    <m/>
    <m/>
    <m/>
    <s v="xnj128ba"/>
    <m/>
    <n v="-1.1986972126039719E-2"/>
    <n v="-0.13117229763676375"/>
    <s v="Renewal"/>
    <x v="9"/>
    <s v="1H2022"/>
    <x v="0"/>
    <n v="10431"/>
    <n v="85116.96"/>
    <n v="130387.5"/>
    <s v=""/>
    <n v="140818.5"/>
    <n v="140818.5"/>
    <n v="140818.5"/>
    <n v="128824.548671916"/>
    <n v="113284.27204188646"/>
    <n v="0"/>
    <n v="0"/>
    <n v="0"/>
    <s v=""/>
    <n v="0"/>
    <n v="0"/>
    <n v="52155"/>
    <n v="56848.950000000004"/>
    <n v="52155"/>
    <n v="31293"/>
  </r>
  <r>
    <s v="2009 Dorsey (CC Image_Renewal per option)"/>
    <x v="1"/>
    <m/>
    <m/>
    <m/>
    <x v="2"/>
    <n v="0"/>
    <s v="CC Image Group Inc"/>
    <n v="36"/>
    <n v="20500"/>
    <m/>
    <m/>
    <m/>
    <n v="5.8"/>
    <n v="6.91"/>
    <n v="6.45"/>
    <n v="6.1"/>
    <n v="5"/>
    <n v="3"/>
    <n v="4.0000494648"/>
    <n v="10.3"/>
    <n v="0"/>
    <n v="0"/>
    <n v="15769"/>
    <n v="0"/>
    <n v="0"/>
    <n v="0"/>
    <n v="15769"/>
    <n v="394220"/>
    <x v="0"/>
    <d v="2023-04-24T00:00:00"/>
    <m/>
    <m/>
    <m/>
    <m/>
    <m/>
    <m/>
    <m/>
    <s v="xgadors"/>
    <m/>
    <m/>
    <m/>
    <s v="Renewal"/>
    <x v="2"/>
    <s v="1H2023"/>
    <x v="1"/>
    <n v="20500"/>
    <n v="118900"/>
    <n v="141655"/>
    <n v="132225"/>
    <n v="125049.99999999999"/>
    <n v="125049.99999999999"/>
    <n v="125049.99999999999"/>
    <n v="0"/>
    <n v="0"/>
    <n v="0"/>
    <n v="0"/>
    <n v="0"/>
    <s v=""/>
    <n v="0"/>
    <n v="0"/>
    <n v="82001.014028399994"/>
    <n v="211150.00000000003"/>
    <n v="102500"/>
    <n v="61500"/>
  </r>
  <r>
    <s v="5 Mary Way - Proskills"/>
    <x v="3"/>
    <m/>
    <m/>
    <m/>
    <x v="4"/>
    <n v="0"/>
    <s v="Pro Skills Baseball, LLC and JD Fast Pitch, LLC"/>
    <n v="60"/>
    <n v="20000"/>
    <m/>
    <m/>
    <m/>
    <n v="3.89"/>
    <n v="5.75"/>
    <n v="9.1"/>
    <n v="9"/>
    <n v="5"/>
    <n v="3"/>
    <n v="8.4118923310000007"/>
    <n v="14.38"/>
    <n v="0"/>
    <n v="8.9999999999999969E-2"/>
    <n v="29966.71"/>
    <n v="54058.879999999997"/>
    <n v="0"/>
    <n v="0"/>
    <n v="84025.59"/>
    <n v="998890.46"/>
    <x v="0"/>
    <d v="2022-10-25T00:00:00"/>
    <n v="9.7579237637660459"/>
    <n v="8.550639064377231"/>
    <n v="8.4213751529560676E-2"/>
    <n v="-4.9928992846974385E-2"/>
    <m/>
    <m/>
    <m/>
    <s v="xnjmway5"/>
    <m/>
    <n v="0.69703021978539925"/>
    <n v="0.48706766336995311"/>
    <s v="New Lease"/>
    <x v="10"/>
    <s v="2H2022"/>
    <x v="1"/>
    <n v="20000"/>
    <n v="77800"/>
    <n v="115000"/>
    <n v="182000"/>
    <n v="180000"/>
    <n v="180000"/>
    <n v="180000"/>
    <n v="195158.4752753209"/>
    <n v="171012.78128754461"/>
    <n v="0"/>
    <n v="20000"/>
    <n v="1799.9999999999993"/>
    <s v=""/>
    <n v="0"/>
    <n v="0"/>
    <n v="168237.84662000003"/>
    <n v="287600"/>
    <n v="100000"/>
    <n v="60000"/>
  </r>
  <r>
    <s v="Tri-State Tire - 3272 Democrat rd"/>
    <x v="1"/>
    <s v="Renewal"/>
    <s v="M2M"/>
    <n v="0.73109243697478998"/>
    <x v="1"/>
    <n v="0"/>
    <s v="Tri State Tire Wholesale"/>
    <n v="60"/>
    <n v="45000"/>
    <m/>
    <m/>
    <m/>
    <n v="2.38"/>
    <n v="4.12"/>
    <n v="4.1500000000000004"/>
    <n v="4.1500000000000004"/>
    <n v="4"/>
    <n v="3.5"/>
    <n v="8.4500726574999998"/>
    <n v="11"/>
    <n v="0"/>
    <n v="0"/>
    <n v="20224"/>
    <n v="22500"/>
    <n v="0"/>
    <n v="0"/>
    <n v="42724"/>
    <n v="505605.12"/>
    <x v="1"/>
    <d v="2023-02-14T00:00:00"/>
    <n v="4.1006725327651292"/>
    <n v="3.9413144101150484"/>
    <n v="1.1886136682999999"/>
    <n v="5.0285684310000001"/>
    <m/>
    <m/>
    <m/>
    <s v="3tn00003"/>
    <m/>
    <n v="-4.6911328239978012E-3"/>
    <n v="-4.3370288807027091E-2"/>
    <s v="Renewal"/>
    <x v="7"/>
    <s v="1H2023"/>
    <x v="1"/>
    <n v="45000"/>
    <n v="107100"/>
    <n v="185400"/>
    <n v="186750.00000000003"/>
    <n v="186750.00000000003"/>
    <n v="186750.00000000003"/>
    <n v="186750.00000000003"/>
    <n v="184530.26397443083"/>
    <n v="177359.14845517717"/>
    <n v="0"/>
    <n v="0"/>
    <n v="0"/>
    <s v=""/>
    <n v="0"/>
    <n v="0"/>
    <n v="380253.26958749996"/>
    <n v="495000"/>
    <n v="180000"/>
    <n v="157500"/>
  </r>
  <r>
    <s v="125 Algonquin - Combo Cap"/>
    <x v="1"/>
    <m/>
    <m/>
    <m/>
    <x v="3"/>
    <n v="0"/>
    <s v="Combo Cap."/>
    <n v="36"/>
    <n v="50000"/>
    <m/>
    <m/>
    <m/>
    <n v="9.01"/>
    <n v="12.38"/>
    <n v="13.5"/>
    <n v="14.5"/>
    <n v="4.5"/>
    <n v="3"/>
    <n v="7.4999730472000001"/>
    <n v="19"/>
    <n v="0"/>
    <n v="0"/>
    <n v="166749"/>
    <n v="0"/>
    <n v="0"/>
    <n v="0"/>
    <n v="166749"/>
    <n v="2223327.9900000002"/>
    <x v="0"/>
    <d v="2023-01-27T00:00:00"/>
    <n v="14.105026782552805"/>
    <n v="12.407344345468378"/>
    <n v="2.7239532238000002"/>
    <n v="14.4321079623"/>
    <n v="1.4"/>
    <m/>
    <m/>
    <s v="xnj125al"/>
    <m/>
    <n v="0.13933980472962881"/>
    <n v="2.2087516533422225E-3"/>
    <s v="Renewal"/>
    <x v="7"/>
    <s v="1H2023"/>
    <x v="3"/>
    <n v="50000"/>
    <n v="450500"/>
    <n v="619000"/>
    <n v="675000"/>
    <n v="725000"/>
    <n v="725000"/>
    <n v="725000"/>
    <n v="705251.33912764024"/>
    <n v="620367.21727341891"/>
    <n v="0"/>
    <n v="0"/>
    <n v="0"/>
    <s v=""/>
    <n v="0"/>
    <n v="0"/>
    <n v="374998.65236000001"/>
    <n v="950000"/>
    <n v="225000"/>
    <n v="150000"/>
  </r>
  <r>
    <s v="3651 Clearview (TLC Rents, LLC) (copy)"/>
    <x v="0"/>
    <m/>
    <m/>
    <m/>
    <x v="2"/>
    <n v="0"/>
    <s v="TLC Rents"/>
    <n v="62"/>
    <n v="20030"/>
    <m/>
    <m/>
    <m/>
    <n v="4.49"/>
    <n v="10.45"/>
    <s v=""/>
    <n v="10.45"/>
    <n v="4.5"/>
    <n v="4.5"/>
    <n v="12.9098368307"/>
    <n v="17.32"/>
    <n v="1.5"/>
    <n v="2.09"/>
    <n v="94698.34"/>
    <n v="75113"/>
    <n v="0"/>
    <n v="34886"/>
    <n v="204697.34"/>
    <n v="1585592"/>
    <x v="0"/>
    <d v="2022-07-22T00:00:00"/>
    <n v="9.9558055735325546"/>
    <n v="7.1731835026223951"/>
    <n v="-4.7291332676310471E-2"/>
    <n v="-0.31357095668685209"/>
    <n v="9"/>
    <m/>
    <m/>
    <s v="xga3651c"/>
    <m/>
    <n v="-4.7291332676310471E-2"/>
    <n v="-0.31357095668685209"/>
    <s v="New Lease"/>
    <x v="11"/>
    <s v="2H2022"/>
    <x v="1"/>
    <n v="20030"/>
    <n v="89934.7"/>
    <n v="209313.5"/>
    <s v=""/>
    <n v="209313.5"/>
    <n v="209313.5"/>
    <n v="209313.5"/>
    <n v="199414.78563785707"/>
    <n v="143678.86555752659"/>
    <n v="30045"/>
    <n v="20030"/>
    <n v="41862.699999999997"/>
    <n v="209313.5"/>
    <n v="2.0000238876135557"/>
    <n v="418631.99999999994"/>
    <n v="258584.031718921"/>
    <n v="346919.6"/>
    <n v="90135"/>
    <n v="90135"/>
  </r>
  <r>
    <s v="8361 Town Center Court - JES Groundworks"/>
    <x v="0"/>
    <s v="Lease up"/>
    <s v="Lease up"/>
    <m/>
    <x v="8"/>
    <n v="0"/>
    <s v="JES Groundworks"/>
    <n v="61"/>
    <n v="30333"/>
    <m/>
    <m/>
    <m/>
    <m/>
    <n v="9.25"/>
    <s v=""/>
    <n v="9"/>
    <n v="4"/>
    <n v="4"/>
    <n v="17.9794638425"/>
    <n v="10.1"/>
    <n v="2"/>
    <n v="4"/>
    <n v="130351.51"/>
    <n v="90000"/>
    <n v="0"/>
    <n v="45500"/>
    <n v="265851.51"/>
    <n v="1478639.81"/>
    <x v="1"/>
    <d v="2022-11-29T00:00:00"/>
    <n v="8.3040177210095987"/>
    <n v="7.3973228485657199"/>
    <n v="-7.7331364332266839E-2"/>
    <n v="-0.1780752390482534"/>
    <m/>
    <m/>
    <m/>
    <s v="3md00003"/>
    <m/>
    <n v="-0.1022683544854488"/>
    <n v="-0.20028942177667897"/>
    <s v="New Lease"/>
    <x v="10"/>
    <s v="2H2022"/>
    <x v="1"/>
    <n v="0"/>
    <n v="0"/>
    <n v="280580.25"/>
    <m/>
    <n v="0"/>
    <n v="272997"/>
    <s v=""/>
    <n v="251885.76953138417"/>
    <n v="224382.99396554398"/>
    <n v="60666"/>
    <n v="30333"/>
    <n v="121332"/>
    <n v="272997"/>
    <n v="2.0000219782634976"/>
    <n v="546000"/>
    <n v="545371.07673455251"/>
    <n v="306363.3"/>
    <n v="121332"/>
    <n v="121332"/>
  </r>
  <r>
    <s v="Motion Industries - 3272 Democrat Rd"/>
    <x v="1"/>
    <s v="Renewal"/>
    <s v="M2M"/>
    <n v="0.38225255972696237"/>
    <x v="1"/>
    <n v="0"/>
    <s v="Motion Industries"/>
    <n v="24"/>
    <n v="30000"/>
    <m/>
    <m/>
    <m/>
    <n v="2.93"/>
    <n v="4.05"/>
    <s v=""/>
    <n v="4.3499999999999996"/>
    <n v="4"/>
    <n v="4"/>
    <n v="4"/>
    <n v="11"/>
    <n v="0"/>
    <n v="0"/>
    <n v="10620"/>
    <n v="0"/>
    <n v="0"/>
    <n v="0"/>
    <n v="10620"/>
    <n v="265500"/>
    <x v="1"/>
    <d v="2022-09-28T00:00:00"/>
    <n v="5.1575460209889883"/>
    <n v="5.1590039102887095"/>
    <n v="0.18564276344574449"/>
    <n v="0.1859779104111976"/>
    <m/>
    <m/>
    <m/>
    <s v="3tn00004"/>
    <m/>
    <n v="0.27346815333061447"/>
    <n v="0.27382812599721218"/>
    <s v="Renewal"/>
    <x v="11"/>
    <s v="2H2022"/>
    <x v="1"/>
    <n v="30000"/>
    <n v="87900"/>
    <n v="121500"/>
    <m/>
    <n v="130499.99999999999"/>
    <n v="130499.99999999999"/>
    <n v="130499.99999999999"/>
    <n v="154726.38062966964"/>
    <n v="154770.11730866128"/>
    <n v="0"/>
    <n v="0"/>
    <n v="0"/>
    <s v=""/>
    <n v="0"/>
    <n v="0"/>
    <n v="120000"/>
    <n v="330000"/>
    <n v="120000"/>
    <n v="120000"/>
  </r>
  <r>
    <s v="3350 Hamilton (Harwood Pallets, ste 200/300)"/>
    <x v="1"/>
    <m/>
    <m/>
    <m/>
    <x v="2"/>
    <s v="Yes"/>
    <s v="Harwood Pallets Services LLC"/>
    <n v="60"/>
    <n v="32598"/>
    <m/>
    <m/>
    <m/>
    <n v="3.4"/>
    <n v="5.45"/>
    <n v="6.5"/>
    <n v="6.5"/>
    <n v="4.5"/>
    <n v="4.5"/>
    <n v="6.4999676860999998"/>
    <n v="23"/>
    <n v="0"/>
    <n v="0"/>
    <n v="159915"/>
    <n v="0"/>
    <n v="0"/>
    <n v="0"/>
    <n v="159915"/>
    <n v="2460243"/>
    <x v="0"/>
    <d v="2022-11-14T00:00:00"/>
    <n v="6.9308342934204603"/>
    <n v="6.160056745715603"/>
    <n v="6.6282198987763108E-2"/>
    <n v="-5.2298962197599552E-2"/>
    <m/>
    <m/>
    <m/>
    <s v="xga3350h"/>
    <m/>
    <n v="0.27171271438907518"/>
    <n v="0.13028564141570698"/>
    <s v="Renewal"/>
    <x v="10"/>
    <s v="2H2022"/>
    <x v="1"/>
    <n v="32598"/>
    <n v="110833.2"/>
    <n v="177659.1"/>
    <n v="211887"/>
    <n v="211887"/>
    <n v="211887"/>
    <n v="211887"/>
    <n v="225931.33629692017"/>
    <n v="200805.52979683722"/>
    <n v="0"/>
    <n v="0"/>
    <n v="0"/>
    <s v=""/>
    <n v="0"/>
    <n v="0"/>
    <n v="211885.94663148778"/>
    <n v="749754"/>
    <n v="146691"/>
    <n v="146691"/>
  </r>
  <r>
    <s v="Caricom Freight Consolidators - 14735 NW 25th Ct"/>
    <x v="1"/>
    <s v="Renewal"/>
    <s v="Stabilized"/>
    <n v="8.0000000000000071E-2"/>
    <x v="12"/>
    <s v="Yes"/>
    <s v="BringCom"/>
    <n v="36"/>
    <n v="25327"/>
    <m/>
    <m/>
    <m/>
    <n v="8.5"/>
    <n v="9.18"/>
    <s v=""/>
    <n v="9.9499999999999993"/>
    <n v="4"/>
    <n v="3"/>
    <n v="3.9999994915000001"/>
    <n v="12.85"/>
    <n v="0"/>
    <n v="0"/>
    <n v="31466.18"/>
    <n v="0"/>
    <n v="0"/>
    <n v="0"/>
    <n v="31466.18"/>
    <n v="786654.6"/>
    <x v="1"/>
    <d v="2022-08-18T00:00:00"/>
    <n v="12.879764584683679"/>
    <n v="11.927059491089704"/>
    <n v="0.29444870197825934"/>
    <n v="0.19869944634067394"/>
    <n v="4"/>
    <m/>
    <m/>
    <s v="3fl00001"/>
    <m/>
    <n v="0.4030244645624923"/>
    <n v="0.29924395327774556"/>
    <s v="Renewal"/>
    <x v="11"/>
    <s v="2H2022"/>
    <x v="1"/>
    <n v="25327"/>
    <n v="215279.5"/>
    <n v="232501.86"/>
    <m/>
    <n v="252003.65"/>
    <n v="252003.65"/>
    <n v="252003.65"/>
    <n v="326205.79763628356"/>
    <n v="302076.63573082892"/>
    <n v="0"/>
    <n v="0"/>
    <n v="0"/>
    <s v=""/>
    <n v="0"/>
    <n v="0"/>
    <n v="101307.9871212205"/>
    <n v="325451.95"/>
    <n v="101308"/>
    <n v="75981"/>
  </r>
  <r>
    <s v="Thorpe Products - 3348 Democrat Rd"/>
    <x v="1"/>
    <s v="Renewal"/>
    <s v="M2M"/>
    <n v="0.52509652509652516"/>
    <x v="1"/>
    <n v="0"/>
    <s v="Thorpe Products Company"/>
    <n v="60"/>
    <n v="24000"/>
    <m/>
    <m/>
    <m/>
    <n v="2.59"/>
    <n v="3.95"/>
    <s v=""/>
    <n v="4"/>
    <n v="4"/>
    <n v="4"/>
    <n v="9.9548530994999993"/>
    <n v="12"/>
    <n v="0"/>
    <n v="0"/>
    <n v="20803.2"/>
    <n v="30970"/>
    <n v="0"/>
    <n v="0"/>
    <n v="51773.2"/>
    <n v="520080"/>
    <x v="1"/>
    <d v="2022-09-28T00:00:00"/>
    <n v="4.1902470570390147"/>
    <n v="3.8846975100573116"/>
    <n v="4.7561764259753669E-2"/>
    <n v="-2.8825622485672109E-2"/>
    <m/>
    <m/>
    <m/>
    <s v="3tn00001"/>
    <m/>
    <n v="6.082203975671252E-2"/>
    <n v="-1.6532275934857843E-2"/>
    <s v="Renewal"/>
    <x v="11"/>
    <s v="2H2022"/>
    <x v="1"/>
    <n v="24000"/>
    <n v="62160"/>
    <n v="94800"/>
    <m/>
    <n v="96000"/>
    <n v="96000"/>
    <n v="96000"/>
    <n v="100565.92936893635"/>
    <n v="93232.740241375475"/>
    <n v="0"/>
    <n v="0"/>
    <n v="0"/>
    <s v=""/>
    <n v="0"/>
    <n v="0"/>
    <n v="238916.47438799997"/>
    <n v="288000"/>
    <n v="96000"/>
    <n v="96000"/>
  </r>
  <r>
    <s v="5 Mary Way - Herrs Expansion &amp; Renewal"/>
    <x v="3"/>
    <m/>
    <m/>
    <m/>
    <x v="4"/>
    <n v="0"/>
    <s v="HERR Foods"/>
    <n v="95"/>
    <n v="39828"/>
    <m/>
    <m/>
    <m/>
    <n v="5.2"/>
    <n v="5.3"/>
    <n v="9"/>
    <n v="8.75"/>
    <n v="4.5"/>
    <n v="2.5"/>
    <n v="6.6100898362000002"/>
    <n v="37.31"/>
    <n v="6"/>
    <n v="5.09"/>
    <n v="61300.57"/>
    <n v="40000"/>
    <n v="0"/>
    <n v="0"/>
    <n v="101300.57"/>
    <n v="1532514.27"/>
    <x v="0"/>
    <d v="2022-12-06T00:00:00"/>
    <n v="10.366059988097254"/>
    <n v="8.6219200523627357"/>
    <n v="0.18469257006825757"/>
    <n v="-1.4637708301401653E-2"/>
    <m/>
    <m/>
    <m/>
    <s v="xnjmway5"/>
    <m/>
    <n v="0.95586037511268951"/>
    <n v="0.62677736837032749"/>
    <s v="New Lease"/>
    <x v="10"/>
    <s v="2H2022"/>
    <x v="1"/>
    <n v="39828"/>
    <n v="207105.6"/>
    <n v="211088.4"/>
    <n v="358452"/>
    <n v="348495"/>
    <n v="348495"/>
    <n v="348495"/>
    <n v="412859.4372059374"/>
    <n v="343393.83184550307"/>
    <n v="238968"/>
    <n v="39828"/>
    <n v="202724.52"/>
    <s v=""/>
    <n v="0"/>
    <n v="0"/>
    <n v="263266.6579961736"/>
    <n v="1485982.6800000002"/>
    <n v="179226"/>
    <n v="99570"/>
  </r>
  <r>
    <s v="K1 Racing- 7970 Central Industrial Blvd"/>
    <x v="0"/>
    <s v="Lease up"/>
    <s v="Lease up"/>
    <m/>
    <x v="12"/>
    <n v="0"/>
    <s v="K1 Racing"/>
    <n v="99"/>
    <n v="39972"/>
    <m/>
    <m/>
    <m/>
    <m/>
    <n v="12.25"/>
    <s v=""/>
    <n v="13"/>
    <n v="4"/>
    <n v="4"/>
    <n v="10.927134876"/>
    <n v="10.25"/>
    <n v="3"/>
    <n v="9"/>
    <n v="290155.45"/>
    <n v="79944"/>
    <n v="28419.5"/>
    <n v="129909"/>
    <n v="528427.94999999995"/>
    <n v="4835924.1100000003"/>
    <x v="1"/>
    <d v="2022-09-20T00:00:00"/>
    <n v="13.927042211162439"/>
    <n v="10.898250638349309"/>
    <n v="7.1310939320187616E-2"/>
    <n v="-0.16167302781928394"/>
    <n v="6.4"/>
    <m/>
    <m/>
    <s v="3fl00002"/>
    <m/>
    <n v="0.13690140499285208"/>
    <n v="-0.11034688666536252"/>
    <s v="New Lease"/>
    <x v="11"/>
    <s v="2H2022"/>
    <x v="1"/>
    <n v="0"/>
    <n v="0"/>
    <n v="489657"/>
    <m/>
    <n v="0"/>
    <n v="519636"/>
    <s v=""/>
    <n v="556691.73126458505"/>
    <n v="435624.87451609859"/>
    <n v="119916"/>
    <n v="39972"/>
    <n v="359748"/>
    <n v="519636"/>
    <n v="3"/>
    <n v="1558908"/>
    <n v="436779.43526347203"/>
    <n v="409713"/>
    <n v="159888"/>
    <n v="159888"/>
  </r>
  <r>
    <s v="12080 Mosteller - Gorilla Glue (expansion)"/>
    <x v="3"/>
    <m/>
    <m/>
    <m/>
    <x v="5"/>
    <n v="0"/>
    <s v="The Gorilla Glue Company LLC"/>
    <n v="47"/>
    <n v="111087"/>
    <m/>
    <m/>
    <m/>
    <m/>
    <n v="3.25"/>
    <s v=""/>
    <n v="3.35"/>
    <n v="4.3"/>
    <n v="4"/>
    <n v="14.108159390400001"/>
    <n v="10.35"/>
    <n v="0"/>
    <n v="5.09"/>
    <n v="13460.42"/>
    <n v="7850"/>
    <n v="0"/>
    <n v="17456.009999999998"/>
    <n v="38766.43"/>
    <n v="274780.21000000002"/>
    <x v="0"/>
    <d v="2021-04-01T00:00:00"/>
    <n v="3.8456360537909835"/>
    <s v=""/>
    <n v="0.14795106083312937"/>
    <m/>
    <m/>
    <m/>
    <m/>
    <s v="xohmost"/>
    <m/>
    <n v="0.18327263193568721"/>
    <m/>
    <s v="New Lease"/>
    <x v="12"/>
    <s v="1H2021"/>
    <x v="2"/>
    <n v="0"/>
    <n v="0"/>
    <n v="361032.75"/>
    <s v=""/>
    <n v="0"/>
    <n v="372141.45"/>
    <s v=""/>
    <n v="427200.17230747896"/>
    <m/>
    <n v="0"/>
    <n v="111087"/>
    <n v="565432.82999999996"/>
    <n v="372141.45"/>
    <n v="0.56288306502809604"/>
    <n v="209472.11999999997"/>
    <n v="1567233.1022013649"/>
    <n v="1149750.45"/>
    <n v="477674.1"/>
    <n v="444348"/>
  </r>
  <r>
    <s v="800 Industrial Park Dr, Atl (MidAtlantic Roofing)"/>
    <x v="0"/>
    <m/>
    <m/>
    <m/>
    <x v="2"/>
    <n v="0"/>
    <s v="Mid Atlantic Roofing Supply Atlanta, LLC"/>
    <n v="60"/>
    <n v="47532"/>
    <m/>
    <m/>
    <m/>
    <m/>
    <n v="6.55"/>
    <s v=""/>
    <n v="6.6"/>
    <n v="4.25"/>
    <n v="3"/>
    <n v="6.4999539707"/>
    <n v="18"/>
    <n v="10"/>
    <n v="8.09"/>
    <n v="137683"/>
    <n v="0"/>
    <n v="0"/>
    <n v="0"/>
    <n v="137683"/>
    <n v="2118215"/>
    <x v="0"/>
    <d v="2022-09-01T00:00:00"/>
    <n v="8.4471318189286855"/>
    <n v="7.2644700220423317"/>
    <n v="0.27986845741343735"/>
    <n v="0.10067727606702004"/>
    <n v="7"/>
    <m/>
    <m/>
    <s v="xga800in"/>
    <m/>
    <n v="0.28963844563796726"/>
    <n v="0.10907939267821853"/>
    <s v="New Lease"/>
    <x v="11"/>
    <s v="2H2022"/>
    <x v="1"/>
    <n v="0"/>
    <n v="0"/>
    <n v="311334.59999999998"/>
    <s v=""/>
    <n v="0"/>
    <n v="313711.2"/>
    <s v=""/>
    <n v="401509.06961731828"/>
    <n v="345294.78908771608"/>
    <n v="475320"/>
    <n v="47532"/>
    <n v="384533.88"/>
    <s v=""/>
    <n v="0"/>
    <n v="0"/>
    <n v="308955.81213531242"/>
    <n v="855576"/>
    <n v="202011"/>
    <n v="142596"/>
  </r>
  <r>
    <s v="1585_Roadhaven_atl (Inliner Solutions LLC)"/>
    <x v="0"/>
    <m/>
    <m/>
    <m/>
    <x v="2"/>
    <s v="Yes"/>
    <s v="Inliner Solutions"/>
    <n v="124"/>
    <n v="48000"/>
    <m/>
    <m/>
    <m/>
    <n v="7"/>
    <n v="7.13"/>
    <n v="7.04"/>
    <n v="8.5"/>
    <n v="4.25"/>
    <n v="3.5"/>
    <n v="9.9592207531000003"/>
    <n v="11"/>
    <n v="2"/>
    <n v="0"/>
    <n v="435936.34"/>
    <n v="96000"/>
    <n v="0"/>
    <n v="136000"/>
    <n v="667936.34000000008"/>
    <n v="6706712.8700000001"/>
    <x v="0"/>
    <d v="2022-10-25T00:00:00"/>
    <n v="8.1255382705875743"/>
    <n v="6.3901572860244258"/>
    <n v="-4.4054321107344196E-2"/>
    <n v="-0.24821678987947937"/>
    <n v="8"/>
    <m/>
    <m/>
    <s v="xga1585r"/>
    <m/>
    <n v="0.13962668591691085"/>
    <n v="-0.10376475651831329"/>
    <s v="New Lease"/>
    <x v="10"/>
    <s v="2H2022"/>
    <x v="1"/>
    <n v="48000"/>
    <n v="336000"/>
    <n v="342240"/>
    <n v="337920"/>
    <n v="408000"/>
    <n v="408000"/>
    <n v="408000"/>
    <n v="390025.83698820358"/>
    <n v="306727.54972917243"/>
    <n v="96000"/>
    <n v="48000"/>
    <n v="0"/>
    <n v="408000"/>
    <n v="4"/>
    <n v="1632000"/>
    <n v="478042.59614879999"/>
    <n v="528000"/>
    <n v="204000"/>
    <n v="168000"/>
  </r>
  <r>
    <s v="130 James Aldredge Blvd (Kirnland Foods_dba HF Foods)"/>
    <x v="0"/>
    <m/>
    <m/>
    <m/>
    <x v="2"/>
    <n v="0"/>
    <s v="Kirnland Food Distribution Inc"/>
    <n v="61"/>
    <n v="38164"/>
    <m/>
    <m/>
    <m/>
    <n v="4.5"/>
    <n v="3.58"/>
    <s v=""/>
    <n v="4.75"/>
    <n v="4"/>
    <n v="3"/>
    <n v="23.081333727499999"/>
    <n v="17"/>
    <n v="0"/>
    <n v="8.09"/>
    <n v="54531.57"/>
    <n v="225000"/>
    <n v="0"/>
    <n v="0"/>
    <n v="279531.57"/>
    <n v="1211072"/>
    <x v="0"/>
    <d v="2022-03-10T00:00:00"/>
    <n v="5.3926647055106489"/>
    <n v="4.9277254347283801"/>
    <n v="0.13529783273908391"/>
    <n v="3.7415880995448347E-2"/>
    <m/>
    <m/>
    <m/>
    <s v="xga130j"/>
    <m/>
    <n v="0.50633092332699681"/>
    <n v="0.37645961863921218"/>
    <s v="New Lease"/>
    <x v="8"/>
    <s v="1H2022"/>
    <x v="1"/>
    <n v="38164"/>
    <n v="171738"/>
    <n v="136627.12"/>
    <s v=""/>
    <n v="181279"/>
    <n v="181279"/>
    <n v="181279"/>
    <n v="205805.6558211084"/>
    <n v="188061.7134909739"/>
    <n v="0"/>
    <n v="38164"/>
    <n v="308746.76"/>
    <s v=""/>
    <n v="0"/>
    <n v="0"/>
    <n v="880876.02037630999"/>
    <n v="648788"/>
    <n v="152656"/>
    <n v="114492"/>
  </r>
  <r>
    <s v="Primo Water (Clear Mtn.) - 3338 Democrat Rd., Memphis, TN"/>
    <x v="1"/>
    <s v="Renewal"/>
    <s v="M2M"/>
    <n v="0.21165644171779152"/>
    <x v="1"/>
    <n v="0"/>
    <s v="Clear Mountain Refreshment Services"/>
    <n v="60"/>
    <n v="24000"/>
    <m/>
    <m/>
    <m/>
    <n v="3.26"/>
    <n v="3.95"/>
    <n v="4.3499999999999996"/>
    <n v="4.55"/>
    <n v="3.75"/>
    <n v="3"/>
    <n v="5.9245085034000002"/>
    <n v="11"/>
    <n v="0"/>
    <n v="0"/>
    <n v="22836.11"/>
    <n v="12000"/>
    <n v="0"/>
    <n v="0"/>
    <n v="34836.11"/>
    <n v="588515"/>
    <x v="1"/>
    <d v="2023-06-15T00:00:00"/>
    <m/>
    <m/>
    <m/>
    <m/>
    <m/>
    <m/>
    <m/>
    <s v="3tn00001"/>
    <m/>
    <m/>
    <m/>
    <s v="Renewal"/>
    <x v="2"/>
    <s v="1H2023"/>
    <x v="1"/>
    <n v="24000"/>
    <n v="78240"/>
    <n v="94800"/>
    <n v="104399.99999999999"/>
    <n v="109200"/>
    <n v="109200"/>
    <n v="109200"/>
    <n v="0"/>
    <n v="0"/>
    <n v="0"/>
    <n v="0"/>
    <n v="0"/>
    <s v=""/>
    <n v="0"/>
    <n v="0"/>
    <n v="142188.20408160001"/>
    <n v="264000"/>
    <n v="90000"/>
    <n v="72000"/>
  </r>
  <r>
    <s v="241 James/1071 Judson - Fitzsimmons"/>
    <x v="3"/>
    <m/>
    <m/>
    <m/>
    <x v="0"/>
    <n v="0"/>
    <s v="Fitzsimmons Surgical Supply, Inc."/>
    <n v="36"/>
    <n v="7328"/>
    <m/>
    <m/>
    <m/>
    <n v="6.63"/>
    <n v="8.4"/>
    <n v="8.4"/>
    <n v="8.5"/>
    <n v="4"/>
    <n v="3"/>
    <n v="3.8664271562999999"/>
    <n v="12.27"/>
    <n v="0"/>
    <n v="1.0899999999999999"/>
    <n v="5531.51"/>
    <n v="5000"/>
    <n v="0"/>
    <n v="0"/>
    <n v="10531.51"/>
    <n v="272383.51"/>
    <x v="0"/>
    <d v="2023-02-21T00:00:00"/>
    <n v="10.463635344030383"/>
    <n v="9.6559743664717814"/>
    <n v="-23.1015922827"/>
    <n v="-13.5996984291"/>
    <m/>
    <m/>
    <m/>
    <s v="xil231ja"/>
    <m/>
    <n v="0.24567087428933121"/>
    <n v="0.14952075791330732"/>
    <s v="New Lease"/>
    <x v="7"/>
    <s v="1H2023"/>
    <x v="0"/>
    <n v="7328"/>
    <n v="48584.639999999999"/>
    <n v="61555.200000000004"/>
    <n v="61555.200000000004"/>
    <n v="62288"/>
    <n v="62288"/>
    <n v="62288"/>
    <n v="76677.519801054645"/>
    <n v="70758.980157505212"/>
    <n v="0"/>
    <n v="7328"/>
    <n v="7987.5199999999986"/>
    <s v=""/>
    <n v="0"/>
    <n v="0"/>
    <n v="28333.178201366398"/>
    <n v="89914.559999999998"/>
    <n v="29312"/>
    <n v="21984"/>
  </r>
  <r>
    <s v="4225 Phil Niekro (Victor Manzo_3yr renewal)"/>
    <x v="1"/>
    <m/>
    <m/>
    <m/>
    <x v="2"/>
    <n v="0"/>
    <s v="Victor Manzo"/>
    <n v="36"/>
    <n v="5179"/>
    <m/>
    <m/>
    <m/>
    <n v="6.95"/>
    <n v="8.0500000000000007"/>
    <n v="7.97"/>
    <n v="8.15"/>
    <n v="4"/>
    <n v="3"/>
    <n v="3.9999954461999998"/>
    <n v="20"/>
    <n v="0"/>
    <n v="0"/>
    <n v="5270.36"/>
    <n v="0"/>
    <n v="0"/>
    <n v="0"/>
    <n v="5270.36"/>
    <n v="131759.15"/>
    <x v="0"/>
    <d v="2023-02-01T00:00:00"/>
    <n v="10.633399667939873"/>
    <n v="9.6590977639075621"/>
    <n v="-30.4711615698"/>
    <n v="-18.5165369805"/>
    <m/>
    <m/>
    <m/>
    <s v="xga4225"/>
    <m/>
    <n v="0.32091921340867979"/>
    <n v="0.19988792098230568"/>
    <s v="Renewal"/>
    <x v="7"/>
    <s v="1H2023"/>
    <x v="0"/>
    <n v="5179"/>
    <n v="35994.050000000003"/>
    <n v="41690.950000000004"/>
    <n v="41276.629999999997"/>
    <n v="42208.85"/>
    <n v="42208.85"/>
    <n v="42208.85"/>
    <n v="55070.376880260599"/>
    <n v="50024.467319277261"/>
    <n v="0"/>
    <n v="0"/>
    <n v="0"/>
    <s v=""/>
    <n v="0"/>
    <n v="0"/>
    <n v="20715.976415869798"/>
    <n v="103580"/>
    <n v="20716"/>
    <n v="15537"/>
  </r>
  <r>
    <s v="4450 Commerce (KJ Discount)"/>
    <x v="0"/>
    <m/>
    <m/>
    <m/>
    <x v="2"/>
    <n v="0"/>
    <s v="KJ Discount"/>
    <n v="60"/>
    <n v="18700"/>
    <m/>
    <m/>
    <m/>
    <m/>
    <n v="6.2130000000000001"/>
    <n v="6.27"/>
    <n v="6"/>
    <n v="4"/>
    <n v="3"/>
    <n v="14.7271680124"/>
    <n v="21.53"/>
    <n v="9"/>
    <n v="1.0899999999999999"/>
    <n v="48851"/>
    <n v="0"/>
    <n v="12597.62"/>
    <n v="28050"/>
    <n v="89498.62"/>
    <n v="607711"/>
    <x v="0"/>
    <d v="2023-03-13T00:00:00"/>
    <n v="6.3387458496689684"/>
    <n v="5.7198919512253497"/>
    <n v="-5.6457641610999998"/>
    <n v="4.6684674796000003"/>
    <n v="5"/>
    <m/>
    <m/>
    <s v="xga4450c"/>
    <m/>
    <n v="2.0239151725248483E-2"/>
    <n v="-7.9367141280323628E-2"/>
    <s v="New Lease"/>
    <x v="7"/>
    <s v="1H2023"/>
    <x v="0"/>
    <s v=""/>
    <s v=""/>
    <n v="116183.1"/>
    <n v="117248.99999999999"/>
    <s v=""/>
    <n v="112200"/>
    <s v=""/>
    <n v="118534.5473888097"/>
    <n v="106961.97948791404"/>
    <n v="168300"/>
    <n v="18700"/>
    <n v="20382.999999999996"/>
    <n v="112200"/>
    <n v="3"/>
    <n v="336600"/>
    <n v="275398.04183187999"/>
    <n v="402611"/>
    <n v="74800"/>
    <n v="56100"/>
  </r>
  <r>
    <s v="Custom Piping System - 9615 Ball st, San Antonio"/>
    <x v="0"/>
    <m/>
    <m/>
    <m/>
    <x v="11"/>
    <n v="0"/>
    <s v="Custom Piping System"/>
    <n v="62"/>
    <n v="29772"/>
    <m/>
    <m/>
    <m/>
    <n v="8.7799999999999994"/>
    <n v="8.98"/>
    <n v="10.4"/>
    <n v="10.75"/>
    <n v="4"/>
    <n v="3"/>
    <n v="11.484017528400001"/>
    <n v="15.15"/>
    <n v="0"/>
    <n v="5.09"/>
    <n v="131153"/>
    <n v="14886"/>
    <n v="0"/>
    <n v="53341"/>
    <n v="199380"/>
    <n v="1736152"/>
    <x v="0"/>
    <d v="2023-02-02T00:00:00"/>
    <n v="8.8214685842768183"/>
    <n v="6.3777801169126196"/>
    <n v="17.939827123000001"/>
    <n v="40.671812865900002"/>
    <n v="7.7"/>
    <m/>
    <m/>
    <s v="xtxball"/>
    <m/>
    <n v="-1.7653832485877707E-2"/>
    <n v="-0.28977949700304906"/>
    <s v="New Lease"/>
    <x v="7"/>
    <s v="1H2023"/>
    <x v="1"/>
    <n v="29772"/>
    <n v="261398.15999999997"/>
    <n v="267352.56"/>
    <n v="309628.79999999999"/>
    <n v="320049"/>
    <n v="320049"/>
    <n v="320049"/>
    <n v="262632.76269108942"/>
    <n v="189879.26964072252"/>
    <n v="0"/>
    <n v="29772"/>
    <n v="151539.47999999998"/>
    <n v="320049"/>
    <n v="1.9999812528706542"/>
    <n v="640092"/>
    <n v="341902.16985552484"/>
    <n v="451045.8"/>
    <n v="119088"/>
    <n v="89316"/>
  </r>
  <r>
    <s v="4630 Frederick (Ste B, Pulseworks) Renewal"/>
    <x v="1"/>
    <m/>
    <m/>
    <m/>
    <x v="2"/>
    <n v="0"/>
    <s v="Pulseworks LLC"/>
    <n v="36"/>
    <n v="12530"/>
    <m/>
    <m/>
    <m/>
    <n v="2.77"/>
    <n v="5.27"/>
    <s v=""/>
    <n v="6.25"/>
    <n v="4"/>
    <n v="3"/>
    <n v="5.9999993479000002"/>
    <n v="11"/>
    <n v="0"/>
    <n v="0"/>
    <n v="18401.830000000002"/>
    <n v="0"/>
    <n v="0"/>
    <n v="0"/>
    <n v="18401.830000000002"/>
    <n v="306697.2"/>
    <x v="0"/>
    <d v="2022-05-31T00:00:00"/>
    <n v="5.3831449894414236"/>
    <n v="5.2244722211679582"/>
    <n v="-0.13869680168937226"/>
    <n v="-0.16408444461312666"/>
    <m/>
    <m/>
    <m/>
    <s v="xga4600f"/>
    <m/>
    <n v="2.1469637465165947E-2"/>
    <n v="-8.6390472167061638E-3"/>
    <s v="Renewal"/>
    <x v="9"/>
    <s v="1H2022"/>
    <x v="0"/>
    <n v="12530"/>
    <n v="34708.1"/>
    <n v="66033.099999999991"/>
    <s v=""/>
    <n v="78312.5"/>
    <n v="78312.5"/>
    <n v="78312.5"/>
    <n v="67450.806717701038"/>
    <n v="65462.636931234512"/>
    <n v="0"/>
    <n v="0"/>
    <n v="0"/>
    <s v=""/>
    <n v="0"/>
    <n v="0"/>
    <n v="75179.991829186998"/>
    <n v="137830"/>
    <n v="50120"/>
    <n v="37590"/>
  </r>
  <r>
    <s v="700 High Grove - Fancy Sprinkles"/>
    <x v="0"/>
    <m/>
    <m/>
    <m/>
    <x v="0"/>
    <n v="0"/>
    <s v="Fancy Sprinkles LLC"/>
    <n v="36"/>
    <n v="43519"/>
    <m/>
    <m/>
    <m/>
    <m/>
    <n v="5.75"/>
    <s v=""/>
    <n v="6.5"/>
    <n v="4"/>
    <n v="3"/>
    <n v="20.761032176499999"/>
    <n v="26.2"/>
    <n v="5"/>
    <n v="11.09"/>
    <n v="35320.019999999997"/>
    <n v="148000"/>
    <n v="0"/>
    <n v="0"/>
    <n v="183320.02"/>
    <n v="883000.51"/>
    <x v="0"/>
    <d v="2022-05-11T00:00:00"/>
    <n v="8.0586556138432943"/>
    <n v="7.5699809254067461"/>
    <n v="0.23979317136050682"/>
    <n v="0.1646124500625763"/>
    <m/>
    <m/>
    <m/>
    <s v="xil700h"/>
    <m/>
    <n v="0.40150532414665996"/>
    <n v="0.31651842180986889"/>
    <s v="New Lease"/>
    <x v="9"/>
    <s v="1H2022"/>
    <x v="1"/>
    <n v="0"/>
    <n v="0"/>
    <n v="250234.25"/>
    <s v=""/>
    <n v="0"/>
    <n v="282873.5"/>
    <s v=""/>
    <n v="350704.63365884632"/>
    <n v="329437.99989277619"/>
    <n v="217595"/>
    <n v="43519"/>
    <n v="482625.71"/>
    <s v=""/>
    <n v="0"/>
    <n v="0"/>
    <n v="903499.35928910342"/>
    <n v="1140197.8"/>
    <n v="174076"/>
    <n v="130557"/>
  </r>
  <r>
    <s v="2078 Integrity Dr.- Distribution International"/>
    <x v="1"/>
    <s v="Renewal"/>
    <s v="M2M"/>
    <n v="0.2013729977116705"/>
    <x v="10"/>
    <n v="0"/>
    <s v="Insulation Fabricators"/>
    <n v="60"/>
    <n v="17000"/>
    <m/>
    <m/>
    <m/>
    <n v="4.37"/>
    <n v="5.25"/>
    <n v="6.44"/>
    <n v="7"/>
    <n v="3.5"/>
    <n v="3"/>
    <n v="8.5619229683999993"/>
    <n v="10.95"/>
    <n v="0"/>
    <n v="0"/>
    <n v="31909"/>
    <n v="22731.48"/>
    <n v="0"/>
    <n v="0"/>
    <n v="54640.480000000003"/>
    <n v="638180"/>
    <x v="1"/>
    <d v="2023-02-27T00:00:00"/>
    <n v="6.7675715938336154"/>
    <n v="6.5212519479725035"/>
    <n v="3.3204058023999998"/>
    <n v="6.8392578861000004"/>
    <m/>
    <m/>
    <m/>
    <s v="3oh00001"/>
    <m/>
    <n v="0.28906125596830767"/>
    <n v="0.2421432281852387"/>
    <s v="Renewal"/>
    <x v="7"/>
    <s v="1H2023"/>
    <x v="0"/>
    <n v="17000"/>
    <n v="74290"/>
    <n v="89250"/>
    <n v="109480"/>
    <n v="119000"/>
    <n v="119000"/>
    <n v="119000"/>
    <n v="115048.71709517147"/>
    <n v="110861.28311553255"/>
    <n v="0"/>
    <n v="0"/>
    <n v="0"/>
    <s v=""/>
    <n v="0"/>
    <n v="0"/>
    <n v="145552.69046279998"/>
    <n v="186150"/>
    <n v="59500"/>
    <n v="51000"/>
  </r>
  <r>
    <s v="4600 Frederick (Ste F, American HVAC)"/>
    <x v="1"/>
    <m/>
    <m/>
    <m/>
    <x v="2"/>
    <n v="0"/>
    <s v="American HVAC Inc"/>
    <n v="36"/>
    <n v="10000"/>
    <m/>
    <m/>
    <m/>
    <n v="3.35"/>
    <n v="5.25"/>
    <s v=""/>
    <n v="6"/>
    <n v="4"/>
    <n v="3"/>
    <n v="7.2413685965000001"/>
    <n v="11"/>
    <n v="0"/>
    <n v="0"/>
    <n v="17246.84"/>
    <n v="0"/>
    <n v="0"/>
    <n v="0"/>
    <n v="17246.84"/>
    <n v="238171"/>
    <x v="0"/>
    <d v="2022-04-01T00:00:00"/>
    <n v="5.583434629180962"/>
    <n v="5.1624114649684136"/>
    <n v="-6.9427561803172999E-2"/>
    <n v="-0.13959808917193106"/>
    <m/>
    <m/>
    <m/>
    <s v="xga4600f"/>
    <m/>
    <n v="6.3511357939230795E-2"/>
    <n v="-1.6683530482206943E-2"/>
    <s v="Renewal"/>
    <x v="9"/>
    <s v="1H2022"/>
    <x v="0"/>
    <n v="10000"/>
    <n v="33500"/>
    <n v="52500"/>
    <s v=""/>
    <n v="60000"/>
    <n v="60000"/>
    <n v="60000"/>
    <n v="55834.346291809619"/>
    <n v="51624.114649684139"/>
    <n v="0"/>
    <n v="0"/>
    <n v="0"/>
    <s v=""/>
    <n v="0"/>
    <n v="0"/>
    <n v="72413.685964999997"/>
    <n v="110000"/>
    <n v="40000"/>
    <n v="30000"/>
  </r>
  <r>
    <s v="3055 Switzer Ave- KREG"/>
    <x v="0"/>
    <m/>
    <m/>
    <m/>
    <x v="10"/>
    <n v="0"/>
    <s v="KREG"/>
    <n v="37"/>
    <n v="5980"/>
    <m/>
    <m/>
    <m/>
    <n v="6.6"/>
    <n v="6.7"/>
    <s v=""/>
    <n v="8.25"/>
    <n v="4"/>
    <n v="3"/>
    <n v="22.959952147999999"/>
    <n v="16.34"/>
    <n v="9"/>
    <n v="8.09"/>
    <n v="10814.88"/>
    <n v="32670.240000000002"/>
    <n v="500"/>
    <n v="4111.25"/>
    <n v="48096.37"/>
    <n v="209479.4"/>
    <x v="0"/>
    <d v="2022-04-26T00:00:00"/>
    <n v="7.2871979608419144"/>
    <n v="6.955807222841786"/>
    <n v="-0.11670327747370735"/>
    <n v="-0.15687185177675322"/>
    <m/>
    <m/>
    <m/>
    <s v="xohcolu2"/>
    <m/>
    <n v="8.7641486692823012E-2"/>
    <n v="3.8180182513699368E-2"/>
    <s v="New Lease"/>
    <x v="9"/>
    <s v="1H2022"/>
    <x v="0"/>
    <n v="5980"/>
    <n v="39468"/>
    <n v="40066"/>
    <s v=""/>
    <n v="49335"/>
    <n v="49335"/>
    <n v="49335"/>
    <n v="43577.44380583465"/>
    <n v="41595.727192593877"/>
    <n v="53820"/>
    <n v="5980"/>
    <n v="48378.2"/>
    <n v="49335"/>
    <n v="1"/>
    <n v="49335"/>
    <n v="137300.51384504"/>
    <n v="97713.2"/>
    <n v="23920"/>
    <n v="17940"/>
  </r>
  <r>
    <s v="955 Estes - Rademaker USA"/>
    <x v="0"/>
    <s v="Lease up"/>
    <s v="Lease up"/>
    <m/>
    <x v="0"/>
    <n v="0"/>
    <s v="Rademaker"/>
    <n v="87"/>
    <n v="45263"/>
    <m/>
    <m/>
    <m/>
    <m/>
    <n v="9.5"/>
    <n v="9.5"/>
    <n v="9.15"/>
    <n v="3.5"/>
    <n v="3"/>
    <n v="13.0220242121"/>
    <n v="13"/>
    <n v="6"/>
    <n v="6"/>
    <n v="225337.91"/>
    <n v="90490"/>
    <n v="0"/>
    <n v="103477.35"/>
    <n v="419305.26"/>
    <n v="3219969.9"/>
    <x v="1"/>
    <d v="2023-01-04T00:00:00"/>
    <n v="8.9599080652717369"/>
    <n v="7.4686518280132859"/>
    <n v="2.0775074833999998"/>
    <n v="18.375389857799998"/>
    <n v="7.1"/>
    <m/>
    <m/>
    <s v="3il00005"/>
    <m/>
    <n v="-5.6851782602975076E-2"/>
    <n v="-0.21382612336702256"/>
    <s v="New Lease"/>
    <x v="7"/>
    <s v="1H2023"/>
    <x v="1"/>
    <s v=""/>
    <s v=""/>
    <n v="429998.5"/>
    <n v="429998.5"/>
    <s v=""/>
    <n v="414156.45"/>
    <s v=""/>
    <n v="405552.31875839463"/>
    <n v="338053.58769136533"/>
    <n v="271578"/>
    <n v="45263"/>
    <n v="271578"/>
    <n v="414156.45"/>
    <n v="2.998210458873694"/>
    <n v="1241728.2"/>
    <n v="589415.88191228232"/>
    <n v="588419"/>
    <n v="158420.5"/>
    <n v="135789"/>
  </r>
  <r>
    <s v="3065 Switzer Ave - Surfaces Construction"/>
    <x v="0"/>
    <m/>
    <m/>
    <m/>
    <x v="10"/>
    <n v="0"/>
    <s v="Surfaces Construction"/>
    <n v="61"/>
    <n v="5620"/>
    <m/>
    <m/>
    <m/>
    <n v="6.6"/>
    <n v="6.7"/>
    <s v=""/>
    <n v="8.25"/>
    <n v="4"/>
    <n v="3"/>
    <n v="20.602913945699999"/>
    <n v="16.34"/>
    <n v="9"/>
    <n v="8.09"/>
    <n v="17635.79"/>
    <n v="30703.47"/>
    <n v="500"/>
    <n v="3863.75"/>
    <n v="52703.01"/>
    <n v="255803.67"/>
    <x v="0"/>
    <d v="2022-06-29T00:00:00"/>
    <n v="7.6309771960921662"/>
    <n v="7.2181037457126296"/>
    <n v="-7.5033067140343523E-2"/>
    <n v="-0.12507833385301459"/>
    <m/>
    <m/>
    <m/>
    <s v="xohcolu2"/>
    <m/>
    <n v="0.1389518203122635"/>
    <n v="7.7328917270541808E-2"/>
    <s v="New Lease"/>
    <x v="9"/>
    <s v="1H2022"/>
    <x v="0"/>
    <n v="5620"/>
    <n v="37092"/>
    <n v="37654"/>
    <s v=""/>
    <n v="46365"/>
    <n v="46365"/>
    <n v="46365"/>
    <n v="42886.091842037975"/>
    <n v="40565.743050904981"/>
    <n v="50580"/>
    <n v="5620"/>
    <n v="45465.799999999996"/>
    <n v="46365"/>
    <n v="1"/>
    <n v="46365"/>
    <n v="115788.376374834"/>
    <n v="91830.8"/>
    <n v="22480"/>
    <n v="16860"/>
  </r>
  <r>
    <s v="Johnson Windows - 3276 Democrat rd"/>
    <x v="1"/>
    <s v="Renewal"/>
    <s v="M2M"/>
    <n v="0.32786885245901631"/>
    <x v="1"/>
    <n v="0"/>
    <s v="Johnson Window Films"/>
    <n v="36"/>
    <n v="12025"/>
    <m/>
    <m/>
    <m/>
    <n v="3.05"/>
    <n v="4.05"/>
    <n v="4.05"/>
    <n v="4.5"/>
    <n v="3.5"/>
    <n v="3"/>
    <n v="9.3534523371000002"/>
    <n v="11"/>
    <n v="0"/>
    <n v="0"/>
    <n v="6724.62"/>
    <n v="9000"/>
    <n v="0"/>
    <n v="0"/>
    <n v="15724.62"/>
    <n v="168115.68"/>
    <x v="1"/>
    <d v="2022-12-05T00:00:00"/>
    <n v="4.2261896040280016"/>
    <n v="4.1812151712393799"/>
    <n v="-6.0846754660444091E-2"/>
    <n v="-7.0841073057915538E-2"/>
    <m/>
    <m/>
    <m/>
    <s v="3tn00003"/>
    <m/>
    <n v="4.3503605932839973E-2"/>
    <n v="3.239880771342718E-2"/>
    <s v="Renewal"/>
    <x v="10"/>
    <s v="2H2022"/>
    <x v="0"/>
    <n v="12025"/>
    <n v="36676.25"/>
    <n v="48701.25"/>
    <n v="48701.25"/>
    <n v="54112.5"/>
    <n v="54112.5"/>
    <n v="54112.5"/>
    <n v="50819.929988436721"/>
    <n v="50279.112434153547"/>
    <n v="0"/>
    <n v="0"/>
    <n v="0"/>
    <s v=""/>
    <n v="0"/>
    <n v="0"/>
    <n v="112475.2643536275"/>
    <n v="132275"/>
    <n v="42087.5"/>
    <n v="36075"/>
  </r>
  <r>
    <s v="7055 Central Highway - Building 1- Serious Shops"/>
    <x v="0"/>
    <m/>
    <m/>
    <m/>
    <x v="4"/>
    <s v="Yes"/>
    <s v="Serious Shops LLC"/>
    <n v="61"/>
    <n v="20721"/>
    <m/>
    <m/>
    <m/>
    <n v="2.17"/>
    <n v="4.5"/>
    <s v=""/>
    <n v="7.3"/>
    <n v="4"/>
    <n v="3"/>
    <n v="19.4339538676"/>
    <n v="60.29"/>
    <n v="3"/>
    <n v="8.09"/>
    <n v="51615.32"/>
    <n v="95000"/>
    <n v="0"/>
    <n v="12605.28"/>
    <n v="159220.6"/>
    <n v="819290.82"/>
    <x v="0"/>
    <d v="2022-04-29T00:00:00"/>
    <n v="7.5315157719376611"/>
    <n v="6.9351054548155009"/>
    <n v="3.171448930652887E-2"/>
    <n v="-4.9985554134862831E-2"/>
    <m/>
    <m/>
    <m/>
    <s v="xnjcentr"/>
    <m/>
    <n v="0.67367017154170239"/>
    <n v="0.54113454551455575"/>
    <s v="New Lease"/>
    <x v="9"/>
    <s v="1H2022"/>
    <x v="1"/>
    <n v="20721"/>
    <n v="44964.57"/>
    <n v="93244.5"/>
    <s v=""/>
    <n v="151263.29999999999"/>
    <n v="151263.29999999999"/>
    <n v="151263.29999999999"/>
    <n v="156060.53831032026"/>
    <n v="143702.32012923199"/>
    <n v="62163"/>
    <n v="20721"/>
    <n v="167632.88999999998"/>
    <n v="151263.29999999999"/>
    <n v="1.0000003966593352"/>
    <n v="151263.35999999999"/>
    <n v="402690.95809053961"/>
    <n v="1249269.0900000001"/>
    <n v="82884"/>
    <n v="62163"/>
  </r>
  <r>
    <s v="4225 Phil Niekro (Kaddak_Suites 101/102/103 &amp; 104/105/106)"/>
    <x v="0"/>
    <m/>
    <m/>
    <m/>
    <x v="2"/>
    <n v="0"/>
    <s v="KADDAK, LLC"/>
    <n v="63"/>
    <n v="15477"/>
    <m/>
    <m/>
    <m/>
    <n v="5.34"/>
    <n v="5.87"/>
    <s v=""/>
    <n v="8"/>
    <n v="4"/>
    <n v="3"/>
    <n v="22.873863373300001"/>
    <n v="26"/>
    <n v="5"/>
    <n v="5.09"/>
    <n v="48015"/>
    <n v="90000"/>
    <n v="0"/>
    <n v="30954"/>
    <n v="168969"/>
    <n v="738699"/>
    <x v="0"/>
    <d v="2022-05-20T00:00:00"/>
    <n v="8.8262868511175139"/>
    <n v="7.9818484472176578"/>
    <n v="0.10328585638968923"/>
    <n v="-2.2689440977927688E-3"/>
    <m/>
    <m/>
    <m/>
    <s v="xga4225"/>
    <m/>
    <n v="0.50362638008816241"/>
    <n v="0.35976975250726717"/>
    <s v="New Lease"/>
    <x v="9"/>
    <s v="1H2022"/>
    <x v="0"/>
    <n v="15477"/>
    <n v="82647.179999999993"/>
    <n v="90849.99"/>
    <s v=""/>
    <n v="123816"/>
    <n v="123816"/>
    <n v="123816"/>
    <n v="136604.44159474576"/>
    <n v="123535.0684175877"/>
    <n v="77385"/>
    <n v="15477"/>
    <n v="78777.929999999993"/>
    <n v="123816"/>
    <n v="3"/>
    <n v="371448"/>
    <n v="354018.78342856409"/>
    <n v="402402"/>
    <n v="61908"/>
    <n v="46431"/>
  </r>
  <r>
    <s v="265 Castleberry (Struxure)"/>
    <x v="0"/>
    <m/>
    <m/>
    <m/>
    <x v="2"/>
    <n v="0"/>
    <s v="StruXure Outdoor, LLC"/>
    <n v="122"/>
    <n v="82460"/>
    <m/>
    <m/>
    <m/>
    <n v="5.75"/>
    <n v="5.35"/>
    <s v=""/>
    <n v="5.75"/>
    <n v="4"/>
    <n v="3"/>
    <n v="6.9308468413000002"/>
    <n v="19"/>
    <n v="1"/>
    <n v="5.09"/>
    <n v="398529.18"/>
    <n v="0"/>
    <n v="0"/>
    <n v="79049"/>
    <n v="477578.18"/>
    <n v="6890618"/>
    <x v="0"/>
    <d v="2022-05-03T00:00:00"/>
    <n v="10.180204228528893"/>
    <n v="8.4322749269310062"/>
    <n v="0.77047030061372057"/>
    <n v="0.46648259598800101"/>
    <n v="7.3"/>
    <m/>
    <m/>
    <s v="xga265c"/>
    <m/>
    <n v="0.90284191187455964"/>
    <n v="0.57612615456654326"/>
    <s v="New Lease"/>
    <x v="9"/>
    <s v="1H2022"/>
    <x v="3"/>
    <n v="82460"/>
    <n v="474145"/>
    <n v="441160.99999999994"/>
    <s v=""/>
    <n v="474145"/>
    <n v="474145"/>
    <n v="474145"/>
    <n v="839459.64068449254"/>
    <n v="695325.39047473075"/>
    <n v="82460"/>
    <n v="82460"/>
    <n v="419721.39999999997"/>
    <n v="474145"/>
    <n v="2.0006284997205497"/>
    <n v="948588"/>
    <n v="571517.63053359801"/>
    <n v="1566740"/>
    <n v="329840"/>
    <n v="247380"/>
  </r>
  <r>
    <s v="224 James - Triple Trading"/>
    <x v="0"/>
    <m/>
    <m/>
    <m/>
    <x v="0"/>
    <n v="0"/>
    <s v="Triple Trading"/>
    <n v="62"/>
    <n v="12905"/>
    <m/>
    <m/>
    <m/>
    <n v="9"/>
    <n v="8.32"/>
    <n v="8"/>
    <n v="9.75"/>
    <n v="4"/>
    <n v="3"/>
    <n v="6.97"/>
    <n v="35.97"/>
    <n v="0"/>
    <n v="8.09"/>
    <n v="27260"/>
    <n v="0"/>
    <n v="0"/>
    <n v="22000"/>
    <n v="49260"/>
    <n v="706601"/>
    <x v="0"/>
    <d v="2023-04-03T00:00:00"/>
    <m/>
    <m/>
    <m/>
    <m/>
    <m/>
    <m/>
    <m/>
    <s v="xil222ja"/>
    <m/>
    <m/>
    <m/>
    <s v="New Lease"/>
    <x v="2"/>
    <s v="1H2023"/>
    <x v="0"/>
    <n v="12905"/>
    <n v="116145"/>
    <n v="107369.60000000001"/>
    <n v="103240"/>
    <n v="125823.75"/>
    <n v="125823.75"/>
    <n v="125823.75"/>
    <n v="0"/>
    <n v="0"/>
    <n v="0"/>
    <n v="12905"/>
    <n v="104401.45"/>
    <n v="125823.75"/>
    <n v="2.098173039668584"/>
    <n v="264000"/>
    <n v="89947.849999999991"/>
    <n v="464192.85"/>
    <n v="51620"/>
    <n v="38715"/>
  </r>
  <r>
    <s v="231 James - American Expediting"/>
    <x v="1"/>
    <m/>
    <m/>
    <m/>
    <x v="0"/>
    <n v="0"/>
    <s v="American Expediting Company"/>
    <n v="37"/>
    <n v="5399"/>
    <m/>
    <m/>
    <m/>
    <n v="6.66"/>
    <n v="8.39"/>
    <n v="8"/>
    <n v="9.5"/>
    <n v="4"/>
    <n v="2"/>
    <n v="7.1689798492000003"/>
    <n v="17.98"/>
    <n v="0"/>
    <n v="0"/>
    <n v="7206"/>
    <n v="0"/>
    <n v="0"/>
    <n v="4274"/>
    <n v="11480"/>
    <n v="164830"/>
    <x v="0"/>
    <d v="2023-04-17T00:00:00"/>
    <m/>
    <m/>
    <m/>
    <m/>
    <m/>
    <m/>
    <m/>
    <s v="xil231ja"/>
    <m/>
    <m/>
    <m/>
    <s v="Renewal"/>
    <x v="2"/>
    <s v="1H2023"/>
    <x v="0"/>
    <n v="5399"/>
    <n v="35957.340000000004"/>
    <n v="45297.61"/>
    <n v="43192"/>
    <n v="51290.5"/>
    <n v="51290.5"/>
    <n v="51290.5"/>
    <n v="0"/>
    <n v="0"/>
    <n v="0"/>
    <n v="0"/>
    <n v="0"/>
    <n v="51290.5"/>
    <n v="0.99995125803023954"/>
    <n v="51288"/>
    <n v="38705.322205830802"/>
    <n v="97074.02"/>
    <n v="21596"/>
    <n v="10798"/>
  </r>
  <r>
    <s v="4507 Mills Place (Investors Academy, Ste I)"/>
    <x v="1"/>
    <m/>
    <m/>
    <m/>
    <x v="2"/>
    <n v="0"/>
    <s v="The Investors Academy Inc"/>
    <n v="60"/>
    <n v="4000"/>
    <m/>
    <m/>
    <m/>
    <n v="6"/>
    <n v="6.37"/>
    <n v="6.27"/>
    <n v="7"/>
    <n v="4"/>
    <n v="3"/>
    <n v="5.538377186"/>
    <n v="13.48"/>
    <n v="0"/>
    <n v="0"/>
    <n v="8687"/>
    <n v="0"/>
    <n v="0"/>
    <n v="0"/>
    <n v="8687"/>
    <n v="156851"/>
    <x v="0"/>
    <d v="2023-04-26T00:00:00"/>
    <m/>
    <m/>
    <m/>
    <m/>
    <m/>
    <m/>
    <m/>
    <s v="xga4507m"/>
    <m/>
    <m/>
    <m/>
    <s v="Renewal"/>
    <x v="2"/>
    <s v="1H2023"/>
    <x v="0"/>
    <n v="4000"/>
    <n v="24000"/>
    <n v="25480"/>
    <n v="25080"/>
    <n v="28000"/>
    <n v="28000"/>
    <n v="28000"/>
    <n v="0"/>
    <n v="0"/>
    <n v="0"/>
    <n v="0"/>
    <n v="0"/>
    <s v=""/>
    <n v="0"/>
    <n v="0"/>
    <n v="22153.508743999999"/>
    <n v="53920"/>
    <n v="16000"/>
    <n v="12000"/>
  </r>
  <r>
    <s v="2614 Andjon (Sila-M LLC)"/>
    <x v="0"/>
    <m/>
    <m/>
    <m/>
    <x v="7"/>
    <n v="0"/>
    <s v="Sila-M LLC"/>
    <n v="62"/>
    <n v="8204"/>
    <m/>
    <m/>
    <m/>
    <n v="5.28"/>
    <n v="7.44"/>
    <n v="8"/>
    <n v="8.5"/>
    <n v="4"/>
    <n v="3"/>
    <n v="14.6150687035"/>
    <n v="19.22"/>
    <n v="3"/>
    <n v="5.09"/>
    <n v="26444.36"/>
    <n v="29534.400000000001"/>
    <n v="0"/>
    <n v="11622.34"/>
    <n v="67601.100000000006"/>
    <n v="391612"/>
    <x v="0"/>
    <d v="2023-05-05T00:00:00"/>
    <m/>
    <m/>
    <m/>
    <m/>
    <n v="2.9"/>
    <m/>
    <m/>
    <s v="xtx2616a"/>
    <m/>
    <m/>
    <m/>
    <s v="New Lease"/>
    <x v="2"/>
    <s v="1H2023"/>
    <x v="0"/>
    <n v="8204"/>
    <n v="43317.120000000003"/>
    <n v="61037.760000000002"/>
    <n v="65632"/>
    <n v="69734"/>
    <n v="69734"/>
    <n v="69734"/>
    <n v="0"/>
    <n v="0"/>
    <n v="24612"/>
    <n v="8204"/>
    <n v="41758.36"/>
    <n v="69734"/>
    <n v="2.0000011472165657"/>
    <n v="139468.07999999999"/>
    <n v="119902.02364351401"/>
    <n v="157680.88"/>
    <n v="32816"/>
    <n v="24612"/>
  </r>
  <r>
    <s v="Clean Energy - 10519 King William"/>
    <x v="1"/>
    <m/>
    <m/>
    <m/>
    <x v="7"/>
    <n v="0"/>
    <s v="Clean Energy"/>
    <n v="36"/>
    <n v="7490"/>
    <m/>
    <m/>
    <m/>
    <n v="3.8"/>
    <n v="7.37"/>
    <n v="8"/>
    <n v="9"/>
    <n v="4"/>
    <n v="3"/>
    <n v="11.619969381300001"/>
    <n v="8.6300000000000008"/>
    <n v="0"/>
    <n v="0"/>
    <n v="9467.73"/>
    <n v="14980"/>
    <n v="0"/>
    <n v="0"/>
    <n v="24447.73"/>
    <n v="210427"/>
    <x v="0"/>
    <d v="2023-05-31T00:00:00"/>
    <m/>
    <m/>
    <m/>
    <m/>
    <m/>
    <m/>
    <m/>
    <s v="xtx1050k"/>
    <m/>
    <m/>
    <m/>
    <s v="Renewal"/>
    <x v="2"/>
    <s v="1H2023"/>
    <x v="0"/>
    <n v="7490"/>
    <n v="28462"/>
    <n v="55201.3"/>
    <n v="59920"/>
    <n v="67410"/>
    <n v="67410"/>
    <n v="67410"/>
    <n v="0"/>
    <n v="0"/>
    <n v="0"/>
    <n v="0"/>
    <n v="0"/>
    <s v=""/>
    <n v="0"/>
    <n v="0"/>
    <n v="87033.570665937004"/>
    <n v="64638.700000000004"/>
    <n v="29960"/>
    <n v="22470"/>
  </r>
  <r>
    <s v="3041 Marwin - AFS Unit A (South Side)"/>
    <x v="0"/>
    <m/>
    <m/>
    <m/>
    <x v="4"/>
    <n v="0"/>
    <s v="AFS World Truck Repair LP"/>
    <n v="84"/>
    <n v="34895"/>
    <m/>
    <m/>
    <m/>
    <n v="7.33"/>
    <n v="8.2899999999999991"/>
    <n v="9"/>
    <n v="10"/>
    <n v="4"/>
    <n v="3"/>
    <n v="3.9273612406999998"/>
    <n v="44.11"/>
    <n v="3.4"/>
    <n v="8.09"/>
    <n v="108242.39"/>
    <n v="0"/>
    <n v="0"/>
    <n v="0"/>
    <n v="108242.39"/>
    <n v="2756110"/>
    <x v="0"/>
    <d v="2023-04-25T00:00:00"/>
    <m/>
    <m/>
    <m/>
    <m/>
    <n v="7"/>
    <m/>
    <m/>
    <s v="xpa3041m"/>
    <m/>
    <m/>
    <m/>
    <s v="New Lease"/>
    <x v="2"/>
    <s v="1H2023"/>
    <x v="1"/>
    <n v="34895"/>
    <n v="255780.35"/>
    <n v="289279.55"/>
    <n v="314055"/>
    <n v="348950"/>
    <n v="348950"/>
    <n v="348950"/>
    <n v="0"/>
    <n v="0"/>
    <n v="118643"/>
    <n v="34895"/>
    <n v="282300.55"/>
    <s v=""/>
    <n v="0"/>
    <n v="0"/>
    <n v="137045.27049422648"/>
    <n v="1539218.45"/>
    <n v="139580"/>
    <n v="104685"/>
  </r>
  <r>
    <s v="70 Cathy Lane, NJ - Unit B"/>
    <x v="0"/>
    <m/>
    <m/>
    <m/>
    <x v="4"/>
    <n v="0"/>
    <s v="Dream Maker Events and Decors LLC"/>
    <n v="31"/>
    <n v="5740"/>
    <m/>
    <m/>
    <m/>
    <n v="5.22"/>
    <n v="8.35"/>
    <n v="8.32"/>
    <n v="9"/>
    <n v="4"/>
    <n v="4"/>
    <n v="17.618210398799999"/>
    <n v="48.87"/>
    <n v="6"/>
    <n v="5.09"/>
    <n v="7089.68"/>
    <n v="17220"/>
    <n v="0"/>
    <n v="0"/>
    <n v="24309.68"/>
    <n v="137714"/>
    <x v="0"/>
    <d v="2023-06-08T00:00:00"/>
    <m/>
    <m/>
    <m/>
    <m/>
    <n v="5"/>
    <m/>
    <m/>
    <s v="xnj70cat"/>
    <m/>
    <m/>
    <m/>
    <s v="New Lease"/>
    <x v="2"/>
    <s v="1H2023"/>
    <x v="0"/>
    <n v="5740"/>
    <n v="29962.799999999999"/>
    <n v="47929"/>
    <n v="47756.800000000003"/>
    <n v="51660"/>
    <n v="51660"/>
    <n v="51660"/>
    <n v="0"/>
    <n v="0"/>
    <n v="34440"/>
    <n v="5740"/>
    <n v="29216.6"/>
    <s v=""/>
    <n v="0"/>
    <n v="0"/>
    <n v="101128.52768911199"/>
    <n v="280513.8"/>
    <n v="22960"/>
    <n v="22960"/>
  </r>
  <r>
    <s v="ACC Brakers - 10501 King William Dr"/>
    <x v="3"/>
    <m/>
    <m/>
    <m/>
    <x v="7"/>
    <n v="0"/>
    <s v="ACC Brakers"/>
    <n v="60"/>
    <n v="12665"/>
    <m/>
    <m/>
    <m/>
    <n v="4.83"/>
    <n v="7.32"/>
    <n v="8.06"/>
    <n v="9"/>
    <n v="4"/>
    <n v="3"/>
    <n v="6.2516380382000003"/>
    <n v="21.31"/>
    <n v="0"/>
    <n v="5.09"/>
    <n v="27986"/>
    <n v="0"/>
    <n v="10895"/>
    <n v="0"/>
    <n v="38881"/>
    <n v="617380"/>
    <x v="0"/>
    <d v="2023-04-11T00:00:00"/>
    <m/>
    <m/>
    <m/>
    <m/>
    <n v="6"/>
    <m/>
    <m/>
    <s v="xtx1050k"/>
    <m/>
    <m/>
    <m/>
    <s v="New Lease"/>
    <x v="2"/>
    <s v="1H2023"/>
    <x v="0"/>
    <n v="12665"/>
    <n v="61171.950000000004"/>
    <n v="92707.8"/>
    <n v="102079.90000000001"/>
    <n v="113985"/>
    <n v="113985"/>
    <n v="113985"/>
    <n v="0"/>
    <n v="0"/>
    <n v="0"/>
    <n v="12665"/>
    <n v="64464.85"/>
    <s v=""/>
    <n v="0"/>
    <n v="0"/>
    <n v="79176.995753802999"/>
    <n v="269891.14999999997"/>
    <n v="50660"/>
    <n v="37995"/>
  </r>
  <r>
    <s v="121 Lombard - ENPRO"/>
    <x v="1"/>
    <m/>
    <m/>
    <m/>
    <x v="0"/>
    <s v="Yes"/>
    <s v="Enpro, Inc."/>
    <n v="36"/>
    <n v="20000"/>
    <m/>
    <m/>
    <m/>
    <n v="8.06"/>
    <n v="7.5"/>
    <s v=""/>
    <n v="8.25"/>
    <n v="4"/>
    <n v="4"/>
    <n v="10.547929966"/>
    <n v="7.3"/>
    <n v="0"/>
    <n v="0"/>
    <n v="19502.560000000001"/>
    <n v="7326.03"/>
    <n v="0"/>
    <n v="27500"/>
    <n v="54328.59"/>
    <n v="515064"/>
    <x v="0"/>
    <d v="2022-09-15T00:00:00"/>
    <n v="8.5397856145907074"/>
    <n v="8.1436605365944903"/>
    <n v="3.5125529041297954E-2"/>
    <n v="-1.288963192794057E-2"/>
    <m/>
    <m/>
    <m/>
    <s v="xil121lo"/>
    <m/>
    <n v="0.13863808194542759"/>
    <n v="8.5821404879265373E-2"/>
    <s v="Renewal"/>
    <x v="11"/>
    <s v="2H2022"/>
    <x v="1"/>
    <n v="20000"/>
    <n v="161200"/>
    <n v="150000"/>
    <s v=""/>
    <n v="165000"/>
    <n v="165000"/>
    <n v="165000"/>
    <n v="170795.71229181415"/>
    <n v="162873.21073188982"/>
    <n v="0"/>
    <n v="0"/>
    <n v="0"/>
    <n v="165000"/>
    <n v="2"/>
    <n v="330000"/>
    <n v="210958.59932000001"/>
    <n v="146000"/>
    <n v="80000"/>
    <n v="80000"/>
  </r>
  <r>
    <s v="1080 Entry - Lincare Inc"/>
    <x v="0"/>
    <m/>
    <m/>
    <m/>
    <x v="0"/>
    <n v="0"/>
    <s v="Lincare Inc"/>
    <n v="36"/>
    <n v="5382"/>
    <m/>
    <m/>
    <m/>
    <n v="7.84"/>
    <n v="8"/>
    <s v=""/>
    <n v="9.25"/>
    <n v="4"/>
    <n v="3"/>
    <n v="7.8615462104000002"/>
    <n v="29.7"/>
    <n v="2"/>
    <n v="1.0899999999999999"/>
    <n v="6215.14"/>
    <n v="6000"/>
    <n v="0"/>
    <n v="0"/>
    <n v="12215.14"/>
    <n v="155378.34"/>
    <x v="0"/>
    <d v="2022-09-11T00:00:00"/>
    <n v="10.585438020447134"/>
    <n v="10.364741421697721"/>
    <n v="0.14437167788617655"/>
    <n v="0.12051258612948335"/>
    <m/>
    <m/>
    <m/>
    <s v="xil201ja"/>
    <m/>
    <n v="0.32317975255589171"/>
    <n v="0.29559267771221509"/>
    <s v="New Lease"/>
    <x v="11"/>
    <s v="2H2022"/>
    <x v="0"/>
    <n v="5382"/>
    <n v="42194.879999999997"/>
    <n v="43056"/>
    <s v=""/>
    <n v="49783.5"/>
    <n v="49783.5"/>
    <n v="49783.5"/>
    <n v="56970.827426046475"/>
    <n v="55783.038331577132"/>
    <n v="10764"/>
    <n v="5382"/>
    <n v="5866.3799999999992"/>
    <s v=""/>
    <n v="0"/>
    <n v="0"/>
    <n v="42310.841704372804"/>
    <n v="159845.4"/>
    <n v="21528"/>
    <n v="16146"/>
  </r>
  <r>
    <s v="Chase Doors- 10021 Commerce Dr, Cincinnati, OH"/>
    <x v="1"/>
    <m/>
    <m/>
    <m/>
    <x v="5"/>
    <n v="0"/>
    <s v="Chase Industries, Inccons"/>
    <n v="60"/>
    <n v="80000"/>
    <m/>
    <m/>
    <m/>
    <n v="3.46"/>
    <n v="3.71"/>
    <s v=""/>
    <n v="4.5"/>
    <n v="4"/>
    <n v="3"/>
    <n v="20.939137399300002"/>
    <n v="8"/>
    <n v="0"/>
    <n v="0"/>
    <n v="88186.01"/>
    <n v="321656"/>
    <n v="500"/>
    <n v="0"/>
    <n v="410342.01"/>
    <n v="1959689.18"/>
    <x v="0"/>
    <d v="2022-09-28T00:00:00"/>
    <n v="5.2901554759393505"/>
    <n v="4.4496787752709928"/>
    <n v="0.17559010576430012"/>
    <n v="-1.1182494384223807E-2"/>
    <n v="3.7"/>
    <m/>
    <m/>
    <s v="xohcomme"/>
    <m/>
    <n v="0.42591791804295154"/>
    <n v="0.19937433295714091"/>
    <s v="Renewal"/>
    <x v="11"/>
    <s v="2H2022"/>
    <x v="3"/>
    <n v="80000"/>
    <n v="276800"/>
    <n v="296800"/>
    <s v=""/>
    <n v="360000"/>
    <n v="360000"/>
    <n v="360000"/>
    <n v="423212.43807514803"/>
    <n v="355974.30202167941"/>
    <n v="0"/>
    <n v="0"/>
    <n v="0"/>
    <s v=""/>
    <n v="0"/>
    <n v="0"/>
    <n v="1675130.9919440001"/>
    <n v="640000"/>
    <n v="320000"/>
    <n v="240000"/>
  </r>
  <r>
    <s v="Yzer LLC- 420 S Ware: Suite B"/>
    <x v="0"/>
    <m/>
    <m/>
    <m/>
    <x v="9"/>
    <n v="0"/>
    <s v="Yzer"/>
    <n v="60"/>
    <n v="6832"/>
    <m/>
    <m/>
    <m/>
    <n v="10.95"/>
    <n v="10.95"/>
    <s v=""/>
    <n v="11.85"/>
    <n v="4"/>
    <n v="4"/>
    <n v="6.0000009122"/>
    <n v="12.71"/>
    <n v="6"/>
    <n v="5.09"/>
    <n v="26310.07"/>
    <n v="0"/>
    <n v="0"/>
    <n v="0"/>
    <n v="26310.07"/>
    <n v="438501.1"/>
    <x v="0"/>
    <d v="2022-09-09T00:00:00"/>
    <n v="9.5877118330255815"/>
    <n v="8.8349972340272664"/>
    <n v="-0.19091039383750363"/>
    <n v="-0.25443061316225601"/>
    <n v="7"/>
    <m/>
    <m/>
    <s v="xfl420sw"/>
    <m/>
    <n v="-0.12440987826250394"/>
    <n v="-0.19315093753175638"/>
    <s v="New Lease"/>
    <x v="11"/>
    <s v="2H2022"/>
    <x v="0"/>
    <n v="6832"/>
    <n v="74810.399999999994"/>
    <n v="74810.399999999994"/>
    <s v=""/>
    <n v="80959.199999999997"/>
    <n v="80959.199999999997"/>
    <n v="80959.199999999997"/>
    <n v="65503.24724323077"/>
    <n v="60360.701102874285"/>
    <n v="40992"/>
    <n v="6832"/>
    <n v="34774.879999999997"/>
    <s v=""/>
    <n v="0"/>
    <n v="0"/>
    <n v="40992.006232150401"/>
    <n v="86834.72"/>
    <n v="27328"/>
    <n v="27328"/>
  </r>
  <r>
    <s v="4-Star Hose &amp; Supply_10704-10 Composite dr"/>
    <x v="4"/>
    <m/>
    <m/>
    <m/>
    <x v="7"/>
    <s v="Yes"/>
    <s v="4-star Hose &amp; Supply inc"/>
    <n v="60"/>
    <n v="27290"/>
    <m/>
    <m/>
    <m/>
    <n v="5.726"/>
    <n v="7"/>
    <s v=""/>
    <n v="7.25"/>
    <n v="4"/>
    <n v="3"/>
    <n v="9.6334443525999998"/>
    <n v="7.5"/>
    <n v="0"/>
    <n v="0"/>
    <n v="48213.243000000002"/>
    <n v="55000"/>
    <s v=""/>
    <n v="0"/>
    <n v="103213.243"/>
    <n v="1071405.3999999999"/>
    <x v="0"/>
    <d v="2022-09-01T00:00:00"/>
    <n v="7.6912732727620234"/>
    <n v="6.7703431841328277"/>
    <n v="6.086527900165839E-2"/>
    <n v="-6.6159560809265106E-2"/>
    <n v="6.8"/>
    <m/>
    <m/>
    <s v="xtx10704"/>
    <m/>
    <n v="9.8753324680288967E-2"/>
    <n v="-3.2808116552453193E-2"/>
    <s v="Renewal"/>
    <x v="11"/>
    <s v="2H2022"/>
    <x v="1"/>
    <n v="27290"/>
    <n v="156262.54"/>
    <n v="191030"/>
    <s v=""/>
    <n v="197852.5"/>
    <n v="197852.5"/>
    <n v="197852.5"/>
    <n v="209894.84761367561"/>
    <n v="184762.66549498486"/>
    <n v="0"/>
    <n v="0"/>
    <n v="0"/>
    <s v=""/>
    <n v="0"/>
    <n v="0"/>
    <n v="262896.69638245401"/>
    <n v="204675"/>
    <n v="109160"/>
    <n v="81870"/>
  </r>
  <r>
    <s v="224 James - Sun Badger Solar LLC"/>
    <x v="0"/>
    <m/>
    <m/>
    <m/>
    <x v="0"/>
    <n v="0"/>
    <s v="Sun Badger Solar LLC"/>
    <n v="62"/>
    <n v="12905"/>
    <m/>
    <m/>
    <m/>
    <n v="7.12"/>
    <n v="8"/>
    <s v=""/>
    <n v="9"/>
    <n v="4"/>
    <n v="5"/>
    <n v="47.190952777"/>
    <n v="45"/>
    <n v="1"/>
    <n v="8.09"/>
    <n v="37744.730000000003"/>
    <n v="239766.04"/>
    <n v="0"/>
    <n v="19357.5"/>
    <n v="296868.27"/>
    <n v="629078.78"/>
    <x v="0"/>
    <d v="2022-07-27T00:00:00"/>
    <n v="10.316211393567794"/>
    <n v="9.0115116887861397"/>
    <n v="0.14624571039642165"/>
    <n v="1.2790765317933772E-3"/>
    <m/>
    <m/>
    <m/>
    <s v="xil222ja"/>
    <m/>
    <n v="0.2895264241959743"/>
    <n v="0.12643896109826747"/>
    <s v="New Lease"/>
    <x v="11"/>
    <s v="2H2022"/>
    <x v="0"/>
    <n v="12905"/>
    <n v="91883.6"/>
    <n v="103240"/>
    <s v=""/>
    <n v="116145"/>
    <n v="116145"/>
    <n v="116145"/>
    <n v="133130.70803399239"/>
    <n v="116293.55834378513"/>
    <n v="12905"/>
    <n v="12905"/>
    <n v="104401.45"/>
    <n v="116145"/>
    <n v="2"/>
    <n v="232290"/>
    <n v="608999.24558718503"/>
    <n v="580725"/>
    <n v="51620"/>
    <n v="64525"/>
  </r>
  <r>
    <s v="10 Twosome Drive - Del- Val Ingredients"/>
    <x v="0"/>
    <m/>
    <m/>
    <m/>
    <x v="4"/>
    <n v="0"/>
    <s v="Del Val Ingredients"/>
    <n v="84"/>
    <n v="45375"/>
    <m/>
    <m/>
    <m/>
    <n v="5.83"/>
    <n v="6.82"/>
    <s v=""/>
    <n v="8"/>
    <n v="4"/>
    <n v="3"/>
    <n v="11.0478605609"/>
    <n v="22.05"/>
    <n v="8"/>
    <n v="5.09"/>
    <n v="180626.1"/>
    <n v="136125"/>
    <n v="0"/>
    <n v="0"/>
    <n v="316751.09999999998"/>
    <n v="2867080.9"/>
    <x v="0"/>
    <d v="2022-07-06T00:00:00"/>
    <n v="10.736370972197372"/>
    <n v="9.4584890892997819"/>
    <n v="0.34204637152467154"/>
    <n v="0.18231113616247274"/>
    <m/>
    <m/>
    <m/>
    <s v="xnj10tw"/>
    <m/>
    <n v="0.57424794313744454"/>
    <n v="0.38687523303515858"/>
    <s v="New Lease"/>
    <x v="11"/>
    <s v="2H2022"/>
    <x v="1"/>
    <n v="45375"/>
    <n v="264536.25"/>
    <n v="309457.5"/>
    <s v=""/>
    <n v="363000"/>
    <n v="363000"/>
    <n v="363000"/>
    <n v="487162.83286345575"/>
    <n v="429178.94242697762"/>
    <n v="363000"/>
    <n v="45375"/>
    <n v="230958.75"/>
    <s v=""/>
    <n v="0"/>
    <n v="0"/>
    <n v="501296.67295083753"/>
    <n v="1000518.75"/>
    <n v="181500"/>
    <n v="136125"/>
  </r>
  <r>
    <s v="4225_phil_niekro_atl (Lucky River Fish_ste_107)"/>
    <x v="0"/>
    <m/>
    <m/>
    <m/>
    <x v="2"/>
    <n v="0"/>
    <s v="Lucky River Seafood"/>
    <n v="60"/>
    <n v="2323"/>
    <m/>
    <m/>
    <m/>
    <n v="6.19"/>
    <n v="6.1"/>
    <n v="8.7899999999999991"/>
    <n v="8.7899999999999991"/>
    <n v="4"/>
    <n v="3"/>
    <n v="6.5171950627999999"/>
    <n v="39"/>
    <n v="0"/>
    <n v="11.09"/>
    <n v="8200"/>
    <n v="0"/>
    <n v="0"/>
    <n v="0"/>
    <n v="8200"/>
    <n v="125821"/>
    <x v="0"/>
    <d v="2022-10-17T00:00:00"/>
    <n v="12.071548299100952"/>
    <n v="10.854456508036581"/>
    <n v="0.37332745154732128"/>
    <n v="0.23486422161963394"/>
    <n v="4.5"/>
    <m/>
    <m/>
    <s v="xga4225"/>
    <m/>
    <n v="0.97894234411491032"/>
    <n v="0.77941909967812806"/>
    <s v="New Lease"/>
    <x v="10"/>
    <s v="2H2022"/>
    <x v="0"/>
    <n v="2323"/>
    <n v="14379.37"/>
    <n v="14170.3"/>
    <n v="20419.169999999998"/>
    <n v="20419.169999999998"/>
    <n v="20419.169999999998"/>
    <n v="20419.169999999998"/>
    <n v="28042.206698811511"/>
    <n v="25214.902468168977"/>
    <n v="0"/>
    <n v="2323"/>
    <n v="25762.07"/>
    <s v=""/>
    <n v="0"/>
    <n v="0"/>
    <n v="15139.4441308844"/>
    <n v="90597"/>
    <n v="9292"/>
    <n v="6969"/>
  </r>
  <r>
    <s v="BKS_3662_Miller_park_Dl_tx"/>
    <x v="4"/>
    <m/>
    <m/>
    <m/>
    <x v="7"/>
    <n v="0"/>
    <s v="BKS"/>
    <n v="60"/>
    <n v="26126"/>
    <m/>
    <m/>
    <m/>
    <n v="2.77"/>
    <n v="5.8"/>
    <n v="7.25"/>
    <n v="7.25"/>
    <n v="4"/>
    <n v="3"/>
    <n v="9.8223670828999996"/>
    <n v="7.73"/>
    <n v="0"/>
    <n v="0"/>
    <n v="69356"/>
    <n v="0"/>
    <n v="0"/>
    <n v="31568.92"/>
    <n v="100924.92"/>
    <n v="1027501"/>
    <x v="0"/>
    <d v="2022-12-01T00:00:00"/>
    <n v="6.7225844539917112"/>
    <n v="5.7708991969277479"/>
    <n v="-7.2746971863212218E-2"/>
    <n v="-0.20401390387203477"/>
    <n v="6"/>
    <m/>
    <m/>
    <s v="xtx3662m"/>
    <m/>
    <n v="0.15906628517098476"/>
    <n v="-5.0173798400434677E-3"/>
    <s v="Renewal"/>
    <x v="10"/>
    <s v="2H2022"/>
    <x v="1"/>
    <n v="26126"/>
    <n v="72369.02"/>
    <n v="151530.79999999999"/>
    <n v="189413.5"/>
    <n v="189413.5"/>
    <n v="189413.5"/>
    <n v="189413.5"/>
    <n v="175634.24144498745"/>
    <n v="150770.51241893435"/>
    <n v="0"/>
    <n v="0"/>
    <n v="0"/>
    <n v="189413.5"/>
    <n v="2.0000002111781892"/>
    <n v="378827.03999999992"/>
    <n v="256619.16240784538"/>
    <n v="201953.98"/>
    <n v="104504"/>
    <n v="78378"/>
  </r>
  <r>
    <s v="East_Dallas_Dieasel_12150_Shiloh_rd_Dl_tx"/>
    <x v="4"/>
    <m/>
    <m/>
    <m/>
    <x v="7"/>
    <n v="0"/>
    <s v="East Dallas Diesel"/>
    <n v="60"/>
    <n v="10495"/>
    <m/>
    <m/>
    <m/>
    <n v="4.45"/>
    <n v="6.3"/>
    <n v="7.5"/>
    <n v="7.5"/>
    <n v="4"/>
    <n v="3"/>
    <n v="9.2077744756000008"/>
    <n v="9.7100000000000009"/>
    <n v="0"/>
    <n v="0"/>
    <n v="28821"/>
    <n v="10495"/>
    <n v="0"/>
    <n v="0"/>
    <n v="39316"/>
    <n v="426987"/>
    <x v="0"/>
    <d v="2022-11-28T00:00:00"/>
    <n v="7.7706452350583151"/>
    <n v="6.8973319217632758"/>
    <n v="3.608603134110866E-2"/>
    <n v="-8.0355743764896514E-2"/>
    <n v="6"/>
    <m/>
    <m/>
    <s v="xtx12150"/>
    <m/>
    <n v="0.23343575159655794"/>
    <n v="9.4814590756075567E-2"/>
    <s v="Renewal"/>
    <x v="10"/>
    <s v="2H2022"/>
    <x v="0"/>
    <n v="10495"/>
    <n v="46702.75"/>
    <n v="66118.5"/>
    <n v="78712.5"/>
    <n v="78712.5"/>
    <n v="78712.5"/>
    <n v="78712.5"/>
    <n v="81552.921741937011"/>
    <n v="72387.498518905573"/>
    <n v="0"/>
    <n v="0"/>
    <n v="0"/>
    <s v=""/>
    <n v="0"/>
    <n v="0"/>
    <n v="96635.593121422004"/>
    <n v="101906.45000000001"/>
    <n v="41980"/>
    <n v="31485"/>
  </r>
  <r>
    <s v="2160 Hills (New Lease, Goodman, Eff 5/1/2023)"/>
    <x v="0"/>
    <s v="Lease up"/>
    <s v="Lease up"/>
    <m/>
    <x v="2"/>
    <n v="0"/>
    <s v="Goodman Decorating"/>
    <n v="62"/>
    <n v="13950"/>
    <m/>
    <m/>
    <m/>
    <m/>
    <n v="12"/>
    <n v="12.54"/>
    <n v="12.5"/>
    <n v="3.25"/>
    <n v="3.25"/>
    <n v="20.320092345500001"/>
    <n v="15"/>
    <n v="6"/>
    <n v="6"/>
    <n v="75000"/>
    <n v="85000"/>
    <n v="0"/>
    <n v="29062"/>
    <n v="189062"/>
    <n v="964068"/>
    <x v="1"/>
    <d v="2023-04-27T00:00:00"/>
    <m/>
    <m/>
    <m/>
    <m/>
    <n v="5.3"/>
    <m/>
    <m/>
    <s v="3ga00001"/>
    <m/>
    <m/>
    <m/>
    <s v="New Lease"/>
    <x v="2"/>
    <s v="1H2023"/>
    <x v="0"/>
    <m/>
    <n v="0"/>
    <n v="167400"/>
    <n v="174933"/>
    <n v="0"/>
    <n v="174375"/>
    <s v=""/>
    <n v="0"/>
    <n v="0"/>
    <n v="83700"/>
    <n v="13950"/>
    <n v="83700"/>
    <n v="174375"/>
    <n v="1.9999655913978494"/>
    <n v="348743.99999999994"/>
    <n v="283465.28821972501"/>
    <n v="209250"/>
    <n v="45337.5"/>
    <n v="45337.5"/>
  </r>
  <r>
    <s v="Apple_Moving_4769_Walzem_SA_tx"/>
    <x v="1"/>
    <m/>
    <m/>
    <m/>
    <x v="11"/>
    <n v="0"/>
    <s v="Apple Moving"/>
    <n v="48"/>
    <n v="40394"/>
    <m/>
    <m/>
    <m/>
    <n v="4.88"/>
    <n v="5.9"/>
    <n v="7"/>
    <n v="7"/>
    <n v="4"/>
    <n v="3"/>
    <n v="0"/>
    <n v="6"/>
    <n v="0"/>
    <n v="0"/>
    <n v="0"/>
    <n v="0"/>
    <n v="0"/>
    <n v="0"/>
    <n v="0"/>
    <n v="1200721.67"/>
    <x v="0"/>
    <d v="2022-10-04T00:00:00"/>
    <n v="6.8102341228995336"/>
    <n v="5.8559171069241831"/>
    <n v="-2.710941101435238E-2"/>
    <n v="-0.16344041329654524"/>
    <n v="8.6999999999999993"/>
    <m/>
    <m/>
    <s v="xtx467wa"/>
    <m/>
    <n v="0.1542769699829718"/>
    <n v="-7.4716767925113725E-3"/>
    <s v="Renewal"/>
    <x v="10"/>
    <s v="2H2022"/>
    <x v="1"/>
    <n v="40394"/>
    <n v="197122.72"/>
    <n v="238324.6"/>
    <n v="282758"/>
    <n v="282758"/>
    <n v="282758"/>
    <n v="282758"/>
    <n v="275092.59716040373"/>
    <n v="236543.91561709545"/>
    <n v="0"/>
    <n v="0"/>
    <n v="0"/>
    <s v=""/>
    <n v="0"/>
    <n v="0"/>
    <n v="0"/>
    <n v="242364"/>
    <n v="161576"/>
    <n v="121182"/>
  </r>
  <r>
    <s v="Express Flooring - 1121 108th GSW_Dallas"/>
    <x v="0"/>
    <m/>
    <m/>
    <m/>
    <x v="7"/>
    <n v="0"/>
    <s v="Express Flooring"/>
    <n v="60"/>
    <n v="50545"/>
    <m/>
    <m/>
    <m/>
    <m/>
    <n v="5.15"/>
    <n v="6.5"/>
    <n v="6.4"/>
    <n v="4"/>
    <n v="3"/>
    <n v="8.1956890288000004"/>
    <n v="13.6"/>
    <n v="14"/>
    <n v="8.09"/>
    <n v="118820"/>
    <n v="25000"/>
    <n v="0"/>
    <n v="0"/>
    <n v="143820"/>
    <n v="1754825"/>
    <x v="0"/>
    <d v="2022-12-22T00:00:00"/>
    <n v="7.2723917804841163"/>
    <n v="6.0216770883136199"/>
    <n v="0.1363112157006432"/>
    <n v="-5.9112954950996888E-2"/>
    <n v="8.5"/>
    <m/>
    <m/>
    <s v="xtx1121"/>
    <m/>
    <n v="0.41211490883186719"/>
    <n v="0.16925768705118815"/>
    <s v="New Lease"/>
    <x v="10"/>
    <s v="2H2022"/>
    <x v="3"/>
    <n v="0"/>
    <n v="0"/>
    <n v="260306.75000000003"/>
    <n v="328542.5"/>
    <n v="0"/>
    <n v="323488"/>
    <s v=""/>
    <n v="367583.04254456965"/>
    <n v="304365.66842881194"/>
    <n v="707630"/>
    <n v="50545"/>
    <n v="408909.05"/>
    <s v=""/>
    <n v="0"/>
    <n v="0"/>
    <n v="414251.10196069605"/>
    <n v="687412"/>
    <n v="202180"/>
    <n v="151635"/>
  </r>
  <r>
    <s v="Merritt: 128 Bauer Drive, Oakland"/>
    <x v="0"/>
    <m/>
    <m/>
    <m/>
    <x v="3"/>
    <n v="0"/>
    <s v="Merritt"/>
    <n v="61"/>
    <n v="10699"/>
    <m/>
    <m/>
    <m/>
    <n v="10.75"/>
    <n v="13.15"/>
    <n v="14.04"/>
    <n v="13.5"/>
    <n v="4"/>
    <n v="3"/>
    <n v="16.223590000200002"/>
    <n v="27.6"/>
    <n v="1"/>
    <n v="5.09"/>
    <n v="58860.55"/>
    <n v="56427"/>
    <n v="0"/>
    <n v="12036.38"/>
    <n v="127323.93"/>
    <n v="784807.37"/>
    <x v="0"/>
    <d v="2022-12-22T00:00:00"/>
    <n v="13.187242188135698"/>
    <n v="11.413891567024006"/>
    <n v="-2.3167245323281627E-2"/>
    <n v="-0.15452655059081433"/>
    <m/>
    <m/>
    <m/>
    <s v="xnj128ba"/>
    <m/>
    <n v="2.8321055616500335E-3"/>
    <n v="-0.13202345497916301"/>
    <s v="New Lease"/>
    <x v="10"/>
    <s v="2H2022"/>
    <x v="0"/>
    <n v="10699"/>
    <n v="115014.25"/>
    <n v="140691.85"/>
    <n v="150213.96"/>
    <n v="144436.5"/>
    <n v="144436.5"/>
    <n v="144436.5"/>
    <n v="141090.30417086385"/>
    <n v="122117.22587558984"/>
    <n v="10699"/>
    <n v="10699"/>
    <n v="54457.909999999996"/>
    <n v="144436.5"/>
    <n v="1.0000004154074627"/>
    <n v="144436.55999999997"/>
    <n v="173576.18941213982"/>
    <n v="295292.40000000002"/>
    <n v="42796"/>
    <n v="32097"/>
  </r>
  <r>
    <s v="2900 Jones Mill Road (Spartan Equity Group)"/>
    <x v="0"/>
    <m/>
    <m/>
    <m/>
    <x v="2"/>
    <n v="0"/>
    <s v="Spartan Equity Group, LLC"/>
    <n v="125"/>
    <n v="58225"/>
    <m/>
    <m/>
    <m/>
    <m/>
    <n v="9.58"/>
    <n v="9.7100000000000009"/>
    <n v="10.1"/>
    <n v="3.6"/>
    <n v="3.5"/>
    <n v="13.4435326772"/>
    <n v="8.1310000000000002"/>
    <n v="9"/>
    <n v="1.5899999999999999"/>
    <n v="476249.75"/>
    <n v="174675"/>
    <n v="89042"/>
    <n v="245030"/>
    <n v="984996.75"/>
    <n v="7326919"/>
    <x v="0"/>
    <d v="2023-03-06T00:00:00"/>
    <n v="9.8373182646751882"/>
    <n v="7.5809769094911204"/>
    <n v="2.6008092606000002"/>
    <n v="24.940822678300002"/>
    <m/>
    <m/>
    <m/>
    <s v="xga2900j"/>
    <m/>
    <n v="2.6859944120583235E-2"/>
    <n v="-0.20866629337253439"/>
    <s v="New Lease"/>
    <x v="7"/>
    <s v="1H2023"/>
    <x v="3"/>
    <s v=""/>
    <s v=""/>
    <n v="557795.5"/>
    <n v="565364.75"/>
    <s v=""/>
    <n v="588072.5"/>
    <s v=""/>
    <n v="572777.85596071288"/>
    <n v="441402.38055512047"/>
    <n v="524025"/>
    <n v="58225"/>
    <n v="92577.749999999985"/>
    <n v="588072.5"/>
    <n v="4.999995748823487"/>
    <n v="2940360"/>
    <n v="782749.69012996997"/>
    <n v="473427.47500000003"/>
    <n v="209610"/>
    <n v="203787.5"/>
  </r>
  <r>
    <s v="237-239 James - A1 Outlet"/>
    <x v="0"/>
    <m/>
    <m/>
    <m/>
    <x v="0"/>
    <n v="0"/>
    <s v="A-1 Outlet"/>
    <n v="62"/>
    <n v="15000"/>
    <m/>
    <m/>
    <m/>
    <n v="6.37"/>
    <n v="8.4"/>
    <n v="8.4"/>
    <n v="9"/>
    <n v="3.5"/>
    <n v="3"/>
    <n v="18.077294685999998"/>
    <n v="22.6"/>
    <n v="6"/>
    <n v="8.09"/>
    <n v="43470"/>
    <n v="65000"/>
    <n v="0"/>
    <n v="22500"/>
    <n v="130970"/>
    <n v="724500"/>
    <x v="0"/>
    <d v="2023-03-16T00:00:00"/>
    <n v="10.194900832501711"/>
    <n v="9.1551966456167229"/>
    <n v="-13.2766759167"/>
    <n v="-1.7244071734999999"/>
    <m/>
    <m/>
    <m/>
    <s v="xil231ja"/>
    <m/>
    <n v="0.21367867053591794"/>
    <n v="8.9904362573419272E-2"/>
    <s v="New Lease"/>
    <x v="7"/>
    <s v="1H2023"/>
    <x v="0"/>
    <n v="15000"/>
    <n v="95550"/>
    <n v="126000"/>
    <n v="126000"/>
    <n v="135000"/>
    <n v="135000"/>
    <n v="135000"/>
    <n v="152923.51248752567"/>
    <n v="137327.94968425084"/>
    <n v="90000"/>
    <n v="15000"/>
    <n v="121350"/>
    <n v="135000"/>
    <n v="2"/>
    <n v="270000"/>
    <n v="271159.42028999998"/>
    <n v="339000"/>
    <n v="52500"/>
    <n v="45000"/>
  </r>
  <r>
    <s v="30 Leslie Court - Gotham FC"/>
    <x v="0"/>
    <m/>
    <m/>
    <m/>
    <x v="3"/>
    <n v="0"/>
    <s v="Gotham FC"/>
    <n v="36"/>
    <n v="9247"/>
    <m/>
    <m/>
    <m/>
    <n v="7.5"/>
    <n v="12.73"/>
    <n v="14.04"/>
    <n v="14.5"/>
    <n v="3.5"/>
    <n v="3"/>
    <n v="17.660279239899999"/>
    <n v="20"/>
    <n v="3"/>
    <n v="5.09"/>
    <n v="30591.38"/>
    <n v="30500"/>
    <n v="0"/>
    <n v="10942.28"/>
    <n v="72033.66"/>
    <n v="407885.17"/>
    <x v="0"/>
    <d v="2023-03-01T00:00:00"/>
    <n v="17.222882586485241"/>
    <n v="16.108664791487893"/>
    <n v="-18.778500596400001"/>
    <n v="-11.0942399413"/>
    <n v="5.0999999999999996"/>
    <m/>
    <m/>
    <s v="xnj30les"/>
    <m/>
    <n v="0.35293657395799216"/>
    <n v="0.26540964583565541"/>
    <s v="New Lease"/>
    <x v="7"/>
    <s v="1H2023"/>
    <x v="0"/>
    <n v="9247"/>
    <n v="69352.5"/>
    <n v="117714.31"/>
    <n v="129827.87999999999"/>
    <n v="134081.5"/>
    <n v="134081.5"/>
    <n v="134081.5"/>
    <n v="159259.99527722903"/>
    <n v="148956.82332688855"/>
    <n v="27741"/>
    <n v="9247"/>
    <n v="47067.229999999996"/>
    <n v="134081.5"/>
    <n v="0.97931004650156805"/>
    <n v="131307.36000000002"/>
    <n v="163304.60213135529"/>
    <n v="184940"/>
    <n v="32364.5"/>
    <n v="27741"/>
  </r>
  <r>
    <s v="Ferguson - 3352 Democrat Rd, Memphis, TN"/>
    <x v="1"/>
    <s v="Renewal"/>
    <s v="M2M"/>
    <n v="0.27831715210355989"/>
    <x v="1"/>
    <n v="0"/>
    <s v="Ferguson Enterprises LLC"/>
    <n v="36"/>
    <n v="24000"/>
    <m/>
    <m/>
    <m/>
    <n v="3.09"/>
    <n v="3.95"/>
    <n v="4.5999999999999996"/>
    <n v="4.5"/>
    <n v="3"/>
    <n v="3"/>
    <n v="5.99"/>
    <n v="13"/>
    <n v="0"/>
    <n v="0"/>
    <n v="20132.662400000001"/>
    <n v="0"/>
    <n v="0"/>
    <n v="0"/>
    <n v="20132.662400000001"/>
    <n v="333817"/>
    <x v="1"/>
    <d v="2023-06-30T00:00:00"/>
    <m/>
    <m/>
    <m/>
    <m/>
    <m/>
    <m/>
    <m/>
    <s v="3tn00001"/>
    <m/>
    <m/>
    <m/>
    <s v="Renewal"/>
    <x v="2"/>
    <s v="1H2023"/>
    <x v="1"/>
    <n v="24000"/>
    <n v="74160"/>
    <n v="94800"/>
    <n v="110399.99999999999"/>
    <n v="108000"/>
    <n v="108000"/>
    <n v="108000"/>
    <n v="0"/>
    <n v="0"/>
    <n v="0"/>
    <n v="0"/>
    <n v="0"/>
    <s v=""/>
    <n v="0"/>
    <n v="0"/>
    <n v="143760"/>
    <n v="312000"/>
    <n v="72000"/>
    <n v="72000"/>
  </r>
  <r>
    <s v="7120 Ambassador - Suite 7132 (Foreman Turf)"/>
    <x v="1"/>
    <s v="Renewal"/>
    <s v="M2M"/>
    <n v="0.28030303030303028"/>
    <x v="8"/>
    <n v="0"/>
    <s v="Foreman Turf Specialties, Inc."/>
    <n v="36"/>
    <n v="4161"/>
    <m/>
    <m/>
    <m/>
    <n v="7.92"/>
    <n v="10.14"/>
    <n v="12.5"/>
    <n v="12"/>
    <n v="3"/>
    <n v="4"/>
    <n v="1.9998833774"/>
    <n v="5.5"/>
    <n v="0"/>
    <n v="0"/>
    <n v="3086.7"/>
    <n v="0"/>
    <n v="0"/>
    <n v="0"/>
    <n v="3086.7"/>
    <n v="154344"/>
    <x v="1"/>
    <d v="2023-03-10T00:00:00"/>
    <n v="11.197855431251046"/>
    <n v="11.018784083474667"/>
    <n v="6.6845380728999997"/>
    <n v="8.1767993043999994"/>
    <m/>
    <m/>
    <m/>
    <s v="3md00004"/>
    <m/>
    <n v="0.10432499322002431"/>
    <n v="8.6665096989612111E-2"/>
    <s v="Renewal"/>
    <x v="7"/>
    <s v="1H2023"/>
    <x v="0"/>
    <n v="4161"/>
    <n v="32955.120000000003"/>
    <n v="42192.54"/>
    <n v="52012.5"/>
    <n v="49932"/>
    <n v="49932"/>
    <n v="49932"/>
    <n v="46594.276449435602"/>
    <n v="45849.160571338092"/>
    <n v="0"/>
    <n v="0"/>
    <n v="0"/>
    <s v=""/>
    <n v="0"/>
    <n v="0"/>
    <n v="8321.5147333614004"/>
    <n v="22885.5"/>
    <n v="12483"/>
    <n v="16644"/>
  </r>
  <r>
    <s v="3961 Outland McMillon Logisitics"/>
    <x v="0"/>
    <m/>
    <m/>
    <m/>
    <x v="1"/>
    <s v="Yes"/>
    <s v="McMillon Logistics"/>
    <n v="36"/>
    <n v="74906"/>
    <m/>
    <m/>
    <m/>
    <n v="3.75"/>
    <n v="4.33"/>
    <n v="4.3499999999999996"/>
    <n v="4.25"/>
    <n v="3.5"/>
    <n v="3"/>
    <n v="8.6821493038999993"/>
    <n v="15"/>
    <n v="4"/>
    <n v="5.09"/>
    <n v="59325.55"/>
    <n v="0"/>
    <n v="0"/>
    <n v="26520"/>
    <n v="85845.55"/>
    <n v="988759.2"/>
    <x v="0"/>
    <d v="2023-01-12T00:00:00"/>
    <n v="3.7777197069186039"/>
    <n v="3.7256841763182549"/>
    <n v="11.112477484299999"/>
    <n v="12.3368429102"/>
    <m/>
    <m/>
    <m/>
    <s v="xtn3961o"/>
    <m/>
    <n v="-0.12754741179708917"/>
    <n v="-0.13956485535375174"/>
    <s v="New Lease"/>
    <x v="7"/>
    <s v="1H2023"/>
    <x v="3"/>
    <n v="74906"/>
    <n v="280897.5"/>
    <n v="324342.98"/>
    <n v="325841.09999999998"/>
    <n v="318350.5"/>
    <n v="318350.5"/>
    <n v="318350.5"/>
    <n v="282973.87236644496"/>
    <n v="279076.09891129518"/>
    <n v="299624"/>
    <n v="74906"/>
    <n v="381271.54"/>
    <n v="318350.5"/>
    <n v="0.99965289829920168"/>
    <n v="318240"/>
    <n v="650345.07575793331"/>
    <n v="1123590"/>
    <n v="262171"/>
    <n v="224718"/>
  </r>
  <r>
    <s v="3380 Grand-Northstar Trading"/>
    <x v="0"/>
    <s v="Re-tenant"/>
    <s v="Stabilized"/>
    <n v="-9.9999999999999978E-2"/>
    <x v="0"/>
    <s v="Yes"/>
    <s v="Northstar Trading"/>
    <n v="88"/>
    <n v="46156"/>
    <m/>
    <m/>
    <m/>
    <n v="5"/>
    <n v="4.5"/>
    <n v="5.25"/>
    <n v="5.25"/>
    <n v="3"/>
    <n v="3"/>
    <n v="18.425070622300002"/>
    <n v="18.399999999999999"/>
    <n v="0"/>
    <n v="9"/>
    <n v="111439.05"/>
    <n v="150000"/>
    <n v="0"/>
    <n v="80773"/>
    <n v="342212.05"/>
    <n v="1857317.44"/>
    <x v="1"/>
    <d v="2022-11-15T00:00:00"/>
    <n v="5.7670622795543878"/>
    <n v="5.3867935435363448"/>
    <n v="9.8488053248454888E-2"/>
    <n v="2.6055913054541913E-2"/>
    <n v="9"/>
    <m/>
    <m/>
    <s v="3il00004"/>
    <m/>
    <n v="0.28156939545653059"/>
    <n v="0.19706523189696545"/>
    <s v="New Lease"/>
    <x v="10"/>
    <s v="2H2022"/>
    <x v="1"/>
    <n v="46156"/>
    <n v="230780"/>
    <n v="207702"/>
    <n v="242319"/>
    <n v="242319"/>
    <n v="242319"/>
    <n v="242319"/>
    <n v="266184.52657511231"/>
    <n v="248632.84279546354"/>
    <n v="0"/>
    <n v="46156"/>
    <n v="415404"/>
    <n v="242319"/>
    <n v="4"/>
    <n v="969276"/>
    <n v="850427.55964287883"/>
    <n v="849270.39999999991"/>
    <n v="138468"/>
    <n v="138468"/>
  </r>
  <r>
    <s v="19 Industrial_Werner Aero"/>
    <x v="1"/>
    <m/>
    <m/>
    <m/>
    <x v="3"/>
    <n v="0"/>
    <s v="Werner Aero"/>
    <n v="72"/>
    <n v="24389"/>
    <m/>
    <m/>
    <m/>
    <n v="9.25"/>
    <n v="12.59"/>
    <n v="13.25"/>
    <n v="13.25"/>
    <n v="3.5"/>
    <n v="3"/>
    <n v="12.980564401200001"/>
    <n v="13.441000000000001"/>
    <n v="0"/>
    <n v="0"/>
    <n v="98011.16"/>
    <n v="110000"/>
    <n v="0"/>
    <n v="0"/>
    <n v="208011.16"/>
    <n v="1602481.63"/>
    <x v="0"/>
    <d v="2023-02-23T00:00:00"/>
    <n v="13.080489893112476"/>
    <n v="11.973848113184413"/>
    <n v="1.2793215614"/>
    <n v="9.6313349947999995"/>
    <n v="7.4"/>
    <m/>
    <m/>
    <s v="xnj19ind"/>
    <m/>
    <n v="3.895868888899745E-2"/>
    <n v="-4.8939784496869421E-2"/>
    <s v="Renewal"/>
    <x v="7"/>
    <s v="1H2023"/>
    <x v="1"/>
    <n v="24389"/>
    <n v="225598.25"/>
    <n v="307057.51"/>
    <n v="323154.25"/>
    <n v="323154.25"/>
    <n v="323154.25"/>
    <n v="323154.25"/>
    <n v="319020.06800312019"/>
    <n v="292030.18163245468"/>
    <n v="0"/>
    <n v="0"/>
    <n v="0"/>
    <s v=""/>
    <n v="0"/>
    <n v="0"/>
    <n v="316582.98518086679"/>
    <n v="327812.549"/>
    <n v="85361.5"/>
    <n v="73167"/>
  </r>
  <r>
    <s v="3045 Switzer Ave- Sixth City Distribution"/>
    <x v="0"/>
    <m/>
    <m/>
    <m/>
    <x v="10"/>
    <n v="0"/>
    <s v="Sixth City Distribution"/>
    <n v="61"/>
    <n v="6330"/>
    <m/>
    <m/>
    <m/>
    <n v="6.6"/>
    <n v="6.7"/>
    <s v=""/>
    <n v="8"/>
    <n v="3.5"/>
    <n v="3"/>
    <n v="21.472976207599999"/>
    <n v="16.34"/>
    <n v="9"/>
    <n v="8.09"/>
    <n v="19008.990000000002"/>
    <n v="34582.379999999997"/>
    <n v="500"/>
    <n v="4220"/>
    <n v="58311.37"/>
    <n v="271557"/>
    <x v="0"/>
    <d v="2022-04-19T00:00:00"/>
    <n v="7.625539914073765"/>
    <n v="6.9360616723804958"/>
    <n v="-4.6807510740779379E-2"/>
    <n v="-0.13299229095243803"/>
    <m/>
    <m/>
    <m/>
    <s v="xohcolu2"/>
    <m/>
    <n v="0.13814028568265146"/>
    <n v="3.523308542992476E-2"/>
    <s v="New Lease"/>
    <x v="9"/>
    <s v="1H2022"/>
    <x v="0"/>
    <n v="6330"/>
    <n v="41778"/>
    <n v="42411"/>
    <s v=""/>
    <n v="50640"/>
    <n v="50640"/>
    <n v="50640"/>
    <n v="48269.667656086931"/>
    <n v="43905.270386168537"/>
    <n v="56970"/>
    <n v="6330"/>
    <n v="51209.7"/>
    <n v="50640"/>
    <n v="1"/>
    <n v="50640"/>
    <n v="135923.93939410799"/>
    <n v="103432.2"/>
    <n v="22155"/>
    <n v="18990"/>
  </r>
  <r>
    <s v="2009 Dorsey (Randall Ventures Bldg G, ste B exp 4/30/22)"/>
    <x v="2"/>
    <m/>
    <m/>
    <m/>
    <x v="2"/>
    <n v="0"/>
    <s v="Randall Ventures LLC"/>
    <n v="78"/>
    <n v="10979"/>
    <m/>
    <m/>
    <m/>
    <n v="4.8600000000000003"/>
    <n v="7.44"/>
    <s v=""/>
    <n v="6.9"/>
    <n v="3.5"/>
    <n v="2.5"/>
    <n v="27.284295635900001"/>
    <n v="10"/>
    <n v="0"/>
    <n v="0"/>
    <n v="195845.64"/>
    <n v="0"/>
    <n v="0"/>
    <n v="0"/>
    <n v="195845.64"/>
    <n v="717796.21"/>
    <x v="0"/>
    <d v="2022-04-29T00:00:00"/>
    <n v="10.211805424887725"/>
    <n v="8.2749144115786546"/>
    <n v="0.47997180070836576"/>
    <n v="0.19926295819980488"/>
    <m/>
    <m/>
    <m/>
    <s v="xgadors"/>
    <m/>
    <n v="0.372554492592436"/>
    <n v="0.11221967897562557"/>
    <s v="Renewal"/>
    <x v="9"/>
    <s v="1H2022"/>
    <x v="0"/>
    <n v="10979"/>
    <n v="53357.94"/>
    <n v="81683.760000000009"/>
    <s v=""/>
    <n v="75755.100000000006"/>
    <n v="75755.100000000006"/>
    <n v="75755.100000000006"/>
    <n v="112115.41175984233"/>
    <n v="90850.285324722048"/>
    <n v="0"/>
    <n v="0"/>
    <n v="0"/>
    <s v=""/>
    <n v="0"/>
    <n v="0"/>
    <n v="299554.28178654611"/>
    <n v="109790"/>
    <n v="38426.5"/>
    <n v="27447.5"/>
  </r>
  <r>
    <s v="1001 Arthur - Tykables"/>
    <x v="1"/>
    <m/>
    <m/>
    <m/>
    <x v="0"/>
    <n v="0"/>
    <s v="Tykables LLC"/>
    <n v="61"/>
    <n v="19963"/>
    <m/>
    <m/>
    <m/>
    <n v="6.16"/>
    <n v="6.82"/>
    <n v="6.5"/>
    <n v="8"/>
    <n v="3.5"/>
    <n v="2.5"/>
    <n v="10.39472473"/>
    <n v="9.3699999999999992"/>
    <n v="0"/>
    <n v="0"/>
    <n v="52300"/>
    <n v="25000"/>
    <n v="0"/>
    <n v="13308.67"/>
    <n v="90608.67"/>
    <n v="871966"/>
    <x v="0"/>
    <d v="2023-04-17T00:00:00"/>
    <m/>
    <m/>
    <m/>
    <m/>
    <m/>
    <m/>
    <m/>
    <s v="xil1001a"/>
    <m/>
    <m/>
    <m/>
    <s v="Renewal"/>
    <x v="2"/>
    <s v="1H2023"/>
    <x v="0"/>
    <n v="19963"/>
    <n v="122972.08"/>
    <n v="136147.66"/>
    <n v="129759.5"/>
    <n v="159704"/>
    <n v="159704"/>
    <n v="159704"/>
    <n v="0"/>
    <n v="0"/>
    <n v="0"/>
    <n v="0"/>
    <n v="0"/>
    <n v="159704"/>
    <n v="1.0000002504633572"/>
    <n v="159704.03999999998"/>
    <n v="207509.88978498999"/>
    <n v="187053.31"/>
    <n v="69870.5"/>
    <n v="49907.5"/>
  </r>
  <r>
    <s v="Storopack - 4310 Delp St., Memphis, TN"/>
    <x v="1"/>
    <m/>
    <m/>
    <m/>
    <x v="1"/>
    <n v="0"/>
    <s v="Storopack, Inc."/>
    <n v="36"/>
    <n v="22743"/>
    <m/>
    <m/>
    <m/>
    <n v="2.5099999999999998"/>
    <n v="2.67"/>
    <n v="3.65"/>
    <n v="4.1500000000000004"/>
    <n v="3.5"/>
    <n v="2"/>
    <n v="11.35"/>
    <n v="12.84"/>
    <n v="0"/>
    <n v="0"/>
    <n v="10394.18"/>
    <n v="22923.64"/>
    <n v="0"/>
    <n v="0"/>
    <n v="33317.82"/>
    <n v="293176"/>
    <x v="0"/>
    <d v="2023-06-30T00:00:00"/>
    <m/>
    <m/>
    <m/>
    <m/>
    <m/>
    <m/>
    <m/>
    <s v="xtndelp1"/>
    <m/>
    <m/>
    <m/>
    <s v="Renewal"/>
    <x v="2"/>
    <s v="1H2023"/>
    <x v="1"/>
    <n v="22743"/>
    <n v="57084.929999999993"/>
    <n v="60723.81"/>
    <n v="83011.95"/>
    <n v="94383.450000000012"/>
    <n v="94383.450000000012"/>
    <n v="94383.450000000012"/>
    <n v="0"/>
    <n v="0"/>
    <n v="0"/>
    <n v="0"/>
    <n v="0"/>
    <s v=""/>
    <n v="0"/>
    <n v="0"/>
    <n v="258133.05"/>
    <n v="292020.12"/>
    <n v="79600.5"/>
    <n v="45486"/>
  </r>
  <r>
    <s v="4225 Phil Niekro (Xiancong_ste 112)"/>
    <x v="1"/>
    <m/>
    <m/>
    <m/>
    <x v="2"/>
    <n v="0"/>
    <s v="Xiancong Huang"/>
    <n v="60"/>
    <n v="2730"/>
    <m/>
    <m/>
    <m/>
    <n v="4.41"/>
    <n v="6.19"/>
    <n v="8.15"/>
    <n v="6.26"/>
    <n v="3.5"/>
    <n v="3"/>
    <n v="5.5543449108000003"/>
    <n v="19.739999999999998"/>
    <n v="0"/>
    <n v="0"/>
    <n v="6627"/>
    <n v="0"/>
    <n v="0"/>
    <n v="0"/>
    <n v="6627"/>
    <n v="91643"/>
    <x v="0"/>
    <d v="2023-05-01T00:00:00"/>
    <m/>
    <m/>
    <m/>
    <m/>
    <m/>
    <m/>
    <m/>
    <s v="xga4225"/>
    <m/>
    <m/>
    <m/>
    <s v="Renewal"/>
    <x v="2"/>
    <s v="1H2023"/>
    <x v="0"/>
    <n v="2730"/>
    <n v="12039.300000000001"/>
    <n v="16898.7"/>
    <n v="22249.5"/>
    <n v="17089.8"/>
    <n v="17089.8"/>
    <n v="17089.8"/>
    <n v="0"/>
    <n v="0"/>
    <n v="0"/>
    <n v="0"/>
    <n v="0"/>
    <s v=""/>
    <n v="0"/>
    <n v="0"/>
    <n v="15163.361606484001"/>
    <n v="53890.2"/>
    <n v="9555"/>
    <n v="8190"/>
  </r>
  <r>
    <s v="OEM 19 Industrial"/>
    <x v="0"/>
    <m/>
    <m/>
    <m/>
    <x v="3"/>
    <n v="0"/>
    <s v="OEM Accessories Incorporated"/>
    <n v="84"/>
    <n v="22060"/>
    <m/>
    <m/>
    <m/>
    <m/>
    <n v="12"/>
    <s v=""/>
    <n v="12.5"/>
    <n v="3.5"/>
    <n v="3.5"/>
    <n v="10.590590753100001"/>
    <n v="13.26"/>
    <n v="0"/>
    <n v="5.09"/>
    <n v="163516.26999999999"/>
    <n v="67381.59"/>
    <n v="0"/>
    <n v="0"/>
    <n v="230897.86"/>
    <n v="2180217"/>
    <x v="0"/>
    <d v="2022-07-05T00:00:00"/>
    <n v="13.397779773086691"/>
    <n v="10.799330146749877"/>
    <n v="7.1822381846935235E-2"/>
    <n v="-0.13605358826000979"/>
    <n v="5.5"/>
    <m/>
    <m/>
    <s v="xnj19ind"/>
    <m/>
    <n v="0.11648164775722436"/>
    <n v="-0.10005582110417688"/>
    <s v="New Lease"/>
    <x v="11"/>
    <s v="2H2022"/>
    <x v="1"/>
    <n v="0"/>
    <n v="0"/>
    <n v="264720"/>
    <s v=""/>
    <n v="0"/>
    <n v="275750"/>
    <s v=""/>
    <n v="295555.02179429244"/>
    <n v="238233.22303730229"/>
    <n v="0"/>
    <n v="22060"/>
    <n v="112285.4"/>
    <s v=""/>
    <n v="0"/>
    <n v="0"/>
    <n v="233628.43201338602"/>
    <n v="292515.59999999998"/>
    <n v="77210"/>
    <n v="77210"/>
  </r>
  <r>
    <s v="KPS_N Beach_Dallas_Tx"/>
    <x v="4"/>
    <m/>
    <m/>
    <m/>
    <x v="7"/>
    <n v="0"/>
    <s v="KPS Global, LLC"/>
    <n v="120"/>
    <n v="182500"/>
    <m/>
    <m/>
    <m/>
    <n v="5.04"/>
    <n v="5.64"/>
    <n v="5.04"/>
    <n v="6.65"/>
    <n v="3.5"/>
    <n v="3"/>
    <n v="12.388378232999999"/>
    <n v="4.8"/>
    <n v="0"/>
    <n v="0"/>
    <n v="410496.84"/>
    <n v="0"/>
    <n v="1200000"/>
    <n v="153300"/>
    <n v="1763796.84"/>
    <n v="14237512.02"/>
    <x v="0"/>
    <d v="2022-10-06T00:00:00"/>
    <n v="9.7077974193257734"/>
    <n v="8.4285609508185253"/>
    <n v="0.45981916080086815"/>
    <n v="0.2674527745591766"/>
    <n v="6.7"/>
    <m/>
    <m/>
    <s v="xtx4201n"/>
    <m/>
    <n v="0.72124067718542095"/>
    <n v="0.49442570049973855"/>
    <s v="Renewal"/>
    <x v="10"/>
    <s v="2H2022"/>
    <x v="2"/>
    <n v="182500"/>
    <n v="919800"/>
    <n v="1029299.9999999999"/>
    <n v="919800"/>
    <n v="1213625"/>
    <n v="1213625"/>
    <n v="1213625"/>
    <n v="1771673.0290269537"/>
    <n v="1538212.3735243808"/>
    <n v="0"/>
    <n v="0"/>
    <n v="0"/>
    <n v="1213625"/>
    <n v="1.5157894736842104"/>
    <n v="1839599.9999999998"/>
    <n v="2260879.0275224997"/>
    <n v="876000"/>
    <n v="638750"/>
    <n v="547500"/>
  </r>
  <r>
    <s v="Amundsen Commercial Kitchen  - 1121 108th st"/>
    <x v="0"/>
    <m/>
    <m/>
    <m/>
    <x v="7"/>
    <n v="0"/>
    <s v="Amundsen Commercial Kitchens, Inc."/>
    <n v="36"/>
    <n v="15780"/>
    <m/>
    <m/>
    <m/>
    <m/>
    <n v="6"/>
    <s v=""/>
    <n v="7.5"/>
    <n v="3"/>
    <n v="3"/>
    <n v="4.2095030587000002"/>
    <n v="27.16"/>
    <n v="5.5"/>
    <n v="8.09"/>
    <n v="19092.8"/>
    <n v="1000"/>
    <n v="0"/>
    <n v="0"/>
    <n v="20092.8"/>
    <n v="477320"/>
    <x v="0"/>
    <d v="2022-03-04T00:00:00"/>
    <n v="6.3780480351086446"/>
    <n v="6.3060286041341946"/>
    <n v="-0.14959359531884742"/>
    <n v="-0.15919618611544073"/>
    <m/>
    <m/>
    <m/>
    <s v="xtx1121"/>
    <m/>
    <n v="6.300800585144084E-2"/>
    <n v="5.1004767355699032E-2"/>
    <s v="New Lease"/>
    <x v="8"/>
    <s v="1H2022"/>
    <x v="0"/>
    <n v="0"/>
    <n v="0"/>
    <n v="94680"/>
    <s v=""/>
    <n v="0"/>
    <n v="118350"/>
    <s v=""/>
    <n v="100645.59799401442"/>
    <n v="99509.131373237586"/>
    <n v="86790"/>
    <n v="15780"/>
    <n v="127660.2"/>
    <s v=""/>
    <n v="0"/>
    <n v="0"/>
    <n v="66425.958266286005"/>
    <n v="428584.8"/>
    <n v="47340"/>
    <n v="47340"/>
  </r>
  <r>
    <s v="780 Arthur Ave - EventLink"/>
    <x v="0"/>
    <m/>
    <m/>
    <m/>
    <x v="0"/>
    <n v="0"/>
    <s v="Event Link"/>
    <n v="36"/>
    <n v="21741"/>
    <m/>
    <m/>
    <m/>
    <n v="4.84"/>
    <n v="5.35"/>
    <s v=""/>
    <n v="6.5"/>
    <n v="3"/>
    <n v="3"/>
    <n v="18.552674381999999"/>
    <n v="21"/>
    <n v="5"/>
    <n v="5.09"/>
    <n v="17076"/>
    <n v="50000"/>
    <n v="0"/>
    <n v="11776.38"/>
    <n v="78852.38"/>
    <n v="425018.94"/>
    <x v="0"/>
    <d v="2022-03-04T00:00:00"/>
    <n v="7.5430373298049833"/>
    <n v="7.3313951031667717"/>
    <n v="0.1604672815084589"/>
    <n v="0.12790693894873417"/>
    <n v="6.2"/>
    <m/>
    <m/>
    <s v="xil770ar"/>
    <m/>
    <n v="0.40991351958971656"/>
    <n v="0.37035422489098546"/>
    <s v="New Lease"/>
    <x v="8"/>
    <s v="1H2022"/>
    <x v="1"/>
    <n v="21741"/>
    <n v="105226.44"/>
    <n v="116314.34999999999"/>
    <s v=""/>
    <n v="141316.5"/>
    <n v="141316.5"/>
    <n v="141316.5"/>
    <n v="163993.17458729015"/>
    <n v="159391.86093794878"/>
    <n v="108705"/>
    <n v="21741"/>
    <n v="110661.69"/>
    <n v="141316.5"/>
    <n v="1.0000004245788707"/>
    <n v="141316.56"/>
    <n v="403353.693739062"/>
    <n v="456561"/>
    <n v="65223"/>
    <n v="65223"/>
  </r>
  <r>
    <s v="12080 Mosteller - Rite Rug"/>
    <x v="0"/>
    <m/>
    <m/>
    <m/>
    <x v="5"/>
    <n v="0"/>
    <s v="Rite Rug Co."/>
    <n v="87"/>
    <n v="114027"/>
    <m/>
    <m/>
    <m/>
    <n v="4.32"/>
    <n v="3.61"/>
    <s v=""/>
    <n v="3.5"/>
    <n v="3"/>
    <n v="3"/>
    <n v="16.5323725525"/>
    <n v="23.14"/>
    <n v="0"/>
    <n v="11.09"/>
    <n v="185014.5"/>
    <n v="225000"/>
    <n v="0"/>
    <n v="99773.64"/>
    <n v="509788.14"/>
    <n v="3083575.2"/>
    <x v="0"/>
    <d v="2022-02-01T00:00:00"/>
    <n v="4.3708098221899867"/>
    <n v="4.0320236940114222"/>
    <n v="0.2488028063399963"/>
    <n v="0.15200676971754912"/>
    <m/>
    <m/>
    <m/>
    <s v="xohmost"/>
    <m/>
    <n v="0.2107506432659243"/>
    <n v="0.11690407036327488"/>
    <s v="New Lease"/>
    <x v="8"/>
    <s v="1H2022"/>
    <x v="2"/>
    <n v="114027"/>
    <n v="492596.64"/>
    <n v="411637.47"/>
    <s v=""/>
    <n v="399094.5"/>
    <n v="399094.5"/>
    <n v="399094.5"/>
    <n v="498390.33159485762"/>
    <n v="459759.56575704046"/>
    <n v="0"/>
    <n v="114027"/>
    <n v="1264559.43"/>
    <n v="399094.5"/>
    <n v="3.0000004510209988"/>
    <n v="1197283.68"/>
    <n v="1885136.8450439174"/>
    <n v="2638584.7800000003"/>
    <n v="342081"/>
    <n v="342081"/>
  </r>
  <r>
    <s v="Redeemed Plastics 225 Bobrick dr"/>
    <x v="0"/>
    <m/>
    <m/>
    <m/>
    <x v="1"/>
    <n v="0"/>
    <s v="Redeemed Plastics"/>
    <n v="60"/>
    <n v="33340"/>
    <m/>
    <m/>
    <m/>
    <n v="2.2000000000000002"/>
    <n v="2.71"/>
    <n v="3.3"/>
    <n v="4.5999999999999996"/>
    <n v="3"/>
    <n v="3"/>
    <n v="11.826990905000001"/>
    <n v="13"/>
    <n v="3"/>
    <n v="5.09"/>
    <n v="30586.74"/>
    <n v="66680"/>
    <n v="0"/>
    <n v="10"/>
    <n v="97276.74"/>
    <n v="822497.8"/>
    <x v="0"/>
    <d v="2023-02-24T00:00:00"/>
    <m/>
    <m/>
    <s v=""/>
    <s v=""/>
    <m/>
    <m/>
    <m/>
    <s v="xtn225bo"/>
    <m/>
    <n v="-1"/>
    <n v="-1"/>
    <s v="New Lease"/>
    <x v="7"/>
    <s v="1H2023"/>
    <x v="1"/>
    <n v="33340"/>
    <n v="73348"/>
    <n v="90351.4"/>
    <n v="110022"/>
    <n v="153364"/>
    <n v="153364"/>
    <n v="153364"/>
    <n v="0"/>
    <n v="0"/>
    <n v="100020"/>
    <n v="33340"/>
    <n v="169700.6"/>
    <n v="153364"/>
    <n v="7.8245220521113161E-4"/>
    <n v="119.99999999999999"/>
    <n v="394311.87677269999"/>
    <n v="433420"/>
    <n v="100020"/>
    <n v="100020"/>
  </r>
  <r>
    <s v="1 Territorial-Vivint Solar"/>
    <x v="4"/>
    <m/>
    <m/>
    <m/>
    <x v="0"/>
    <n v="0"/>
    <s v="Sunrun Inc."/>
    <n v="24"/>
    <n v="22001"/>
    <m/>
    <m/>
    <m/>
    <n v="7.16"/>
    <n v="6.75"/>
    <s v=""/>
    <n v="7.38"/>
    <n v="3"/>
    <n v="3"/>
    <n v="2.9999992718000001"/>
    <n v="21"/>
    <n v="0"/>
    <n v="0"/>
    <n v="9887.25"/>
    <n v="0"/>
    <n v="0"/>
    <n v="0"/>
    <n v="9887.25"/>
    <n v="329575.08"/>
    <x v="0"/>
    <d v="2022-06-03T00:00:00"/>
    <n v="8.3945498103066623"/>
    <n v="8.2891439222083925"/>
    <n v="0.13747287402529307"/>
    <n v="0.12319023336157087"/>
    <m/>
    <m/>
    <m/>
    <s v="xil1terr"/>
    <m/>
    <n v="0.24363700893432028"/>
    <n v="0.22802132180865065"/>
    <s v="Renewal"/>
    <x v="9"/>
    <s v="1H2022"/>
    <x v="1"/>
    <n v="22001"/>
    <n v="157527.16"/>
    <n v="148506.75"/>
    <s v=""/>
    <n v="162367.38"/>
    <n v="162367.38"/>
    <n v="162367.38"/>
    <m/>
    <n v="182369.45543250683"/>
    <n v="0"/>
    <n v="0"/>
    <n v="0"/>
    <s v=""/>
    <n v="0"/>
    <n v="0"/>
    <n v="66002.983978871809"/>
    <n v="462021"/>
    <n v="66003"/>
    <n v="66003"/>
  </r>
  <r>
    <s v="77 S Wheeling - Terrazzo &amp; Marble Supply"/>
    <x v="4"/>
    <m/>
    <m/>
    <m/>
    <x v="0"/>
    <n v="0"/>
    <s v="Terrazzo &amp; Marble Supply Company of IL"/>
    <n v="30"/>
    <n v="78882"/>
    <m/>
    <m/>
    <m/>
    <n v="7.65"/>
    <n v="6.89"/>
    <s v=""/>
    <n v="7.88"/>
    <n v="3"/>
    <n v="3"/>
    <n v="0.64355655089999997"/>
    <n v="17"/>
    <n v="0"/>
    <n v="0"/>
    <n v="0"/>
    <n v="10000"/>
    <n v="0"/>
    <n v="0"/>
    <n v="10000"/>
    <n v="1553865"/>
    <x v="0"/>
    <d v="2022-06-07T00:00:00"/>
    <n v="7.2533462488322265"/>
    <n v="6.7206602621075513"/>
    <n v="-7.9524587711646388E-2"/>
    <n v="-0.14712433221985388"/>
    <m/>
    <m/>
    <m/>
    <s v="xil77whe"/>
    <m/>
    <n v="5.273530462006204E-2"/>
    <n v="-2.4577610724593413E-2"/>
    <s v="Renewal"/>
    <x v="9"/>
    <s v="1H2022"/>
    <x v="3"/>
    <n v="78882"/>
    <n v="603447.30000000005"/>
    <n v="543496.98"/>
    <s v=""/>
    <n v="621590.16"/>
    <n v="621590.16"/>
    <n v="621590.16"/>
    <n v="572158.45880038373"/>
    <n v="530139.12279556785"/>
    <n v="0"/>
    <n v="0"/>
    <n v="0"/>
    <s v=""/>
    <n v="0"/>
    <n v="0"/>
    <n v="50765.0278480938"/>
    <n v="1340994"/>
    <n v="236646"/>
    <n v="236646"/>
  </r>
  <r>
    <s v="464 Northgate - Terrazzo &amp; Marble Supply"/>
    <x v="4"/>
    <m/>
    <m/>
    <m/>
    <x v="0"/>
    <n v="0"/>
    <s v="Terrazzo &amp; Marble Supply Company of IL"/>
    <n v="30"/>
    <n v="26927"/>
    <m/>
    <m/>
    <m/>
    <n v="8.41"/>
    <n v="5.83"/>
    <s v=""/>
    <n v="8.6669999999999998"/>
    <n v="3"/>
    <n v="3"/>
    <n v="1.2854104880999999"/>
    <n v="15"/>
    <n v="0"/>
    <n v="0"/>
    <n v="0"/>
    <n v="7500"/>
    <n v="0"/>
    <n v="0"/>
    <n v="7500"/>
    <n v="583471.19999999995"/>
    <x v="0"/>
    <d v="2022-06-07T00:00:00"/>
    <n v="8.0516575092834319"/>
    <n v="7.585498651128102"/>
    <n v="-7.099832591629951E-2"/>
    <n v="-0.12478381779991898"/>
    <m/>
    <m/>
    <m/>
    <s v="xil464no"/>
    <m/>
    <n v="0.38107332920813586"/>
    <n v="0.30111469144564351"/>
    <s v="Renewal"/>
    <x v="9"/>
    <s v="1H2022"/>
    <x v="1"/>
    <n v="26927"/>
    <n v="226456.07"/>
    <n v="156984.41"/>
    <s v=""/>
    <n v="233376.30900000001"/>
    <n v="233376.30900000001"/>
    <n v="233376.30900000001"/>
    <n v="216806.98175247497"/>
    <n v="204254.7221789264"/>
    <n v="0"/>
    <n v="0"/>
    <n v="0"/>
    <s v=""/>
    <n v="0"/>
    <n v="0"/>
    <n v="34612.248213068699"/>
    <n v="403905"/>
    <n v="80781"/>
    <n v="80781"/>
  </r>
  <r>
    <s v="1 Territorial Ct - ABB"/>
    <x v="1"/>
    <m/>
    <m/>
    <m/>
    <x v="0"/>
    <n v="0"/>
    <s v="Turbo Systems US Inc."/>
    <n v="38"/>
    <n v="30402"/>
    <m/>
    <m/>
    <m/>
    <n v="8.08"/>
    <n v="7.16"/>
    <s v=""/>
    <n v="8.33"/>
    <n v="3"/>
    <n v="3"/>
    <n v="2.9999996571000001"/>
    <n v="21"/>
    <n v="0"/>
    <n v="0"/>
    <n v="8749.7900000000009"/>
    <n v="0"/>
    <n v="0"/>
    <n v="0"/>
    <n v="8749.7900000000009"/>
    <n v="291659.7"/>
    <x v="0"/>
    <d v="2022-05-06T00:00:00"/>
    <n v="7.4992221528275378"/>
    <n v="7.9101029321333298"/>
    <n v="-9.9733234954677341E-2"/>
    <n v="-5.0407811268507796E-2"/>
    <m/>
    <m/>
    <m/>
    <s v="xil1terr"/>
    <m/>
    <n v="4.7377395646304166E-2"/>
    <n v="0.10476297934823031"/>
    <s v="Renewal"/>
    <x v="9"/>
    <s v="1H2022"/>
    <x v="1"/>
    <n v="30402"/>
    <n v="245648.16"/>
    <n v="217678.32"/>
    <s v=""/>
    <n v="253248.66"/>
    <n v="253248.66"/>
    <n v="253248.66"/>
    <n v="227991.3518902628"/>
    <n v="240482.9493427175"/>
    <n v="0"/>
    <n v="0"/>
    <n v="0"/>
    <s v=""/>
    <n v="0"/>
    <n v="0"/>
    <n v="91205.989575154206"/>
    <n v="638442"/>
    <n v="91206"/>
    <n v="91206"/>
  </r>
  <r>
    <s v="9 Mary Way - Cryovation"/>
    <x v="3"/>
    <m/>
    <m/>
    <m/>
    <x v="4"/>
    <n v="0"/>
    <s v="Cryovation LLC"/>
    <n v="60"/>
    <n v="34205"/>
    <m/>
    <m/>
    <m/>
    <n v="3.44"/>
    <n v="5.37"/>
    <s v=""/>
    <n v="8.25"/>
    <n v="3"/>
    <n v="2.5"/>
    <n v="5.1044049657999997"/>
    <n v="28.43"/>
    <n v="0"/>
    <n v="5.09"/>
    <n v="66350.62"/>
    <n v="10123.15"/>
    <n v="0"/>
    <n v="0"/>
    <n v="76473.77"/>
    <n v="1498191.67"/>
    <x v="0"/>
    <d v="2022-05-12T00:00:00"/>
    <n v="8.9421291367500118"/>
    <n v="8.2461327123921908"/>
    <n v="8.3894440818183202E-2"/>
    <n v="-4.6876213427993196E-4"/>
    <m/>
    <m/>
    <m/>
    <s v="xnjmway9"/>
    <m/>
    <n v="0.66520095656424805"/>
    <n v="0.53559268387191628"/>
    <s v="New Lease"/>
    <x v="9"/>
    <s v="1H2022"/>
    <x v="1"/>
    <n v="34205"/>
    <n v="117665.2"/>
    <n v="183680.85"/>
    <s v=""/>
    <n v="282191.25"/>
    <n v="282191.25"/>
    <n v="282191.25"/>
    <n v="305865.52712253417"/>
    <n v="282058.96942737489"/>
    <n v="0"/>
    <n v="34205"/>
    <n v="174103.44999999998"/>
    <s v=""/>
    <n v="0"/>
    <n v="0"/>
    <n v="174596.17185518899"/>
    <n v="972448.15"/>
    <n v="102615"/>
    <n v="85512.5"/>
  </r>
  <r>
    <s v="7 Mary Way - Liberty Hardware"/>
    <x v="3"/>
    <m/>
    <m/>
    <m/>
    <x v="4"/>
    <n v="0"/>
    <s v="Philadelphia Hardware Group, Inc."/>
    <n v="60"/>
    <n v="20000"/>
    <m/>
    <m/>
    <m/>
    <n v="3.75"/>
    <n v="5"/>
    <s v=""/>
    <n v="7.5"/>
    <n v="3"/>
    <n v="0"/>
    <n v="21.576630054900001"/>
    <n v="30"/>
    <n v="0"/>
    <n v="5.09"/>
    <n v="31854.81"/>
    <n v="100000"/>
    <n v="0"/>
    <n v="0"/>
    <n v="131854.81"/>
    <n v="611100.11"/>
    <x v="0"/>
    <d v="2022-04-15T00:00:00"/>
    <n v="9.1106167649272276"/>
    <n v="8.1593826574784192"/>
    <n v="0.21474890199029706"/>
    <n v="8.7917687663789268E-2"/>
    <m/>
    <m/>
    <m/>
    <s v="xnjmway7"/>
    <m/>
    <n v="0.82212335298544548"/>
    <n v="0.63187653149568379"/>
    <s v="New Lease"/>
    <x v="9"/>
    <s v="1H2022"/>
    <x v="1"/>
    <n v="20000"/>
    <n v="75000"/>
    <n v="100000"/>
    <s v=""/>
    <n v="150000"/>
    <n v="150000"/>
    <n v="150000"/>
    <n v="182212.33529854455"/>
    <n v="163187.65314956839"/>
    <n v="0"/>
    <n v="20000"/>
    <n v="101800"/>
    <s v=""/>
    <n v="0"/>
    <n v="0"/>
    <n v="431532.60109800001"/>
    <n v="600000"/>
    <n v="60000"/>
    <n v="0"/>
  </r>
  <r>
    <s v="145 Bernice - Jade Carpentry"/>
    <x v="1"/>
    <m/>
    <m/>
    <m/>
    <x v="0"/>
    <n v="0"/>
    <s v="Jade Carpentry Contractors, Inc."/>
    <n v="25"/>
    <n v="5850"/>
    <m/>
    <m/>
    <m/>
    <n v="7.72"/>
    <n v="8.4"/>
    <n v="8"/>
    <n v="9"/>
    <n v="3"/>
    <n v="3"/>
    <n v="8.6045499839000001"/>
    <n v="11.26"/>
    <n v="0"/>
    <n v="0"/>
    <n v="4809"/>
    <n v="0"/>
    <n v="0"/>
    <n v="4387.5"/>
    <n v="9196.5"/>
    <n v="111471"/>
    <x v="0"/>
    <d v="2023-04-27T00:00:00"/>
    <m/>
    <m/>
    <m/>
    <m/>
    <m/>
    <m/>
    <m/>
    <s v="xil141be"/>
    <m/>
    <m/>
    <m/>
    <s v="Renewal"/>
    <x v="2"/>
    <s v="1H2023"/>
    <x v="0"/>
    <n v="5850"/>
    <n v="45162"/>
    <n v="49140"/>
    <n v="46800"/>
    <n v="52650"/>
    <n v="52650"/>
    <n v="52650"/>
    <n v="0"/>
    <n v="0"/>
    <n v="0"/>
    <n v="0"/>
    <n v="0"/>
    <n v="52650"/>
    <n v="1"/>
    <n v="52650"/>
    <n v="50336.617405814999"/>
    <n v="65871"/>
    <n v="17550"/>
    <n v="17550"/>
  </r>
  <r>
    <s v="7 Mary Way - Global Product Sourcing"/>
    <x v="1"/>
    <m/>
    <m/>
    <m/>
    <x v="4"/>
    <n v="0"/>
    <s v="Global Product Sourcing, LLC"/>
    <n v="48"/>
    <n v="20000"/>
    <m/>
    <m/>
    <m/>
    <n v="4.3499999999999996"/>
    <n v="5"/>
    <s v=""/>
    <n v="4.7"/>
    <n v="3"/>
    <n v="2.5"/>
    <n v="1.5"/>
    <n v="13.4"/>
    <n v="0"/>
    <n v="0"/>
    <n v="6078.5249999999996"/>
    <n v="0"/>
    <n v="0"/>
    <n v="0"/>
    <n v="6078.5249999999996"/>
    <n v="405235"/>
    <x v="0"/>
    <d v="2021-07-15T00:00:00"/>
    <n v="8.0342105867085429"/>
    <n v="7.5634685253573766"/>
    <n v="0.70940650781032821"/>
    <n v="0.60924862241646305"/>
    <m/>
    <m/>
    <m/>
    <s v="xnjmway7"/>
    <m/>
    <n v="0.60684211734170868"/>
    <n v="0.51269370507147527"/>
    <s v="Renewal"/>
    <x v="13"/>
    <s v="2H2021"/>
    <x v="1"/>
    <n v="20000"/>
    <n v="87000"/>
    <n v="100000"/>
    <s v=""/>
    <n v="94000"/>
    <n v="94000"/>
    <n v="94000"/>
    <n v="160684.21173417085"/>
    <n v="151269.37050714754"/>
    <n v="0"/>
    <n v="0"/>
    <n v="0"/>
    <s v=""/>
    <n v="0"/>
    <n v="0"/>
    <n v="30000"/>
    <n v="268000"/>
    <n v="60000"/>
    <n v="50000"/>
  </r>
  <r>
    <s v="Tradeforce - 3113 Glenfield Ave"/>
    <x v="0"/>
    <m/>
    <m/>
    <m/>
    <x v="7"/>
    <n v="0"/>
    <s v="TradeForce, Inc"/>
    <n v="60"/>
    <n v="115200"/>
    <m/>
    <m/>
    <m/>
    <n v="3.49"/>
    <n v="3.7"/>
    <s v=""/>
    <n v="3.8"/>
    <n v="3"/>
    <n v="3"/>
    <n v="14.1147244806"/>
    <n v="18"/>
    <n v="0"/>
    <n v="0"/>
    <n v="170000"/>
    <n v="230000"/>
    <n v="0"/>
    <n v="0"/>
    <n v="400000"/>
    <n v="2833920"/>
    <x v="0"/>
    <d v="2021-08-16T00:00:00"/>
    <n v="4.497862583137616"/>
    <n v="4.2196689406786989"/>
    <n v="0.18364804819410963"/>
    <n v="0.11043919491544707"/>
    <m/>
    <m/>
    <m/>
    <s v="xtxglen"/>
    <m/>
    <n v="0.21563853598313942"/>
    <n v="0.14045106504829685"/>
    <s v="New Lease"/>
    <x v="13"/>
    <s v="2H2021"/>
    <x v="2"/>
    <n v="115200"/>
    <n v="402048"/>
    <n v="426240"/>
    <s v=""/>
    <n v="437760"/>
    <n v="437760"/>
    <n v="437760"/>
    <n v="518153.76957745338"/>
    <n v="486105.86196618609"/>
    <n v="0"/>
    <n v="115200"/>
    <n v="0"/>
    <s v=""/>
    <n v="0"/>
    <n v="0"/>
    <n v="1626016.26016512"/>
    <n v="2073600"/>
    <n v="345600"/>
    <n v="345600"/>
  </r>
  <r>
    <s v="3001 Irwin Road- Faropoint Ventures"/>
    <x v="0"/>
    <m/>
    <m/>
    <m/>
    <x v="4"/>
    <n v="0"/>
    <s v="Faropoint"/>
    <n v="24"/>
    <n v="3555"/>
    <m/>
    <m/>
    <m/>
    <m/>
    <n v="7.21"/>
    <s v=""/>
    <n v="8"/>
    <n v="3"/>
    <n v="3"/>
    <n v="61.576354679799998"/>
    <n v="44.05"/>
    <n v="16"/>
    <n v="11.09"/>
    <n v="0"/>
    <n v="35550"/>
    <n v="0"/>
    <n v="0"/>
    <n v="35550"/>
    <n v="57733.2"/>
    <x v="0"/>
    <d v="2022-09-29T00:00:00"/>
    <n v="11.276601970031521"/>
    <n v="11.007641051719752"/>
    <n v="0.40957524625394015"/>
    <n v="0.37595513146496895"/>
    <m/>
    <m/>
    <m/>
    <s v="xnj3001i"/>
    <m/>
    <n v="0.56402246463682681"/>
    <n v="0.52671859247153274"/>
    <s v="New Lease"/>
    <x v="11"/>
    <s v="2H2022"/>
    <x v="0"/>
    <s v=""/>
    <s v=""/>
    <n v="25631.55"/>
    <s v=""/>
    <s v=""/>
    <n v="28440"/>
    <s v=""/>
    <n v="40088.32000346206"/>
    <n v="39132.16393886372"/>
    <n v="56880"/>
    <n v="3555"/>
    <n v="39424.949999999997"/>
    <s v=""/>
    <n v="0"/>
    <n v="0"/>
    <n v="218903.940886689"/>
    <n v="156597.75"/>
    <n v="10665"/>
    <n v="10665"/>
  </r>
  <r>
    <s v="3001 Irwin Road - Closet Factory"/>
    <x v="1"/>
    <m/>
    <m/>
    <m/>
    <x v="4"/>
    <n v="0"/>
    <s v="Closet Factory"/>
    <n v="60"/>
    <n v="25651"/>
    <m/>
    <m/>
    <m/>
    <n v="4.8499999999999996"/>
    <n v="5.33"/>
    <s v=""/>
    <n v="5.57"/>
    <n v="3"/>
    <n v="3"/>
    <n v="4.0000003165000004"/>
    <n v="15.04"/>
    <n v="0"/>
    <n v="0"/>
    <n v="30330.12"/>
    <n v="0"/>
    <n v="0"/>
    <n v="0"/>
    <n v="30330.12"/>
    <n v="758252.94"/>
    <x v="0"/>
    <d v="2022-08-19T00:00:00"/>
    <n v="10.419687611014128"/>
    <n v="9.6782112461288747"/>
    <n v="0.8706800019774017"/>
    <n v="0.73756036734809238"/>
    <m/>
    <m/>
    <m/>
    <s v="xnj3001i"/>
    <m/>
    <n v="0.95491324784505216"/>
    <n v="0.81579948332624297"/>
    <s v="Renewal"/>
    <x v="11"/>
    <s v="2H2022"/>
    <x v="1"/>
    <n v="25651"/>
    <n v="124407.34999999999"/>
    <n v="136719.83000000002"/>
    <s v=""/>
    <n v="142876.07"/>
    <n v="142876.07"/>
    <n v="142876.07"/>
    <n v="267275.40691012342"/>
    <n v="248255.79667445176"/>
    <n v="0"/>
    <n v="0"/>
    <n v="0"/>
    <s v=""/>
    <n v="0"/>
    <n v="0"/>
    <n v="102604.0081185415"/>
    <n v="385791.04"/>
    <n v="76953"/>
    <n v="76953"/>
  </r>
  <r>
    <s v="4290 Delp - Ships-A-Lot"/>
    <x v="0"/>
    <m/>
    <m/>
    <m/>
    <x v="1"/>
    <n v="0"/>
    <s v="Ships-A-Lot"/>
    <n v="36"/>
    <n v="41496"/>
    <m/>
    <m/>
    <m/>
    <n v="2.41"/>
    <n v="3.35"/>
    <s v=""/>
    <n v="3.5"/>
    <n v="3"/>
    <n v="2"/>
    <n v="8.3834362866000003"/>
    <n v="23"/>
    <n v="3"/>
    <n v="5.09"/>
    <n v="26934"/>
    <n v="0"/>
    <n v="10700"/>
    <n v="0"/>
    <n v="37634"/>
    <n v="448909"/>
    <x v="0"/>
    <d v="2021-11-24T00:00:00"/>
    <n v="3.5247781324826755"/>
    <n v="3.4029156748097797"/>
    <n v="7.079466423621561E-3"/>
    <n v="-2.7738378625777216E-2"/>
    <m/>
    <m/>
    <m/>
    <s v="xtndelp1"/>
    <m/>
    <n v="5.2172576860500142E-2"/>
    <n v="1.5795723823814889E-2"/>
    <s v="New Lease"/>
    <x v="14"/>
    <s v="2H2021"/>
    <x v="1"/>
    <n v="41496"/>
    <n v="100005.36"/>
    <n v="139011.6"/>
    <m/>
    <n v="145236"/>
    <n v="145236"/>
    <n v="145236"/>
    <n v="146264.1933855011"/>
    <n v="141207.38884190662"/>
    <n v="124488"/>
    <n v="41496"/>
    <n v="211214.63999999998"/>
    <s v=""/>
    <n v="0"/>
    <n v="0"/>
    <n v="347879.07214875362"/>
    <n v="954408"/>
    <n v="124488"/>
    <n v="82992"/>
  </r>
  <r>
    <s v="Custom Cable - Rittiman Trade Center Building 3"/>
    <x v="0"/>
    <m/>
    <m/>
    <m/>
    <x v="11"/>
    <n v="0"/>
    <s v="Custom Cable Service, Inc"/>
    <n v="36"/>
    <n v="8730"/>
    <m/>
    <m/>
    <m/>
    <n v="6.9"/>
    <n v="6.96"/>
    <s v=""/>
    <n v="7.2"/>
    <n v="3"/>
    <n v="2.5"/>
    <n v="6.0000010291999999"/>
    <n v="16.899999999999999"/>
    <n v="6"/>
    <n v="5.09"/>
    <n v="11659.79"/>
    <n v="0"/>
    <n v="0"/>
    <n v="0"/>
    <n v="11659.79"/>
    <n v="194329.8"/>
    <x v="0"/>
    <d v="2021-11-08T00:00:00"/>
    <n v="7.1158591664721733"/>
    <n v="6.6057591560041473"/>
    <n v="-1.1686226878864892E-2"/>
    <n v="-8.2533450554979515E-2"/>
    <m/>
    <m/>
    <m/>
    <s v="xtxritti"/>
    <m/>
    <n v="2.2393558401174296E-2"/>
    <n v="-5.0896672987909897E-2"/>
    <s v="New Lease"/>
    <x v="14"/>
    <s v="2H2021"/>
    <x v="0"/>
    <n v="8730"/>
    <n v="60237"/>
    <n v="60760.800000000003"/>
    <m/>
    <n v="62856"/>
    <n v="62856"/>
    <n v="62856"/>
    <n v="62121.450523302075"/>
    <n v="57668.277431916205"/>
    <n v="52380"/>
    <n v="8730"/>
    <n v="44435.7"/>
    <s v=""/>
    <n v="0"/>
    <n v="0"/>
    <n v="52380.008984915999"/>
    <n v="147537"/>
    <n v="26190"/>
    <n v="21825"/>
  </r>
  <r>
    <s v="FMS Flooring - 9820 Drysdale"/>
    <x v="0"/>
    <m/>
    <m/>
    <m/>
    <x v="14"/>
    <n v="0"/>
    <s v="FMS Flooring, LLC"/>
    <n v="60"/>
    <n v="52896"/>
    <m/>
    <m/>
    <m/>
    <m/>
    <n v="7.8"/>
    <s v=""/>
    <n v="8.2799999999999994"/>
    <n v="3"/>
    <n v="2.5"/>
    <n v="11.2768542788"/>
    <n v="31.6"/>
    <n v="6"/>
    <n v="11.09"/>
    <n v="84990.81"/>
    <n v="20000"/>
    <n v="0"/>
    <n v="54747.360000000001"/>
    <n v="159738.17000000001"/>
    <n v="1416513.56"/>
    <x v="0"/>
    <d v="2021-11-30T00:00:00"/>
    <n v="6.3362077767197658"/>
    <n v="5.7604604651902189"/>
    <n v="-0.23475751488891716"/>
    <n v="-0.30429221434900733"/>
    <m/>
    <m/>
    <m/>
    <s v="xtxdrysd"/>
    <m/>
    <n v="-0.18766566965131204"/>
    <n v="-0.26147942753971554"/>
    <s v="New Lease"/>
    <x v="14"/>
    <s v="2H2021"/>
    <x v="3"/>
    <n v="0"/>
    <n v="0"/>
    <n v="412588.79999999999"/>
    <m/>
    <n v="0"/>
    <n v="437978.87999999995"/>
    <s v=""/>
    <n v="335160.04655736871"/>
    <n v="304705.31676670181"/>
    <n v="317376"/>
    <n v="52896"/>
    <n v="586616.64"/>
    <n v="437978.87999999995"/>
    <n v="1.5"/>
    <n v="656968.31999999995"/>
    <n v="596500.48393140477"/>
    <n v="1671513.6"/>
    <n v="158688"/>
    <n v="132240"/>
  </r>
  <r>
    <s v="Forestwood Farms"/>
    <x v="0"/>
    <m/>
    <m/>
    <m/>
    <x v="1"/>
    <n v="0"/>
    <s v="Forestwood Farms, Inc."/>
    <n v="84"/>
    <n v="45820"/>
    <m/>
    <m/>
    <m/>
    <n v="2.33"/>
    <n v="2.6"/>
    <s v=""/>
    <n v="3.25"/>
    <n v="3"/>
    <n v="0"/>
    <n v="13.4918815897"/>
    <n v="17"/>
    <n v="2"/>
    <n v="5.09"/>
    <n v="62353.120000000003"/>
    <n v="91640"/>
    <n v="0"/>
    <n v="0"/>
    <n v="153993.12"/>
    <n v="1141376.1599999999"/>
    <x v="0"/>
    <d v="2021-12-21T00:00:00"/>
    <s v=""/>
    <s v=""/>
    <m/>
    <m/>
    <m/>
    <m/>
    <m/>
    <s v="xtn225bo"/>
    <m/>
    <m/>
    <m/>
    <s v="New Lease"/>
    <x v="14"/>
    <s v="2H2021"/>
    <x v="1"/>
    <n v="45820"/>
    <n v="106760.6"/>
    <n v="119132"/>
    <m/>
    <n v="148915"/>
    <n v="148915"/>
    <n v="148915"/>
    <m/>
    <m/>
    <n v="91640"/>
    <n v="45820"/>
    <n v="233223.8"/>
    <s v=""/>
    <n v="0"/>
    <n v="0"/>
    <n v="618198.01444005396"/>
    <n v="778940"/>
    <n v="137460"/>
    <n v="0"/>
  </r>
  <r>
    <s v="17-01 Pollitt Drive - Kyodo"/>
    <x v="3"/>
    <m/>
    <m/>
    <m/>
    <x v="3"/>
    <n v="0"/>
    <s v="Kyodo Shipping and Trading USA, Corp"/>
    <n v="36"/>
    <n v="22500"/>
    <m/>
    <m/>
    <m/>
    <n v="8.58"/>
    <n v="13.06"/>
    <n v="13.5"/>
    <n v="13.5"/>
    <n v="3"/>
    <n v="3"/>
    <n v="48.814846744500002"/>
    <n v="36"/>
    <n v="0"/>
    <n v="5.09"/>
    <n v="65418.05"/>
    <n v="360364.95"/>
    <n v="0"/>
    <n v="0"/>
    <n v="425783"/>
    <n v="872240.78"/>
    <x v="0"/>
    <d v="2022-10-03T00:00:00"/>
    <n v="13.008608220745169"/>
    <n v="12.158787875423236"/>
    <n v="-3.6399391055913388E-2"/>
    <n v="-9.9349046264945451E-2"/>
    <m/>
    <m/>
    <m/>
    <s v="xnj17pol"/>
    <m/>
    <n v="-3.9350520103240694E-3"/>
    <n v="-6.9005522555648069E-2"/>
    <s v="New Lease"/>
    <x v="10"/>
    <s v="2H2022"/>
    <x v="1"/>
    <n v="22500"/>
    <n v="193050"/>
    <n v="293850"/>
    <n v="303750"/>
    <n v="303750"/>
    <n v="303750"/>
    <n v="303750"/>
    <n v="292693.68496676628"/>
    <n v="273572.72719702282"/>
    <n v="0"/>
    <n v="22500"/>
    <n v="114525"/>
    <s v=""/>
    <n v="0"/>
    <n v="0"/>
    <n v="1098334.0517512499"/>
    <n v="810000"/>
    <n v="67500"/>
    <n v="67500"/>
  </r>
  <r>
    <s v="4290 Delp - Darby Dental"/>
    <x v="0"/>
    <m/>
    <m/>
    <m/>
    <x v="1"/>
    <n v="0"/>
    <s v="Darby Dental"/>
    <n v="36"/>
    <n v="25137"/>
    <m/>
    <m/>
    <m/>
    <n v="2.5299999999999998"/>
    <n v="2.4700000000000002"/>
    <s v=""/>
    <n v="3.5"/>
    <n v="2.75"/>
    <n v="0"/>
    <n v="5.9998715967000003"/>
    <n v="22"/>
    <n v="0"/>
    <n v="8.09"/>
    <n v="26167"/>
    <n v="0"/>
    <n v="0"/>
    <n v="0"/>
    <n v="26167"/>
    <n v="436126"/>
    <x v="0"/>
    <d v="2022-01-17T00:00:00"/>
    <n v="3.5148331407989923"/>
    <n v="3.4909949448789792"/>
    <n v="4.2380402282835572E-3"/>
    <n v="-2.572872891720257E-3"/>
    <m/>
    <m/>
    <m/>
    <s v="xtndelp1"/>
    <m/>
    <n v="0.4230093687445311"/>
    <n v="0.41335827727893881"/>
    <s v="New Lease"/>
    <x v="8"/>
    <s v="1H2022"/>
    <x v="1"/>
    <n v="25137"/>
    <n v="63596.609999999993"/>
    <n v="62088.390000000007"/>
    <s v=""/>
    <n v="87979.5"/>
    <n v="87979.5"/>
    <n v="87979.5"/>
    <n v="88352.360660264269"/>
    <n v="87753.139929422905"/>
    <n v="0"/>
    <n v="25137"/>
    <n v="203358.33"/>
    <s v=""/>
    <n v="0"/>
    <n v="0"/>
    <n v="150818.77232624791"/>
    <n v="553014"/>
    <n v="69126.75"/>
    <n v="0"/>
  </r>
  <r>
    <s v="12080 Mosteller - KDM Signs"/>
    <x v="0"/>
    <m/>
    <m/>
    <m/>
    <x v="5"/>
    <n v="0"/>
    <s v="KDM Signs, Inc."/>
    <n v="38"/>
    <n v="47107"/>
    <m/>
    <m/>
    <m/>
    <m/>
    <n v="3"/>
    <s v=""/>
    <n v="3.25"/>
    <n v="2.5"/>
    <n v="3"/>
    <n v="27.441435760299999"/>
    <n v="20.13"/>
    <n v="0"/>
    <n v="8.09"/>
    <n v="28353.7"/>
    <n v="75807"/>
    <n v="0"/>
    <n v="25516"/>
    <n v="129676.7"/>
    <n v="472558"/>
    <x v="0"/>
    <d v="2021-06-08T00:00:00"/>
    <n v="3.7731014642004386"/>
    <n v="4.0879867097081934"/>
    <n v="0.16095429667705807"/>
    <n v="0.25784206452559788"/>
    <m/>
    <m/>
    <m/>
    <s v="xohmost"/>
    <m/>
    <n v="0.25770048806681278"/>
    <n v="0.36266223656939789"/>
    <s v="New Lease"/>
    <x v="12"/>
    <s v="1H2021"/>
    <x v="1"/>
    <n v="0"/>
    <n v="0"/>
    <n v="141321"/>
    <s v=""/>
    <n v="0"/>
    <n v="153097.75"/>
    <s v=""/>
    <n v="177739.49067409005"/>
    <n v="192572.78993422387"/>
    <n v="0"/>
    <n v="47107"/>
    <n v="381095.63"/>
    <n v="153097.75"/>
    <n v="1.9999771387887804"/>
    <n v="306192"/>
    <n v="1292683.714360452"/>
    <n v="948263.90999999992"/>
    <n v="117767.5"/>
    <n v="141321"/>
  </r>
  <r>
    <s v="3 Mary Way - ABC Supply"/>
    <x v="3"/>
    <m/>
    <m/>
    <m/>
    <x v="4"/>
    <n v="0"/>
    <s v="ABC Supply"/>
    <n v="120"/>
    <n v="42560"/>
    <m/>
    <m/>
    <m/>
    <n v="3.44"/>
    <n v="5.125"/>
    <s v=""/>
    <n v="8"/>
    <n v="2.5"/>
    <n v="3"/>
    <n v="11.503561916600001"/>
    <n v="36.15"/>
    <n v="0.5"/>
    <n v="5.09"/>
    <n v="227169.25"/>
    <n v="180000"/>
    <n v="0"/>
    <n v="28373.33"/>
    <n v="435542.58"/>
    <n v="3786154.09"/>
    <x v="0"/>
    <d v="2022-05-10T00:00:00"/>
    <n v="8.9124843513796872"/>
    <n v="8.2138487711778332"/>
    <n v="0.1140605439224609"/>
    <n v="2.6731096397229148E-2"/>
    <m/>
    <m/>
    <m/>
    <s v="xnjmway3"/>
    <m/>
    <n v="0.73902133685457305"/>
    <n v="0.60270219925421142"/>
    <s v="New Lease"/>
    <x v="9"/>
    <s v="1H2022"/>
    <x v="1"/>
    <n v="42560"/>
    <n v="146406.39999999999"/>
    <n v="218120"/>
    <s v=""/>
    <n v="340480"/>
    <n v="340480"/>
    <n v="340480"/>
    <n v="379315.33399471949"/>
    <n v="349581.40370132856"/>
    <n v="21280"/>
    <n v="42560"/>
    <n v="216630.39999999999"/>
    <n v="340480"/>
    <n v="0.99999988251879712"/>
    <n v="340479.96"/>
    <n v="489591.59517049603"/>
    <n v="1538544"/>
    <n v="106400"/>
    <n v="127680"/>
  </r>
  <r>
    <s v="180 Heartland Blvd - Biochemical Diagnostics"/>
    <x v="1"/>
    <s v="Renewal"/>
    <s v="M2M"/>
    <n v="0.25634057971014501"/>
    <x v="3"/>
    <n v="0"/>
    <s v="Biochemical Diagnostics"/>
    <n v="60"/>
    <n v="24012"/>
    <m/>
    <m/>
    <m/>
    <n v="11.04"/>
    <n v="13.87"/>
    <n v="13.75"/>
    <n v="14"/>
    <n v="3"/>
    <n v="3"/>
    <n v="0"/>
    <n v="0"/>
    <n v="0"/>
    <n v="0"/>
    <n v="0"/>
    <n v="0"/>
    <n v="0"/>
    <n v="0"/>
    <n v="0"/>
    <n v="1784781.96"/>
    <x v="1"/>
    <d v="2023-02-28T00:00:00"/>
    <n v="15.214083574805548"/>
    <n v="14.298341502511954"/>
    <n v="-8.6720255342999994"/>
    <n v="-2.1310107322"/>
    <n v="9"/>
    <m/>
    <m/>
    <s v="3ny00001"/>
    <m/>
    <n v="9.6905809286629285E-2"/>
    <n v="3.0882588501222497E-2"/>
    <s v="Renewal"/>
    <x v="7"/>
    <s v="1H2023"/>
    <x v="1"/>
    <n v="24012"/>
    <n v="265092.47999999998"/>
    <n v="333046.44"/>
    <n v="330165"/>
    <n v="336168"/>
    <n v="336168"/>
    <n v="336168"/>
    <n v="365320.57479823084"/>
    <n v="343331.77615831705"/>
    <n v="0"/>
    <n v="0"/>
    <n v="0"/>
    <s v=""/>
    <n v="0"/>
    <n v="0"/>
    <n v="0"/>
    <n v="0"/>
    <n v="72036"/>
    <n v="72036"/>
  </r>
  <r>
    <s v="812 Greenleaf-Ultimate Stone Inc"/>
    <x v="0"/>
    <s v="Lease up"/>
    <s v="Lease up"/>
    <m/>
    <x v="0"/>
    <n v="0"/>
    <s v="Ultimate Stone Inc"/>
    <n v="62"/>
    <n v="9250"/>
    <m/>
    <m/>
    <m/>
    <m/>
    <n v="7"/>
    <s v=""/>
    <n v="8"/>
    <n v="3"/>
    <n v="3"/>
    <n v="15.455296713199999"/>
    <n v="12.3"/>
    <n v="0"/>
    <n v="0"/>
    <n v="23690.43"/>
    <n v="25000"/>
    <n v="0"/>
    <n v="12333.33"/>
    <n v="61023.76"/>
    <n v="394840.43"/>
    <x v="1"/>
    <d v="2022-11-09T00:00:00"/>
    <n v="9.7897035422592538"/>
    <s v=""/>
    <n v="0.22371294278240672"/>
    <m/>
    <n v="8.3000000000000007"/>
    <m/>
    <m/>
    <s v="3il00007"/>
    <m/>
    <n v="0.39852907746560762"/>
    <m/>
    <s v="New Lease"/>
    <x v="10"/>
    <s v="2H2022"/>
    <x v="0"/>
    <n v="0"/>
    <n v="0"/>
    <n v="64750"/>
    <m/>
    <n v="0"/>
    <n v="74000"/>
    <s v=""/>
    <n v="90554.757765898103"/>
    <m/>
    <n v="0"/>
    <n v="9250"/>
    <n v="0"/>
    <n v="74000"/>
    <n v="1.9999994594594594"/>
    <n v="147999.96"/>
    <n v="142961.49459709998"/>
    <n v="113775"/>
    <n v="27750"/>
    <n v="27750"/>
  </r>
  <r>
    <s v="Kenco Distributors - 3338 Democrat"/>
    <x v="1"/>
    <s v="Renewal"/>
    <s v="M2M"/>
    <n v="0.41114982578397208"/>
    <x v="1"/>
    <n v="0"/>
    <s v="Kenco Distributors Inc"/>
    <n v="60"/>
    <n v="18000"/>
    <m/>
    <m/>
    <m/>
    <n v="2.87"/>
    <n v="4.05"/>
    <n v="4.05"/>
    <n v="4.0999999999999996"/>
    <n v="3"/>
    <n v="3"/>
    <n v="9.0100263828999996"/>
    <n v="11"/>
    <n v="0"/>
    <n v="0"/>
    <n v="15672.57"/>
    <n v="19630"/>
    <n v="0"/>
    <n v="0"/>
    <n v="35302.57"/>
    <n v="391814.28"/>
    <x v="1"/>
    <d v="2022-12-20T00:00:00"/>
    <n v="4.6249970661697741"/>
    <n v="4.3205275197453998"/>
    <n v="0.12804806491945731"/>
    <n v="5.3787199937902486E-2"/>
    <m/>
    <m/>
    <m/>
    <s v="3tn00001"/>
    <m/>
    <n v="0.14197458423945042"/>
    <n v="6.6796918455654275E-2"/>
    <s v="Renewal"/>
    <x v="10"/>
    <s v="2H2022"/>
    <x v="0"/>
    <n v="18000"/>
    <n v="51660"/>
    <n v="72900"/>
    <n v="72900"/>
    <n v="73800"/>
    <n v="73800"/>
    <n v="73800"/>
    <n v="83249.947191055937"/>
    <n v="77769.495355417195"/>
    <n v="0"/>
    <n v="0"/>
    <n v="0"/>
    <s v=""/>
    <n v="0"/>
    <n v="0"/>
    <n v="162180.4748922"/>
    <n v="198000"/>
    <n v="54000"/>
    <n v="54000"/>
  </r>
  <r>
    <s v="Central National Gottesman Inc - 1601 Valley View"/>
    <x v="1"/>
    <s v="Renewal"/>
    <s v="Stabilized"/>
    <n v="5.555555555555558E-2"/>
    <x v="7"/>
    <n v="0"/>
    <s v="Central National Gottersman"/>
    <n v="48"/>
    <n v="191887"/>
    <m/>
    <m/>
    <m/>
    <n v="3.6"/>
    <n v="3.8"/>
    <n v="3.8"/>
    <n v="3.8"/>
    <n v="2.6"/>
    <n v="2.6"/>
    <n v="2.1919443863999999"/>
    <n v="2.8490000000000002"/>
    <n v="0"/>
    <n v="0"/>
    <n v="65625"/>
    <n v="0"/>
    <n v="0"/>
    <n v="0"/>
    <n v="65625"/>
    <n v="2993917.2"/>
    <x v="1"/>
    <d v="2023-03-14T00:00:00"/>
    <n v="7.6143284428218037"/>
    <n v="7.2101378828429956"/>
    <n v="-100.3770642848"/>
    <n v="-89.7404706011"/>
    <m/>
    <m/>
    <m/>
    <s v="3tx00006"/>
    <m/>
    <n v="1.0037706428478432"/>
    <n v="0.89740470601131483"/>
    <s v="Renewal"/>
    <x v="7"/>
    <s v="1H2023"/>
    <x v="2"/>
    <n v="191887"/>
    <n v="690793.20000000007"/>
    <n v="729170.6"/>
    <n v="729170.6"/>
    <n v="729170.6"/>
    <n v="729170.6"/>
    <n v="729170.6"/>
    <n v="1461090.6419077474"/>
    <n v="1383531.7279250938"/>
    <n v="0"/>
    <n v="0"/>
    <n v="0"/>
    <s v=""/>
    <n v="0"/>
    <n v="0"/>
    <n v="420605.63247313676"/>
    <n v="546686.06300000008"/>
    <n v="498906.2"/>
    <n v="498906.2"/>
  </r>
  <r>
    <s v="2082 N Integrity Dr.- Department of Administrative Services"/>
    <x v="1"/>
    <s v="Renewal"/>
    <s v="Stabilized"/>
    <n v="0.13146551724137945"/>
    <x v="10"/>
    <n v="0"/>
    <s v="DAS Computer"/>
    <n v="24"/>
    <n v="40800"/>
    <m/>
    <m/>
    <m/>
    <n v="4.6399999999999997"/>
    <n v="5.25"/>
    <n v="6.53"/>
    <n v="6.53"/>
    <n v="0"/>
    <n v="3"/>
    <n v="2.3890243901999999"/>
    <n v="10.95"/>
    <n v="0"/>
    <n v="0"/>
    <n v="15985.44"/>
    <n v="0"/>
    <n v="0"/>
    <n v="0"/>
    <n v="15985.44"/>
    <n v="532848"/>
    <x v="1"/>
    <d v="2023-06-13T00:00:00"/>
    <m/>
    <m/>
    <m/>
    <m/>
    <m/>
    <m/>
    <m/>
    <s v="3oh00001"/>
    <m/>
    <m/>
    <m/>
    <s v="Renewal"/>
    <x v="2"/>
    <s v="1H2023"/>
    <x v="1"/>
    <n v="40800"/>
    <n v="189312"/>
    <n v="214200"/>
    <n v="266424"/>
    <n v="266424"/>
    <n v="266424"/>
    <n v="266424"/>
    <n v="0"/>
    <n v="0"/>
    <n v="0"/>
    <n v="0"/>
    <n v="0"/>
    <s v=""/>
    <n v="0"/>
    <n v="0"/>
    <n v="97472.195120160002"/>
    <n v="446760"/>
    <n v="0"/>
    <n v="122400"/>
  </r>
  <r>
    <s v="Sohani Traders - 2610-2616 Adnjon"/>
    <x v="2"/>
    <m/>
    <m/>
    <m/>
    <x v="7"/>
    <n v="0"/>
    <s v="SOHANI TRADERS INC"/>
    <n v="36"/>
    <n v="8060"/>
    <m/>
    <m/>
    <m/>
    <n v="1.85"/>
    <n v="2.33"/>
    <s v=""/>
    <n v="2.33"/>
    <n v="0"/>
    <n v="0"/>
    <n v="0"/>
    <n v="11.3"/>
    <n v="0"/>
    <n v="0"/>
    <n v="0"/>
    <n v="0"/>
    <n v="0"/>
    <n v="0"/>
    <n v="0"/>
    <n v="96978.6"/>
    <x v="0"/>
    <d v="2022-01-31T00:00:00"/>
    <n v="7.6821002483819196"/>
    <s v=""/>
    <m/>
    <m/>
    <m/>
    <m/>
    <m/>
    <s v="xtx2616a"/>
    <m/>
    <n v="2.2970387332111244"/>
    <m/>
    <s v="Renewal"/>
    <x v="8"/>
    <s v="1H2022"/>
    <x v="0"/>
    <n v="8060"/>
    <n v="14911"/>
    <n v="18779.8"/>
    <s v=""/>
    <n v="18779.8"/>
    <n v="18779.8"/>
    <n v="18779.8"/>
    <m/>
    <m/>
    <n v="0"/>
    <n v="0"/>
    <n v="0"/>
    <s v=""/>
    <n v="0"/>
    <n v="0"/>
    <n v="0"/>
    <n v="91078"/>
    <n v="0"/>
    <n v="0"/>
  </r>
  <r>
    <s v="2098 N Integrity Dr.-Department of Job &amp; Family Services"/>
    <x v="1"/>
    <s v="Renewal"/>
    <s v="Stabilized"/>
    <n v="-2.2346368715083775E-2"/>
    <x v="10"/>
    <n v="0"/>
    <s v="Ohio Dept of Jobs and Family Services"/>
    <n v="24"/>
    <n v="39200"/>
    <m/>
    <m/>
    <m/>
    <n v="5.37"/>
    <n v="5.25"/>
    <n v="6.03"/>
    <n v="7.7"/>
    <n v="0"/>
    <n v="3"/>
    <n v="4.6987012986999996"/>
    <n v="10.95"/>
    <n v="0"/>
    <n v="0"/>
    <n v="14182.56"/>
    <n v="0"/>
    <n v="0"/>
    <n v="0"/>
    <n v="14182.56"/>
    <n v="472752"/>
    <x v="1"/>
    <d v="2023-06-13T00:00:00"/>
    <m/>
    <m/>
    <m/>
    <m/>
    <m/>
    <m/>
    <m/>
    <s v="3oh00001"/>
    <m/>
    <m/>
    <m/>
    <s v="Renewal"/>
    <x v="2"/>
    <s v="1H2023"/>
    <x v="1"/>
    <n v="39200"/>
    <n v="210504"/>
    <n v="205800"/>
    <n v="236376"/>
    <n v="301840"/>
    <n v="301840"/>
    <n v="301840"/>
    <n v="0"/>
    <n v="0"/>
    <n v="0"/>
    <n v="0"/>
    <n v="0"/>
    <s v=""/>
    <n v="0"/>
    <n v="0"/>
    <n v="184189.09090903998"/>
    <n v="429240"/>
    <n v="0"/>
    <n v="117600"/>
  </r>
  <r>
    <s v="40 Potash - Cablevision"/>
    <x v="2"/>
    <m/>
    <m/>
    <m/>
    <x v="3"/>
    <n v="0"/>
    <s v="Cablevision of Oakland"/>
    <n v="60"/>
    <n v="60994"/>
    <m/>
    <m/>
    <m/>
    <n v="8.2200000000000006"/>
    <n v="17.5"/>
    <s v=""/>
    <n v="17.5"/>
    <n v="0"/>
    <n v="0"/>
    <n v="5"/>
    <n v="4"/>
    <n v="0"/>
    <n v="0"/>
    <n v="266848.74"/>
    <n v="0"/>
    <n v="0"/>
    <n v="0"/>
    <n v="266848.74"/>
    <n v="5336974.8"/>
    <x v="0"/>
    <d v="2022-05-13T00:00:00"/>
    <n v="15.824798298543556"/>
    <n v="14.357301017304549"/>
    <n v="-9.5725811511796821E-2"/>
    <n v="-0.17958279901116869"/>
    <m/>
    <m/>
    <m/>
    <s v="xnj40pot"/>
    <m/>
    <n v="-9.5725811511796821E-2"/>
    <n v="-0.17958279901116869"/>
    <s v="Renewal"/>
    <x v="9"/>
    <s v="1H2022"/>
    <x v="3"/>
    <n v="60994"/>
    <n v="501370.68000000005"/>
    <n v="1067395"/>
    <s v=""/>
    <n v="1067395"/>
    <n v="1067395"/>
    <n v="1067395"/>
    <n v="965217.74742136558"/>
    <n v="875709.2182494736"/>
    <n v="0"/>
    <n v="0"/>
    <n v="0"/>
    <s v=""/>
    <n v="0"/>
    <n v="0"/>
    <n v="304970"/>
    <n v="243976"/>
    <n v="0"/>
    <n v="0"/>
  </r>
  <r>
    <s v="Skyhouse_10501 king william"/>
    <x v="2"/>
    <m/>
    <m/>
    <m/>
    <x v="7"/>
    <n v="0"/>
    <s v="Sky House Distribution, Inc."/>
    <n v="24"/>
    <n v="5000"/>
    <m/>
    <m/>
    <m/>
    <n v="4.63"/>
    <n v="5.1100000000000003"/>
    <s v=""/>
    <n v="5.1100000000000003"/>
    <n v="0"/>
    <n v="0"/>
    <n v="0"/>
    <n v="4.5"/>
    <n v="0"/>
    <n v="0"/>
    <n v="0"/>
    <n v="0"/>
    <n v="0"/>
    <n v="0"/>
    <n v="0"/>
    <n v="69600"/>
    <x v="0"/>
    <d v="2022-08-02T00:00:00"/>
    <n v="8.4331614613199157"/>
    <n v="8.4061726710569928"/>
    <n v="0.650325139201549"/>
    <n v="0.64504357554931357"/>
    <m/>
    <m/>
    <m/>
    <s v="xtx1050k"/>
    <m/>
    <n v="0.650325139201549"/>
    <n v="0.64504357554931357"/>
    <s v="Renewal"/>
    <x v="11"/>
    <s v="2H2022"/>
    <x v="0"/>
    <n v="5000"/>
    <n v="23150"/>
    <n v="25550"/>
    <s v=""/>
    <n v="25550"/>
    <n v="25550"/>
    <n v="25550"/>
    <n v="42165.807306599578"/>
    <n v="42030.863355284964"/>
    <n v="0"/>
    <n v="0"/>
    <n v="0"/>
    <s v=""/>
    <n v="0"/>
    <n v="0"/>
    <n v="0"/>
    <n v="22500"/>
    <n v="0"/>
    <n v="0"/>
  </r>
  <r>
    <s v="Ferguson- 420 Ware BLVD Ste A"/>
    <x v="1"/>
    <m/>
    <m/>
    <m/>
    <x v="9"/>
    <n v="0"/>
    <s v="Fergusen"/>
    <n v="36"/>
    <n v="9070"/>
    <m/>
    <m/>
    <m/>
    <n v="4.3899999999999997"/>
    <n v="4.3899999999999997"/>
    <s v=""/>
    <n v="4.7300000000000004"/>
    <n v="0"/>
    <n v="0"/>
    <n v="0"/>
    <n v="4"/>
    <n v="0"/>
    <n v="0"/>
    <n v="0"/>
    <n v="0"/>
    <n v="0"/>
    <n v="0"/>
    <n v="0"/>
    <n v="128703.3"/>
    <x v="0"/>
    <d v="2022-09-29T00:00:00"/>
    <n v="8.4421798988581376"/>
    <n v="8.5115710208421955"/>
    <n v="0.78481604627021917"/>
    <n v="0.79948647375099258"/>
    <m/>
    <m/>
    <m/>
    <s v="xfl420sw"/>
    <m/>
    <n v="0.92304781295173988"/>
    <n v="0.93885444666109241"/>
    <s v="Renewal"/>
    <x v="11"/>
    <s v="2H2022"/>
    <x v="0"/>
    <n v="9070"/>
    <n v="39817.299999999996"/>
    <n v="39817.299999999996"/>
    <s v=""/>
    <n v="42901.100000000006"/>
    <n v="42901.100000000006"/>
    <n v="42901.100000000006"/>
    <n v="76570.571682643305"/>
    <n v="77199.949159038719"/>
    <n v="0"/>
    <n v="0"/>
    <n v="0"/>
    <s v=""/>
    <n v="0"/>
    <n v="0"/>
    <n v="0"/>
    <n v="3628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E7D3A-DD54-4E80-B3CB-77F239AFFD38}" name="PivotTable1" cacheId="6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R22" firstHeaderRow="0" firstDataRow="1" firstDataCol="1" rowPageCount="3" colPageCount="1"/>
  <pivotFields count="87">
    <pivotField showAll="0"/>
    <pivotField axis="axisPage" dataField="1" multipleItemSelectionAllowed="1" showAll="0">
      <items count="6">
        <item x="4"/>
        <item x="3"/>
        <item x="0"/>
        <item x="1"/>
        <item x="2"/>
        <item t="default"/>
      </items>
    </pivotField>
    <pivotField showAll="0"/>
    <pivotField showAll="0"/>
    <pivotField showAll="0"/>
    <pivotField axis="axisRow" showAll="0" sortType="ascending">
      <items count="18">
        <item x="2"/>
        <item m="1" x="15"/>
        <item x="8"/>
        <item x="6"/>
        <item x="0"/>
        <item x="5"/>
        <item x="10"/>
        <item x="7"/>
        <item x="4"/>
        <item x="14"/>
        <item x="13"/>
        <item x="1"/>
        <item x="12"/>
        <item x="3"/>
        <item m="1" x="16"/>
        <item x="11"/>
        <item x="9"/>
        <item t="default"/>
      </items>
    </pivotField>
    <pivotField showAll="0"/>
    <pivotField showAll="0"/>
    <pivotField showAll="0"/>
    <pivotField name="SF2" dataField="1" numFmtId="165"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41" showAll="0"/>
    <pivotField showAll="0"/>
    <pivotField showAll="0"/>
    <pivotField name="FR2" numFmtId="41" showAll="0"/>
    <pivotField showAll="0"/>
    <pivotField dataField="1" showAll="0"/>
    <pivotField axis="axisPage" multipleItemSelectionAllowed="1" showAll="0">
      <items count="4">
        <item x="0"/>
        <item x="1"/>
        <item h="1" m="1" x="2"/>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8">
        <item x="8"/>
        <item x="7"/>
        <item x="12"/>
        <item x="9"/>
        <item x="13"/>
        <item x="11"/>
        <item x="14"/>
        <item x="10"/>
        <item x="2"/>
        <item m="1" x="16"/>
        <item x="6"/>
        <item x="5"/>
        <item m="1" x="15"/>
        <item x="4"/>
        <item x="3"/>
        <item x="1"/>
        <item x="0"/>
        <item t="default"/>
      </items>
    </pivotField>
    <pivotField showAll="0"/>
    <pivotField showAll="0"/>
    <pivotField showAll="0"/>
    <pivotField showAll="0"/>
    <pivotField numFmtId="2" showAll="0"/>
    <pivotField showAll="0"/>
    <pivotField showAll="0"/>
    <pivotField numFmtId="2" showAll="0"/>
    <pivotField showAll="0"/>
    <pivotField showAll="0"/>
    <pivotField showAll="0"/>
    <pivotField numFmtId="2" showAll="0"/>
    <pivotField showAll="0"/>
    <pivotField numFmtId="2" showAll="0"/>
    <pivotField numFmtId="2" showAll="0"/>
    <pivotField showAll="0"/>
    <pivotField numFmtId="2" showAll="0"/>
    <pivotField numFmtId="2" showAll="0"/>
    <pivotField numFmtId="2" showAll="0"/>
    <pivotField showAll="0"/>
    <pivotField numFmtId="2"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5"/>
  </rowFields>
  <rowItems count="16">
    <i>
      <x/>
    </i>
    <i>
      <x v="2"/>
    </i>
    <i>
      <x v="3"/>
    </i>
    <i>
      <x v="4"/>
    </i>
    <i>
      <x v="5"/>
    </i>
    <i>
      <x v="6"/>
    </i>
    <i>
      <x v="7"/>
    </i>
    <i>
      <x v="8"/>
    </i>
    <i>
      <x v="9"/>
    </i>
    <i>
      <x v="10"/>
    </i>
    <i>
      <x v="11"/>
    </i>
    <i>
      <x v="12"/>
    </i>
    <i>
      <x v="13"/>
    </i>
    <i>
      <x v="15"/>
    </i>
    <i>
      <x v="16"/>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pageFields count="3">
    <pageField fld="29" hier="-1"/>
    <pageField fld="43" hier="-1"/>
    <pageField fld="1" hier="-1"/>
  </pageFields>
  <dataFields count="17">
    <dataField name="Leases" fld="1" subtotal="count" baseField="0" baseItem="0" numFmtId="1"/>
    <dataField name="SF" fld="9" baseField="0" baseItem="0" numFmtId="165"/>
    <dataField name="Prior Lease PSF Rate." fld="67" baseField="0" baseItem="0" numFmtId="2"/>
    <dataField name="BP PSF Rate." fld="69" baseField="0" baseItem="0"/>
    <dataField name="Executed Lease PSF Rate." fld="68" baseField="0" baseItem="0"/>
    <dataField name="Escalation %" fld="74" baseField="0" baseItem="0" numFmtId="165"/>
    <dataField name="Escalation % (BP)" fld="75" baseField="0" baseItem="0"/>
    <dataField name="CTV (in %)" fld="70" baseField="0" baseItem="0"/>
    <dataField name="CTV BP (in %)" fld="71" baseField="0" baseItem="0"/>
    <dataField name="DT Actual" fld="83" baseField="0" baseItem="0" numFmtId="2"/>
    <dataField name="DT BP" fld="84" baseField="0" baseItem="0" numFmtId="2"/>
    <dataField name="FR" fld="80" baseField="0" baseItem="0" numFmtId="165"/>
    <dataField name="Increase % over Prior Rate" fld="72" baseField="0" baseItem="0" numFmtId="9"/>
    <dataField name="Increase % over BP" fld="73" baseField="0" baseItem="0" numFmtId="9"/>
    <dataField name="PSF excluding spaces that were previously vacant" fld="76" baseField="0" baseItem="0"/>
    <dataField name="Sum of Total Lease Value" fld="28" baseField="0" baseItem="0" numFmtId="170"/>
    <dataField name="Sum of FM Rate PSF" fld="77" baseField="0" baseItem="0" numFmtId="165"/>
  </dataFields>
  <formats count="20">
    <format dxfId="52">
      <pivotArea outline="0" collapsedLevelsAreSubtotals="1" fieldPosition="0"/>
    </format>
    <format dxfId="53">
      <pivotArea dataOnly="0" labelOnly="1" outline="0" fieldPosition="0">
        <references count="1">
          <reference field="4294967294" count="1">
            <x v="4"/>
          </reference>
        </references>
      </pivotArea>
    </format>
    <format dxfId="54">
      <pivotArea outline="0" collapsedLevelsAreSubtotals="1" fieldPosition="0">
        <references count="1">
          <reference field="4294967294" count="1" selected="0">
            <x v="0"/>
          </reference>
        </references>
      </pivotArea>
    </format>
    <format dxfId="55">
      <pivotArea outline="0" collapsedLevelsAreSubtotals="1" fieldPosition="0"/>
    </format>
    <format dxfId="56">
      <pivotArea dataOnly="0" labelOnly="1" outline="0" fieldPosition="0">
        <references count="1">
          <reference field="4294967294" count="6">
            <x v="0"/>
            <x v="2"/>
            <x v="3"/>
            <x v="4"/>
            <x v="7"/>
            <x v="8"/>
          </reference>
        </references>
      </pivotArea>
    </format>
    <format dxfId="57">
      <pivotArea outline="0" collapsedLevelsAreSubtotals="1" fieldPosition="0"/>
    </format>
    <format dxfId="58">
      <pivotArea dataOnly="0" labelOnly="1" outline="0" fieldPosition="0">
        <references count="1">
          <reference field="4294967294" count="6">
            <x v="0"/>
            <x v="2"/>
            <x v="3"/>
            <x v="4"/>
            <x v="7"/>
            <x v="8"/>
          </reference>
        </references>
      </pivotArea>
    </format>
    <format dxfId="59">
      <pivotArea outline="0" collapsedLevelsAreSubtotals="1" fieldPosition="0">
        <references count="1">
          <reference field="4294967294" count="1" selected="0">
            <x v="12"/>
          </reference>
        </references>
      </pivotArea>
    </format>
    <format dxfId="60">
      <pivotArea dataOnly="0" labelOnly="1" outline="0" fieldPosition="0">
        <references count="1">
          <reference field="4294967294" count="1">
            <x v="12"/>
          </reference>
        </references>
      </pivotArea>
    </format>
    <format dxfId="61">
      <pivotArea dataOnly="0" labelOnly="1" outline="0" fieldPosition="0">
        <references count="1">
          <reference field="4294967294" count="1">
            <x v="13"/>
          </reference>
        </references>
      </pivotArea>
    </format>
    <format dxfId="62">
      <pivotArea outline="0" collapsedLevelsAreSubtotals="1" fieldPosition="0">
        <references count="1">
          <reference field="4294967294" count="1" selected="0">
            <x v="13"/>
          </reference>
        </references>
      </pivotArea>
    </format>
    <format dxfId="63">
      <pivotArea field="5" grandRow="1" outline="0" collapsedLevelsAreSubtotals="1" axis="axisRow" fieldPosition="0">
        <references count="1">
          <reference field="4294967294" count="1" selected="0">
            <x v="12"/>
          </reference>
        </references>
      </pivotArea>
    </format>
    <format dxfId="64">
      <pivotArea dataOnly="0" labelOnly="1" outline="0" fieldPosition="0">
        <references count="1">
          <reference field="4294967294" count="1">
            <x v="11"/>
          </reference>
        </references>
      </pivotArea>
    </format>
    <format dxfId="65">
      <pivotArea field="5" grandRow="1" outline="0" collapsedLevelsAreSubtotals="1" axis="axisRow" fieldPosition="0">
        <references count="1">
          <reference field="4294967294" count="1" selected="0">
            <x v="1"/>
          </reference>
        </references>
      </pivotArea>
    </format>
    <format dxfId="66">
      <pivotArea outline="0" collapsedLevelsAreSubtotals="1" fieldPosition="0">
        <references count="1">
          <reference field="4294967294" count="1" selected="0">
            <x v="1"/>
          </reference>
        </references>
      </pivotArea>
    </format>
    <format dxfId="67">
      <pivotArea dataOnly="0" outline="0" fieldPosition="0">
        <references count="1">
          <reference field="4294967294" count="1">
            <x v="9"/>
          </reference>
        </references>
      </pivotArea>
    </format>
    <format dxfId="68">
      <pivotArea outline="0" collapsedLevelsAreSubtotals="1" fieldPosition="0">
        <references count="1">
          <reference field="4294967294" count="1" selected="0">
            <x v="10"/>
          </reference>
        </references>
      </pivotArea>
    </format>
    <format dxfId="69">
      <pivotArea dataOnly="0" labelOnly="1" outline="0" fieldPosition="0">
        <references count="1">
          <reference field="4294967294" count="1">
            <x v="10"/>
          </reference>
        </references>
      </pivotArea>
    </format>
    <format dxfId="70">
      <pivotArea outline="0" collapsedLevelsAreSubtotals="1" fieldPosition="0">
        <references count="1">
          <reference field="4294967294" count="1" selected="0">
            <x v="15"/>
          </reference>
        </references>
      </pivotArea>
    </format>
    <format dxfId="71">
      <pivotArea dataOnly="0" labelOnly="1" outline="0" fieldPosition="0">
        <references count="1">
          <reference field="4294967294" count="1">
            <x v="1"/>
          </reference>
        </references>
      </pivotArea>
    </format>
  </formats>
  <chartFormats count="11">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10" series="1">
      <pivotArea type="data" outline="0" fieldPosition="0">
        <references count="1">
          <reference field="4294967294" count="1" selected="0">
            <x v="11"/>
          </reference>
        </references>
      </pivotArea>
    </chartFormat>
    <chartFormat chart="1" format="12" series="1">
      <pivotArea type="data" outline="0" fieldPosition="0">
        <references count="1">
          <reference field="4294967294" count="1" selected="0">
            <x v="12"/>
          </reference>
        </references>
      </pivotArea>
    </chartFormat>
    <chartFormat chart="1" format="13" series="1">
      <pivotArea type="data" outline="0" fieldPosition="0">
        <references count="1">
          <reference field="429496729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35B2E5-F6D1-4907-8E56-8C47EBC7CB5A}" name="PivotTable1" cacheId="6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Q22" firstHeaderRow="0" firstDataRow="1" firstDataCol="1" rowPageCount="3" colPageCount="1"/>
  <pivotFields count="87">
    <pivotField showAll="0"/>
    <pivotField axis="axisPage" dataField="1" multipleItemSelectionAllowed="1" showAll="0">
      <items count="6">
        <item x="4"/>
        <item x="3"/>
        <item x="0"/>
        <item x="1"/>
        <item x="2"/>
        <item t="default"/>
      </items>
    </pivotField>
    <pivotField showAll="0"/>
    <pivotField showAll="0"/>
    <pivotField showAll="0"/>
    <pivotField axis="axisPage" multipleItemSelectionAllowed="1" showAll="0">
      <items count="18">
        <item x="2"/>
        <item x="8"/>
        <item x="0"/>
        <item x="5"/>
        <item x="10"/>
        <item x="7"/>
        <item x="4"/>
        <item x="14"/>
        <item x="1"/>
        <item x="12"/>
        <item x="3"/>
        <item x="11"/>
        <item x="9"/>
        <item x="13"/>
        <item x="6"/>
        <item m="1" x="16"/>
        <item m="1" x="15"/>
        <item t="default"/>
      </items>
    </pivotField>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41" showAll="0"/>
    <pivotField showAll="0"/>
    <pivotField showAll="0"/>
    <pivotField numFmtId="41" showAll="0"/>
    <pivotField showAll="0"/>
    <pivotField showAll="0"/>
    <pivotField axis="axisPage" multipleItemSelectionAllowed="1" showAll="0">
      <items count="4">
        <item x="0"/>
        <item x="1"/>
        <item m="1" x="2"/>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18">
        <item x="12"/>
        <item x="13"/>
        <item x="14"/>
        <item x="8"/>
        <item x="9"/>
        <item x="11"/>
        <item x="10"/>
        <item x="7"/>
        <item x="2"/>
        <item m="1" x="16"/>
        <item x="6"/>
        <item x="5"/>
        <item m="1" x="15"/>
        <item x="4"/>
        <item x="3"/>
        <item x="1"/>
        <item x="0"/>
        <item t="default"/>
      </items>
    </pivotField>
    <pivotField showAll="0"/>
    <pivotField showAll="0"/>
    <pivotField showAll="0"/>
    <pivotField showAll="0"/>
    <pivotField numFmtId="2" showAll="0"/>
    <pivotField showAll="0"/>
    <pivotField showAll="0"/>
    <pivotField numFmtId="2" showAll="0"/>
    <pivotField showAll="0"/>
    <pivotField showAll="0"/>
    <pivotField showAll="0"/>
    <pivotField numFmtId="2" showAll="0"/>
    <pivotField showAll="0"/>
    <pivotField numFmtId="2" showAll="0"/>
    <pivotField numFmtId="2" showAll="0"/>
    <pivotField showAll="0"/>
    <pivotField numFmtId="2" showAll="0"/>
    <pivotField numFmtId="2" showAll="0"/>
    <pivotField numFmtId="2" showAll="0"/>
    <pivotField showAll="0"/>
    <pivotField numFmtId="2"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s>
  <rowFields count="1">
    <field x="43"/>
  </rowFields>
  <rowItems count="16">
    <i>
      <x/>
    </i>
    <i>
      <x v="1"/>
    </i>
    <i>
      <x v="2"/>
    </i>
    <i>
      <x v="3"/>
    </i>
    <i>
      <x v="4"/>
    </i>
    <i>
      <x v="5"/>
    </i>
    <i>
      <x v="6"/>
    </i>
    <i>
      <x v="7"/>
    </i>
    <i>
      <x v="8"/>
    </i>
    <i>
      <x v="10"/>
    </i>
    <i>
      <x v="11"/>
    </i>
    <i>
      <x v="13"/>
    </i>
    <i>
      <x v="14"/>
    </i>
    <i>
      <x v="15"/>
    </i>
    <i>
      <x v="16"/>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pageFields count="3">
    <pageField fld="29" hier="-1"/>
    <pageField fld="1" hier="-1"/>
    <pageField fld="5" hier="-1"/>
  </pageFields>
  <dataFields count="16">
    <dataField name="Leases" fld="1" subtotal="count" baseField="0" baseItem="0" numFmtId="1"/>
    <dataField name="Sum of SF" fld="9" baseField="0" baseItem="0" numFmtId="165"/>
    <dataField name="Prior Lease PSF Rate." fld="67" baseField="0" baseItem="0" numFmtId="2"/>
    <dataField name="BP PSF Rate." fld="69" baseField="0" baseItem="0"/>
    <dataField name="Executed Lease PSF Rate." fld="68" baseField="0" baseItem="0"/>
    <dataField name="Escalation %" fld="74" baseField="0" baseItem="0" numFmtId="165"/>
    <dataField name="Escalation % (BP)" fld="75" baseField="0" baseItem="0"/>
    <dataField name="CTV (in %)" fld="70" baseField="0" baseItem="0"/>
    <dataField name="CTV BP (in %)" fld="71" baseField="0" baseItem="0"/>
    <dataField name="Increase % over Prior Rate" fld="72" baseField="0" baseItem="0" numFmtId="9"/>
    <dataField name="Increase % over BP" fld="73" baseField="0" baseItem="0" numFmtId="9"/>
    <dataField name="DT Actual" fld="83" baseField="0" baseItem="0" numFmtId="2"/>
    <dataField name="DT BP" fld="84" baseField="0" baseItem="0" numFmtId="2"/>
    <dataField name="Sum of FR (Actual)" fld="80" baseField="0" baseItem="0" numFmtId="2"/>
    <dataField name="Sum of FM Rate PSF" fld="77" baseField="0" baseItem="0"/>
    <dataField name="Sum of Spread over FM" fld="86" baseField="0" baseItem="0" numFmtId="9"/>
  </dataFields>
  <formats count="16">
    <format dxfId="36">
      <pivotArea outline="0" collapsedLevelsAreSubtotals="1" fieldPosition="0"/>
    </format>
    <format dxfId="37">
      <pivotArea dataOnly="0" labelOnly="1" outline="0" fieldPosition="0">
        <references count="1">
          <reference field="4294967294" count="1">
            <x v="4"/>
          </reference>
        </references>
      </pivotArea>
    </format>
    <format dxfId="38">
      <pivotArea outline="0" collapsedLevelsAreSubtotals="1" fieldPosition="0">
        <references count="1">
          <reference field="4294967294" count="1" selected="0">
            <x v="0"/>
          </reference>
        </references>
      </pivotArea>
    </format>
    <format dxfId="39">
      <pivotArea outline="0" collapsedLevelsAreSubtotals="1" fieldPosition="0"/>
    </format>
    <format dxfId="40">
      <pivotArea dataOnly="0" labelOnly="1" outline="0" fieldPosition="0">
        <references count="1">
          <reference field="4294967294" count="6">
            <x v="0"/>
            <x v="2"/>
            <x v="3"/>
            <x v="4"/>
            <x v="7"/>
            <x v="8"/>
          </reference>
        </references>
      </pivotArea>
    </format>
    <format dxfId="41">
      <pivotArea outline="0" collapsedLevelsAreSubtotals="1" fieldPosition="0"/>
    </format>
    <format dxfId="42">
      <pivotArea dataOnly="0" labelOnly="1" outline="0" fieldPosition="0">
        <references count="1">
          <reference field="4294967294" count="6">
            <x v="0"/>
            <x v="2"/>
            <x v="3"/>
            <x v="4"/>
            <x v="7"/>
            <x v="8"/>
          </reference>
        </references>
      </pivotArea>
    </format>
    <format dxfId="43">
      <pivotArea outline="0" collapsedLevelsAreSubtotals="1" fieldPosition="0">
        <references count="1">
          <reference field="4294967294" count="1" selected="0">
            <x v="9"/>
          </reference>
        </references>
      </pivotArea>
    </format>
    <format dxfId="44">
      <pivotArea dataOnly="0" labelOnly="1" outline="0" fieldPosition="0">
        <references count="1">
          <reference field="4294967294" count="1">
            <x v="9"/>
          </reference>
        </references>
      </pivotArea>
    </format>
    <format dxfId="45">
      <pivotArea dataOnly="0" labelOnly="1" outline="0" fieldPosition="0">
        <references count="1">
          <reference field="4294967294" count="1">
            <x v="10"/>
          </reference>
        </references>
      </pivotArea>
    </format>
    <format dxfId="46">
      <pivotArea outline="0" collapsedLevelsAreSubtotals="1" fieldPosition="0">
        <references count="1">
          <reference field="4294967294" count="1" selected="0">
            <x v="10"/>
          </reference>
        </references>
      </pivotArea>
    </format>
    <format dxfId="47">
      <pivotArea field="5" grandRow="1" outline="0" collapsedLevelsAreSubtotals="1" axis="axisPage" fieldPosition="2">
        <references count="1">
          <reference field="4294967294" count="1" selected="0">
            <x v="9"/>
          </reference>
        </references>
      </pivotArea>
    </format>
    <format dxfId="48">
      <pivotArea outline="0" collapsedLevelsAreSubtotals="1" fieldPosition="0">
        <references count="1">
          <reference field="4294967294" count="1" selected="0">
            <x v="1"/>
          </reference>
        </references>
      </pivotArea>
    </format>
    <format dxfId="49">
      <pivotArea outline="0" collapsedLevelsAreSubtotals="1" fieldPosition="0">
        <references count="1">
          <reference field="4294967294" count="2" selected="0">
            <x v="11"/>
            <x v="12"/>
          </reference>
        </references>
      </pivotArea>
    </format>
    <format dxfId="50">
      <pivotArea dataOnly="0" labelOnly="1" outline="0" fieldPosition="0">
        <references count="1">
          <reference field="4294967294" count="2">
            <x v="11"/>
            <x v="12"/>
          </reference>
        </references>
      </pivotArea>
    </format>
    <format dxfId="51">
      <pivotArea outline="0" collapsedLevelsAreSubtotals="1" fieldPosition="0">
        <references count="1">
          <reference field="4294967294" count="1" selected="0">
            <x v="15"/>
          </reference>
        </references>
      </pivotArea>
    </format>
  </formats>
  <chartFormats count="10">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11" series="1">
      <pivotArea type="data" outline="0" fieldPosition="0">
        <references count="1">
          <reference field="4294967294" count="1" selected="0">
            <x v="9"/>
          </reference>
        </references>
      </pivotArea>
    </chartFormat>
    <chartFormat chart="1" format="12"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780AD0-E4C2-453B-836E-B23C8775A925}" name="PivotTable1" cacheId="6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E17" firstHeaderRow="0" firstDataRow="1" firstDataCol="1" rowPageCount="3" colPageCount="1"/>
  <pivotFields count="87">
    <pivotField showAll="0"/>
    <pivotField axis="axisPage" dataField="1" multipleItemSelectionAllowed="1" showAll="0">
      <items count="6">
        <item x="4"/>
        <item x="3"/>
        <item x="0"/>
        <item x="1"/>
        <item x="2"/>
        <item t="default"/>
      </items>
    </pivotField>
    <pivotField showAll="0"/>
    <pivotField showAll="0"/>
    <pivotField showAll="0"/>
    <pivotField axis="axisRow" showAll="0">
      <items count="18">
        <item x="2"/>
        <item x="8"/>
        <item x="0"/>
        <item x="5"/>
        <item x="10"/>
        <item x="7"/>
        <item x="4"/>
        <item x="14"/>
        <item x="1"/>
        <item x="12"/>
        <item x="3"/>
        <item x="11"/>
        <item x="9"/>
        <item x="13"/>
        <item x="6"/>
        <item m="1" x="16"/>
        <item m="1" x="15"/>
        <item t="default"/>
      </items>
    </pivotField>
    <pivotField showAll="0"/>
    <pivotField showAll="0"/>
    <pivotField showAll="0"/>
    <pivotField name="SF2" numFmtId="165"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41" showAll="0"/>
    <pivotField showAll="0"/>
    <pivotField showAll="0"/>
    <pivotField numFmtId="41" showAll="0"/>
    <pivotField showAll="0"/>
    <pivotField showAll="0"/>
    <pivotField axis="axisPage" multipleItemSelectionAllowed="1" showAll="0">
      <items count="4">
        <item x="0"/>
        <item x="1"/>
        <item m="1" x="2"/>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8">
        <item h="1" x="8"/>
        <item x="7"/>
        <item h="1" x="12"/>
        <item h="1" x="9"/>
        <item h="1" x="13"/>
        <item h="1" x="11"/>
        <item h="1" x="14"/>
        <item x="10"/>
        <item x="2"/>
        <item h="1" m="1" x="16"/>
        <item h="1" x="6"/>
        <item h="1" x="5"/>
        <item h="1" m="1" x="15"/>
        <item h="1" x="4"/>
        <item h="1" x="3"/>
        <item h="1" x="1"/>
        <item h="1" x="0"/>
        <item t="default"/>
      </items>
    </pivotField>
    <pivotField showAll="0"/>
    <pivotField showAll="0"/>
    <pivotField showAll="0"/>
    <pivotField showAll="0"/>
    <pivotField numFmtId="2" showAll="0"/>
    <pivotField showAll="0"/>
    <pivotField showAll="0"/>
    <pivotField numFmtId="2" showAll="0"/>
    <pivotField showAll="0"/>
    <pivotField showAll="0"/>
    <pivotField showAll="0"/>
    <pivotField numFmtId="2" showAll="0"/>
    <pivotField showAll="0"/>
    <pivotField numFmtId="2" showAll="0"/>
    <pivotField numFmtId="2" showAll="0"/>
    <pivotField showAll="0"/>
    <pivotField numFmtId="2" showAll="0"/>
    <pivotField numFmtId="2" showAll="0"/>
    <pivotField numFmtId="2" showAll="0"/>
    <pivotField showAll="0"/>
    <pivotField numFmtId="2"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5"/>
  </rowFields>
  <rowItems count="11">
    <i>
      <x/>
    </i>
    <i>
      <x v="1"/>
    </i>
    <i>
      <x v="2"/>
    </i>
    <i>
      <x v="4"/>
    </i>
    <i>
      <x v="5"/>
    </i>
    <i>
      <x v="6"/>
    </i>
    <i>
      <x v="8"/>
    </i>
    <i>
      <x v="10"/>
    </i>
    <i>
      <x v="11"/>
    </i>
    <i>
      <x v="13"/>
    </i>
    <i t="grand">
      <x/>
    </i>
  </rowItems>
  <colFields count="1">
    <field x="-2"/>
  </colFields>
  <colItems count="4">
    <i>
      <x/>
    </i>
    <i i="1">
      <x v="1"/>
    </i>
    <i i="2">
      <x v="2"/>
    </i>
    <i i="3">
      <x v="3"/>
    </i>
  </colItems>
  <pageFields count="3">
    <pageField fld="29" hier="-1"/>
    <pageField fld="43" hier="-1"/>
    <pageField fld="1" hier="-1"/>
  </pageFields>
  <dataFields count="4">
    <dataField name="Leases" fld="1" subtotal="count" baseField="0" baseItem="0" numFmtId="1"/>
    <dataField name="FM PSF Rate. " fld="77" baseField="0" baseItem="0" numFmtId="165"/>
    <dataField name="Executed Lease PSF Rate." fld="68" baseField="0" baseItem="0"/>
    <dataField name="NOI Increase over FM." fld="78" baseField="0" baseItem="0" numFmtId="170"/>
  </dataFields>
  <formats count="10">
    <format dxfId="26">
      <pivotArea outline="0" collapsedLevelsAreSubtotals="1" fieldPosition="0"/>
    </format>
    <format dxfId="27">
      <pivotArea dataOnly="0" labelOnly="1" outline="0" fieldPosition="0">
        <references count="1">
          <reference field="4294967294" count="1">
            <x v="2"/>
          </reference>
        </references>
      </pivotArea>
    </format>
    <format dxfId="28">
      <pivotArea outline="0" collapsedLevelsAreSubtotals="1" fieldPosition="0">
        <references count="1">
          <reference field="4294967294" count="1" selected="0">
            <x v="0"/>
          </reference>
        </references>
      </pivotArea>
    </format>
    <format dxfId="29">
      <pivotArea outline="0" collapsedLevelsAreSubtotals="1" fieldPosition="0"/>
    </format>
    <format dxfId="30">
      <pivotArea dataOnly="0" labelOnly="1" outline="0" fieldPosition="0">
        <references count="1">
          <reference field="4294967294" count="2">
            <x v="0"/>
            <x v="2"/>
          </reference>
        </references>
      </pivotArea>
    </format>
    <format dxfId="31">
      <pivotArea outline="0" collapsedLevelsAreSubtotals="1" fieldPosition="0"/>
    </format>
    <format dxfId="32">
      <pivotArea dataOnly="0" labelOnly="1" outline="0" fieldPosition="0">
        <references count="1">
          <reference field="4294967294" count="2">
            <x v="0"/>
            <x v="2"/>
          </reference>
        </references>
      </pivotArea>
    </format>
    <format dxfId="33">
      <pivotArea dataOnly="0" labelOnly="1" outline="0" fieldPosition="0">
        <references count="1">
          <reference field="4294967294" count="1">
            <x v="1"/>
          </reference>
        </references>
      </pivotArea>
    </format>
    <format dxfId="34">
      <pivotArea outline="0" collapsedLevelsAreSubtotals="1" fieldPosition="0">
        <references count="1">
          <reference field="4294967294" count="1" selected="0">
            <x v="3"/>
          </reference>
        </references>
      </pivotArea>
    </format>
    <format dxfId="35">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2BE640-EC0B-43A1-B80B-408CBCF156FE}" name="PivotTable1" cacheId="6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N43" firstHeaderRow="0" firstDataRow="1" firstDataCol="1" rowPageCount="3" colPageCount="1"/>
  <pivotFields count="87">
    <pivotField showAll="0"/>
    <pivotField axis="axisPage" dataField="1" multipleItemSelectionAllowed="1" showAll="0">
      <items count="6">
        <item x="4"/>
        <item x="3"/>
        <item x="0"/>
        <item x="1"/>
        <item x="2"/>
        <item t="default"/>
      </items>
    </pivotField>
    <pivotField showAll="0"/>
    <pivotField showAll="0"/>
    <pivotField showAll="0"/>
    <pivotField axis="axisRow" showAll="0">
      <items count="18">
        <item x="2"/>
        <item x="8"/>
        <item x="0"/>
        <item x="5"/>
        <item x="10"/>
        <item x="7"/>
        <item x="4"/>
        <item x="14"/>
        <item x="1"/>
        <item x="12"/>
        <item x="3"/>
        <item x="11"/>
        <item x="9"/>
        <item x="13"/>
        <item x="6"/>
        <item m="1" x="16"/>
        <item m="1" x="15"/>
        <item t="default"/>
      </items>
    </pivotField>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41" showAll="0"/>
    <pivotField showAll="0"/>
    <pivotField showAll="0"/>
    <pivotField numFmtId="41" showAll="0"/>
    <pivotField showAll="0"/>
    <pivotField showAll="0"/>
    <pivotField axis="axisPage" multipleItemSelectionAllowed="1" showAll="0">
      <items count="4">
        <item x="0"/>
        <item x="1"/>
        <item m="1" x="2"/>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8">
        <item x="12"/>
        <item x="13"/>
        <item x="14"/>
        <item x="8"/>
        <item x="9"/>
        <item x="11"/>
        <item x="10"/>
        <item x="7"/>
        <item x="2"/>
        <item m="1" x="16"/>
        <item x="6"/>
        <item x="5"/>
        <item m="1" x="15"/>
        <item x="4"/>
        <item x="3"/>
        <item x="1"/>
        <item x="0"/>
        <item t="default"/>
      </items>
    </pivotField>
    <pivotField showAll="0"/>
    <pivotField axis="axisRow" showAll="0">
      <items count="10">
        <item m="1" x="6"/>
        <item m="1" x="8"/>
        <item m="1" x="5"/>
        <item m="1" x="7"/>
        <item x="1"/>
        <item x="0"/>
        <item x="3"/>
        <item sd="0" x="2"/>
        <item m="1" x="4"/>
        <item t="default"/>
      </items>
    </pivotField>
    <pivotField showAll="0"/>
    <pivotField showAll="0"/>
    <pivotField numFmtId="2" showAll="0"/>
    <pivotField showAll="0"/>
    <pivotField showAll="0"/>
    <pivotField numFmtId="2" showAll="0"/>
    <pivotField showAll="0"/>
    <pivotField showAll="0"/>
    <pivotField showAll="0"/>
    <pivotField numFmtId="2" showAll="0"/>
    <pivotField showAll="0"/>
    <pivotField numFmtId="2" showAll="0"/>
    <pivotField numFmtId="2" showAll="0"/>
    <pivotField showAll="0"/>
    <pivotField numFmtId="2" showAll="0"/>
    <pivotField numFmtId="2" showAll="0"/>
    <pivotField numFmtId="2" showAll="0"/>
    <pivotField showAll="0"/>
    <pivotField numFmtId="2"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2">
    <field x="45"/>
    <field x="5"/>
  </rowFields>
  <rowItems count="37">
    <i>
      <x v="4"/>
    </i>
    <i r="1">
      <x/>
    </i>
    <i r="1">
      <x v="1"/>
    </i>
    <i r="1">
      <x v="2"/>
    </i>
    <i r="1">
      <x v="3"/>
    </i>
    <i r="1">
      <x v="4"/>
    </i>
    <i r="1">
      <x v="5"/>
    </i>
    <i r="1">
      <x v="6"/>
    </i>
    <i r="1">
      <x v="8"/>
    </i>
    <i r="1">
      <x v="9"/>
    </i>
    <i r="1">
      <x v="10"/>
    </i>
    <i r="1">
      <x v="11"/>
    </i>
    <i r="1">
      <x v="13"/>
    </i>
    <i r="1">
      <x v="14"/>
    </i>
    <i>
      <x v="5"/>
    </i>
    <i r="1">
      <x/>
    </i>
    <i r="1">
      <x v="1"/>
    </i>
    <i r="1">
      <x v="2"/>
    </i>
    <i r="1">
      <x v="4"/>
    </i>
    <i r="1">
      <x v="5"/>
    </i>
    <i r="1">
      <x v="6"/>
    </i>
    <i r="1">
      <x v="8"/>
    </i>
    <i r="1">
      <x v="10"/>
    </i>
    <i r="1">
      <x v="11"/>
    </i>
    <i r="1">
      <x v="12"/>
    </i>
    <i>
      <x v="6"/>
    </i>
    <i r="1">
      <x/>
    </i>
    <i r="1">
      <x v="2"/>
    </i>
    <i r="1">
      <x v="3"/>
    </i>
    <i r="1">
      <x v="5"/>
    </i>
    <i r="1">
      <x v="7"/>
    </i>
    <i r="1">
      <x v="8"/>
    </i>
    <i r="1">
      <x v="10"/>
    </i>
    <i r="1">
      <x v="12"/>
    </i>
    <i r="1">
      <x v="14"/>
    </i>
    <i>
      <x v="7"/>
    </i>
    <i t="grand">
      <x/>
    </i>
  </rowItems>
  <colFields count="1">
    <field x="-2"/>
  </colFields>
  <colItems count="13">
    <i>
      <x/>
    </i>
    <i i="1">
      <x v="1"/>
    </i>
    <i i="2">
      <x v="2"/>
    </i>
    <i i="3">
      <x v="3"/>
    </i>
    <i i="4">
      <x v="4"/>
    </i>
    <i i="5">
      <x v="5"/>
    </i>
    <i i="6">
      <x v="6"/>
    </i>
    <i i="7">
      <x v="7"/>
    </i>
    <i i="8">
      <x v="8"/>
    </i>
    <i i="9">
      <x v="9"/>
    </i>
    <i i="10">
      <x v="10"/>
    </i>
    <i i="11">
      <x v="11"/>
    </i>
    <i i="12">
      <x v="12"/>
    </i>
  </colItems>
  <pageFields count="3">
    <pageField fld="29" hier="-1"/>
    <pageField fld="1" hier="-1"/>
    <pageField fld="43" hier="-1"/>
  </pageFields>
  <dataFields count="13">
    <dataField name="Leases" fld="1" subtotal="count" baseField="0" baseItem="0" numFmtId="1"/>
    <dataField name="Sum of SF" fld="9" baseField="0" baseItem="0" numFmtId="165"/>
    <dataField name="Prior Lease PSF Rate." fld="67" baseField="0" baseItem="0" numFmtId="2"/>
    <dataField name="BP PSF Rate." fld="69" baseField="0" baseItem="0"/>
    <dataField name="Executed Lease PSF Rate." fld="68" baseField="0" baseItem="0"/>
    <dataField name="Escalation %" fld="74" baseField="0" baseItem="0" numFmtId="165"/>
    <dataField name="Escalation % (BP)" fld="75" baseField="0" baseItem="0"/>
    <dataField name="CTV (in %)" fld="70" baseField="0" baseItem="0"/>
    <dataField name="CTV BP (in %)" fld="71" baseField="0" baseItem="0"/>
    <dataField name="Increase % over BP" fld="73" baseField="0" baseItem="0" numFmtId="9"/>
    <dataField name="DT Actual" fld="83" baseField="0" baseItem="0" numFmtId="2"/>
    <dataField name="DT BP" fld="84" baseField="0" baseItem="0" numFmtId="2"/>
    <dataField name="Sum of FR (Actual)" fld="80" baseField="0" baseItem="0" numFmtId="2"/>
  </dataFields>
  <formats count="12">
    <format dxfId="14">
      <pivotArea outline="0" collapsedLevelsAreSubtotals="1" fieldPosition="0"/>
    </format>
    <format dxfId="15">
      <pivotArea dataOnly="0" labelOnly="1" outline="0" fieldPosition="0">
        <references count="1">
          <reference field="4294967294" count="1">
            <x v="4"/>
          </reference>
        </references>
      </pivotArea>
    </format>
    <format dxfId="16">
      <pivotArea outline="0" collapsedLevelsAreSubtotals="1" fieldPosition="0">
        <references count="1">
          <reference field="4294967294" count="1" selected="0">
            <x v="0"/>
          </reference>
        </references>
      </pivotArea>
    </format>
    <format dxfId="17">
      <pivotArea outline="0" collapsedLevelsAreSubtotals="1" fieldPosition="0"/>
    </format>
    <format dxfId="18">
      <pivotArea dataOnly="0" labelOnly="1" outline="0" fieldPosition="0">
        <references count="1">
          <reference field="4294967294" count="6">
            <x v="0"/>
            <x v="2"/>
            <x v="3"/>
            <x v="4"/>
            <x v="7"/>
            <x v="8"/>
          </reference>
        </references>
      </pivotArea>
    </format>
    <format dxfId="19">
      <pivotArea outline="0" collapsedLevelsAreSubtotals="1" fieldPosition="0"/>
    </format>
    <format dxfId="20">
      <pivotArea dataOnly="0" labelOnly="1" outline="0" fieldPosition="0">
        <references count="1">
          <reference field="4294967294" count="6">
            <x v="0"/>
            <x v="2"/>
            <x v="3"/>
            <x v="4"/>
            <x v="7"/>
            <x v="8"/>
          </reference>
        </references>
      </pivotArea>
    </format>
    <format dxfId="21">
      <pivotArea dataOnly="0" labelOnly="1" outline="0" fieldPosition="0">
        <references count="1">
          <reference field="4294967294" count="1">
            <x v="9"/>
          </reference>
        </references>
      </pivotArea>
    </format>
    <format dxfId="22">
      <pivotArea outline="0" collapsedLevelsAreSubtotals="1" fieldPosition="0">
        <references count="1">
          <reference field="4294967294" count="1" selected="0">
            <x v="9"/>
          </reference>
        </references>
      </pivotArea>
    </format>
    <format dxfId="23">
      <pivotArea outline="0" collapsedLevelsAreSubtotals="1" fieldPosition="0">
        <references count="1">
          <reference field="4294967294" count="1" selected="0">
            <x v="1"/>
          </reference>
        </references>
      </pivotArea>
    </format>
    <format dxfId="24">
      <pivotArea outline="0" collapsedLevelsAreSubtotals="1" fieldPosition="0">
        <references count="1">
          <reference field="4294967294" count="2" selected="0">
            <x v="10"/>
            <x v="11"/>
          </reference>
        </references>
      </pivotArea>
    </format>
    <format dxfId="25">
      <pivotArea dataOnly="0" labelOnly="1" outline="0" fieldPosition="0">
        <references count="1">
          <reference field="4294967294" count="2">
            <x v="10"/>
            <x v="11"/>
          </reference>
        </references>
      </pivotArea>
    </format>
  </formats>
  <chartFormats count="9">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12"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147EA7-8379-4D93-9C72-D68EECF00B8C}" name="PivotTable20" cacheId="6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9" firstHeaderRow="1" firstDataRow="1" firstDataCol="1"/>
  <pivotFields count="87">
    <pivotField showAll="0"/>
    <pivotField showAll="0"/>
    <pivotField showAll="0"/>
    <pivotField showAll="0"/>
    <pivotField showAll="0"/>
    <pivotField axis="axisRow" showAll="0" sortType="ascending">
      <items count="18">
        <item x="2"/>
        <item x="8"/>
        <item x="0"/>
        <item x="5"/>
        <item x="10"/>
        <item x="7"/>
        <item x="4"/>
        <item x="14"/>
        <item x="1"/>
        <item x="12"/>
        <item x="3"/>
        <item x="11"/>
        <item x="9"/>
        <item x="13"/>
        <item x="6"/>
        <item m="1" x="16"/>
        <item m="1" x="15"/>
        <item t="default"/>
      </items>
      <autoSortScope>
        <pivotArea dataOnly="0" outline="0" fieldPosition="0">
          <references count="1">
            <reference field="4294967294" count="1" selected="0">
              <x v="0"/>
            </reference>
          </references>
        </pivotArea>
      </autoSortScope>
    </pivotField>
    <pivotField showAll="0"/>
    <pivotField showAll="0"/>
    <pivotField showAll="0"/>
    <pivotField name="SF2" numFmtId="165"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41" showAll="0"/>
    <pivotField showAll="0"/>
    <pivotField showAll="0"/>
    <pivotField numFmtId="41" showAll="0"/>
    <pivotField showAll="0"/>
    <pivotField dataField="1" numFmtId="165"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showAll="0"/>
    <pivotField numFmtId="2" showAll="0"/>
    <pivotField showAll="0"/>
    <pivotField numFmtId="2" showAll="0"/>
    <pivotField numFmtId="2" showAll="0"/>
    <pivotField showAll="0"/>
    <pivotField numFmtId="2" showAll="0"/>
    <pivotField numFmtId="2" showAll="0"/>
    <pivotField numFmtId="2" showAll="0"/>
    <pivotField numFmtId="2" showAll="0"/>
    <pivotField numFmtId="2"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5"/>
  </rowFields>
  <rowItems count="16">
    <i>
      <x v="13"/>
    </i>
    <i>
      <x v="7"/>
    </i>
    <i>
      <x v="12"/>
    </i>
    <i>
      <x v="14"/>
    </i>
    <i>
      <x v="4"/>
    </i>
    <i>
      <x v="1"/>
    </i>
    <i>
      <x v="11"/>
    </i>
    <i>
      <x v="3"/>
    </i>
    <i>
      <x v="8"/>
    </i>
    <i>
      <x v="9"/>
    </i>
    <i>
      <x v="2"/>
    </i>
    <i>
      <x v="5"/>
    </i>
    <i>
      <x v="6"/>
    </i>
    <i>
      <x/>
    </i>
    <i>
      <x v="10"/>
    </i>
    <i t="grand">
      <x/>
    </i>
  </rowItems>
  <colItems count="1">
    <i/>
  </colItems>
  <dataFields count="1">
    <dataField name="Lease Value" fld="28" showDataAs="percentOfTotal" baseField="0" baseItem="0" numFmtId="10"/>
  </dataFields>
  <formats count="2">
    <format dxfId="12">
      <pivotArea collapsedLevelsAreSubtotals="1" fieldPosition="0">
        <references count="1">
          <reference field="5" count="0"/>
        </references>
      </pivotArea>
    </format>
    <format dxfId="13">
      <pivotArea dataOnly="0" labelOnly="1" outline="0" fieldPosition="0">
        <references count="1">
          <reference field="4294967294" count="1">
            <x v="0"/>
          </reference>
        </references>
      </pivotArea>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FFC0DA-BCF4-4254-BF90-6B8AEB557212}" name="PivotTable5" cacheId="6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H10" firstHeaderRow="0" firstDataRow="1" firstDataCol="1"/>
  <pivotFields count="23">
    <pivotField showAll="0"/>
    <pivotField showAll="0"/>
    <pivotField dataField="1" numFmtId="165" showAll="0"/>
    <pivotField dataField="1" showAll="0"/>
    <pivotField showAll="0"/>
    <pivotField numFmtId="2" showAll="0"/>
    <pivotField showAll="0"/>
    <pivotField numFmtId="1" showAll="0"/>
    <pivotField numFmtId="1" showAll="0"/>
    <pivotField numFmtId="166" showAll="0"/>
    <pivotField numFmtId="166" showAll="0"/>
    <pivotField numFmtId="166" showAll="0"/>
    <pivotField showAll="0"/>
    <pivotField showAll="0"/>
    <pivotField numFmtId="165" showAll="0"/>
    <pivotField dataField="1" numFmtId="165" showAll="0"/>
    <pivotField dataField="1" numFmtId="165" showAll="0"/>
    <pivotField dataField="1" numFmtId="165" showAll="0"/>
    <pivotField numFmtId="165" showAll="0"/>
    <pivotField numFmtId="165" showAll="0"/>
    <pivotField numFmtId="165" showAll="0"/>
    <pivotField numFmtId="165" showAll="0"/>
    <pivotField axis="axisRow" showAll="0" sortType="descending">
      <items count="7">
        <item x="0"/>
        <item x="5"/>
        <item x="4"/>
        <item x="2"/>
        <item x="1"/>
        <item x="3"/>
        <item t="default"/>
      </items>
    </pivotField>
  </pivotFields>
  <rowFields count="1">
    <field x="22"/>
  </rowFields>
  <rowItems count="7">
    <i>
      <x/>
    </i>
    <i>
      <x v="1"/>
    </i>
    <i>
      <x v="2"/>
    </i>
    <i>
      <x v="3"/>
    </i>
    <i>
      <x v="4"/>
    </i>
    <i>
      <x v="5"/>
    </i>
    <i t="grand">
      <x/>
    </i>
  </rowItems>
  <colFields count="1">
    <field x="-2"/>
  </colFields>
  <colItems count="7">
    <i>
      <x/>
    </i>
    <i i="1">
      <x v="1"/>
    </i>
    <i i="2">
      <x v="2"/>
    </i>
    <i i="3">
      <x v="3"/>
    </i>
    <i i="4">
      <x v="4"/>
    </i>
    <i i="5">
      <x v="5"/>
    </i>
    <i i="6">
      <x v="6"/>
    </i>
  </colItems>
  <dataFields count="7">
    <dataField name="Prior SF" fld="3" baseField="0" baseItem="0"/>
    <dataField name="Total SF" fld="2" baseField="0" baseItem="0" numFmtId="165"/>
    <dataField name="PSF * SF." fld="15" baseField="0" baseItem="0" numFmtId="165"/>
    <dataField name="Prior PSF * SF." fld="16" baseField="0" baseItem="0"/>
    <dataField name="PSF BP * SF." fld="17" baseField="0" baseItem="0" numFmtId="165"/>
    <dataField name="% of total SF" fld="2" showDataAs="percentOfTotal" baseField="12" baseItem="0" numFmtId="10"/>
    <dataField name="Property Count" fld="2" subtotal="count" baseField="12" baseItem="0"/>
  </dataFields>
  <formats count="6">
    <format dxfId="6">
      <pivotArea outline="0" collapsedLevelsAreSubtotals="1" fieldPosition="0">
        <references count="1">
          <reference field="4294967294" count="3" selected="0">
            <x v="1"/>
            <x v="2"/>
            <x v="4"/>
          </reference>
        </references>
      </pivotArea>
    </format>
    <format dxfId="7">
      <pivotArea outline="0" collapsedLevelsAreSubtotals="1" fieldPosition="0"/>
    </format>
    <format dxfId="8">
      <pivotArea dataOnly="0" labelOnly="1" outline="0" fieldPosition="0">
        <references count="1">
          <reference field="4294967294" count="5">
            <x v="1"/>
            <x v="2"/>
            <x v="4"/>
            <x v="5"/>
            <x v="6"/>
          </reference>
        </references>
      </pivotArea>
    </format>
    <format dxfId="9">
      <pivotArea field="22" type="button" dataOnly="0" labelOnly="1" outline="0" axis="axisRow" fieldPosition="0"/>
    </format>
    <format dxfId="10">
      <pivotArea dataOnly="0" labelOnly="1" outline="0" fieldPosition="0">
        <references count="1">
          <reference field="4294967294" count="7">
            <x v="0"/>
            <x v="1"/>
            <x v="2"/>
            <x v="3"/>
            <x v="4"/>
            <x v="5"/>
            <x v="6"/>
          </reference>
        </references>
      </pivotArea>
    </format>
    <format dxfId="11">
      <pivotArea collapsedLevelsAreSubtotals="1" fieldPosition="0">
        <references count="2">
          <reference field="4294967294" count="1" selected="0">
            <x v="3"/>
          </reference>
          <reference field="22"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Faropoint">
      <a:dk1>
        <a:sysClr val="windowText" lastClr="000000"/>
      </a:dk1>
      <a:lt1>
        <a:sysClr val="window" lastClr="FFFFFF"/>
      </a:lt1>
      <a:dk2>
        <a:srgbClr val="44546A"/>
      </a:dk2>
      <a:lt2>
        <a:srgbClr val="E7E6E6"/>
      </a:lt2>
      <a:accent1>
        <a:srgbClr val="FFAB21"/>
      </a:accent1>
      <a:accent2>
        <a:srgbClr val="33404F"/>
      </a:accent2>
      <a:accent3>
        <a:srgbClr val="C9C9C9"/>
      </a:accent3>
      <a:accent4>
        <a:srgbClr val="7B093B"/>
      </a:accent4>
      <a:accent5>
        <a:srgbClr val="1C6C99"/>
      </a:accent5>
      <a:accent6>
        <a:srgbClr val="8CC63F"/>
      </a:accent6>
      <a:hlink>
        <a:srgbClr val="0563C1"/>
      </a:hlink>
      <a:folHlink>
        <a:srgbClr val="C490AA"/>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E28" dT="2024-11-04T14:51:17.56" personId="{ED4865C0-F9C6-43F0-A52F-8A8C230198EF}" id="{CE8A1F8B-FD24-4A43-84B7-C8085B629582}">
    <text>@Vandana Vishnubhotla same comment as F22</text>
    <mentions>
      <mention mentionpersonId="{2AEDE926-7D25-43A3-8A97-F883269D1315}" mentionId="{5B4F553A-6F72-7944-8562-9ABB72977430}" startIndex="0" length="21"/>
    </mentions>
  </threadedComment>
  <threadedComment ref="F28" dT="2024-11-04T14:44:34.84" personId="{ED4865C0-F9C6-43F0-A52F-8A8C230198EF}" id="{000EBF10-EF00-084E-816E-25FFE74E9D05}">
    <text>@Vandana Vishnubhotla how come on quarterly basis (cells F5 and F6) there is downtime, but on half basis there isn’t? Same comment for leasing spreads</text>
    <mentions>
      <mention mentionpersonId="{2AEDE926-7D25-43A3-8A97-F883269D1315}" mentionId="{926A1971-3DF3-CF47-8D14-3AB5522F8D45}" startIndex="0" length="21"/>
    </mentions>
  </threadedComment>
  <threadedComment ref="F28" dT="2024-11-04T15:06:54.43" personId="{398C02D8-39E9-499D-8EA5-4E9AD4264AB1}" id="{C2F0A5A8-1D2A-4FF2-9FC4-3B4B7CB78A1E}" parentId="{000EBF10-EF00-084E-816E-25FFE74E9D05}">
    <text xml:space="preserve">The quarterly info starts is shown from Q1 2022, per your template. 
Expanded this to all quarters now. 
</text>
  </threadedComment>
  <threadedComment ref="F28" dT="2024-11-04T15:15:01.23" personId="{ED4865C0-F9C6-43F0-A52F-8A8C230198EF}" id="{A0FEEF2E-AED3-E04A-A86F-529D273627F0}" parentId="{000EBF10-EF00-084E-816E-25FFE74E9D05}">
    <text>Got it, thanks!</text>
  </threadedComment>
  <threadedComment ref="E37" dT="2024-11-04T14:11:55.82" personId="{398C02D8-39E9-499D-8EA5-4E9AD4264AB1}" id="{E352C6BE-3292-418C-BFED-6220E7EAA43C}">
    <text xml:space="preserve">In this leasing spreadsheet, we don’t calculate BP increase over Prior Rate. 
We are only showing spread over prior rate and spread over BP. 
For Q3-24 report, I did a quick manual calc to exclude vacant spaces and make sure the logic matches the “Rent Increase over Prior Lease” calc. @Ori Regev </text>
    <mentions>
      <mention mentionpersonId="{DDBA131A-74BE-4917-9AA1-15885A9182AE}" mentionId="{ECE8A076-8553-4895-85ED-9D8A97835741}" startIndex="286" length="10"/>
    </mentions>
  </threadedComment>
  <threadedComment ref="E37" dT="2024-11-04T14:41:37.50" personId="{ED4865C0-F9C6-43F0-A52F-8A8C230198EF}" id="{C3D4DF4F-6B31-44A4-B057-40D6D79770D4}" parentId="{E352C6BE-3292-418C-BFED-6220E7EAA43C}">
    <text>Thanks! Can we maybe have that calculated going forward? Should be a pretty simple thing to add no?</text>
  </threadedComment>
  <threadedComment ref="E37" dT="2024-11-04T14:48:14.82" personId="{398C02D8-39E9-499D-8EA5-4E9AD4264AB1}" id="{388F422D-8350-4FCB-99C7-03CB59619A86}" parentId="{E352C6BE-3292-418C-BFED-6220E7EAA43C}">
    <text xml:space="preserve">Yes of course. Simple enough. @Ori Regev </text>
    <mentions>
      <mention mentionpersonId="{DDBA131A-74BE-4917-9AA1-15885A9182AE}" mentionId="{729BC670-40D7-4A71-A5D2-F0330DBD075E}" startIndex="30" length="10"/>
    </mentions>
  </threadedComment>
  <threadedComment ref="O47" dT="2025-04-07T23:31:16.92" personId="{5F6BD40F-413F-402D-9030-BC7892EA4257}" id="{5EA278BE-B552-49E0-99E6-AF6F5F758FE7}">
    <text>@Jordan Nathan @Michael Tang Per our slack-this is priority for Adir.  This file is 4Q24 so we need to create a 1Q25 file</text>
    <mentions>
      <mention mentionpersonId="{C40544F5-1DCD-4AF0-89BB-9AD53310B708}" mentionId="{07006A62-1029-4F76-81CA-23773B9492BA}" startIndex="0" length="14"/>
      <mention mentionpersonId="{01DE9DF9-49C9-4146-9DC1-5E1144094BBC}" mentionId="{7CB78E83-9470-434A-8687-A03F7EF30522}" startIndex="15" length="1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8" dT="2024-11-12T16:40:08.93" personId="{398C02D8-39E9-499D-8EA5-4E9AD4264AB1}" id="{C6C56E1B-60B7-451F-9BB1-E8921C018356}">
    <text>Existing tenant determined to vacate. we were able to engage partners of the outgoing tenant and agreed to a lease deal with them as a dual-tenant lease set up. Both tenants are equally responsible for the lease obligations. This deal is at higher than UW base rate, no downtime, no TIA, no abatement.</text>
  </threadedComment>
  <threadedComment ref="A9" dT="2024-11-12T16:41:59.26" personId="{398C02D8-39E9-499D-8EA5-4E9AD4264AB1}" id="{AA504026-8E93-441B-B4D7-73AE78C88A42}">
    <text>Big Rig acq in August. LCD mid Dec. 4 mos DT</text>
  </threadedComment>
  <threadedComment ref="B31" dT="2024-04-03T17:41:55.38" personId="{F8B87C89-9BDA-4F1A-AE2E-BF11A19935E8}" id="{02E30905-9DF1-4D25-93D1-C2F22BDDEDE8}">
    <text>US Tech assumed 100% renewal prob and no DT</text>
  </threadedComment>
  <threadedComment ref="B65" dT="2023-07-19T17:01:13.77" personId="{F8B87C89-9BDA-4F1A-AE2E-BF11A19935E8}" id="{FDB352F7-F01A-47F2-B43F-6B14D7AB2EA8}">
    <text>BP does not have DT modeled after short term SLB expires</text>
  </threadedComment>
  <threadedComment ref="B77" dT="2023-07-17T18:13:05.22" personId="{F8B87C89-9BDA-4F1A-AE2E-BF11A19935E8}" id="{CAE7E98A-82B9-4879-BABB-604A034B9DFD}">
    <text xml:space="preserve">Benchmarking to E1 for this space. At original E1 the new lease here was Sun Badger Solar. </text>
  </threadedComment>
  <threadedComment ref="A79" dT="2023-07-06T20:34:33.08" personId="{F8B87C89-9BDA-4F1A-AE2E-BF11A19935E8}" id="{1CB624E2-5AB4-426E-8433-638302E8887F}">
    <text xml:space="preserve">For AFS: They signed a lease for A, B and B1 on 4/1/2023
20,150 SF Suite A was inherited with AFS occupying in place
at acquisition, we put them on MTM until new LCD 4/1/2023 with 0 downtime
First Initial Expansion of 12,585 SF Suite B
Inherited T evicted with LXD 12/19/2022 to 4/1/2023 4 months DT
Delivery/ RCD expected 8/1
Second Expansion of 2,160 Suite B1
Vacant at acquisition 6/21/2023 to 4/1/2023 9 months DT
Delivery/ RCD expected 9/15 </text>
  </threadedComment>
  <threadedComment ref="B103" dT="2023-07-19T17:06:10.98" personId="{F8B87C89-9BDA-4F1A-AE2E-BF11A19935E8}" id="{27C3A170-FF26-44AF-BF60-2BC401036D87}">
    <text>confirmed</text>
  </threadedComment>
  <threadedComment ref="F129" dT="2024-10-23T23:44:59.24" personId="{398C02D8-39E9-499D-8EA5-4E9AD4264AB1}" id="{CCEF0ED2-F716-4BAB-9ADD-D294BCA1A31D}">
    <text>Excluding FP Lease in Philly</text>
  </threadedComment>
</ThreadedComments>
</file>

<file path=xl/threadedComments/threadedComment3.xml><?xml version="1.0" encoding="utf-8"?>
<ThreadedComments xmlns="http://schemas.microsoft.com/office/spreadsheetml/2018/threadedcomments" xmlns:x="http://schemas.openxmlformats.org/spreadsheetml/2006/main">
  <threadedComment ref="W3" dT="2023-05-19T19:23:00.01" personId="{F8B87C89-9BDA-4F1A-AE2E-BF11A19935E8}" id="{F36C5FBC-DDF3-4C64-9AFB-DF08A3A570B1}">
    <text xml:space="preserve">Avg FR for Fund 2, being used to back out of DT (BP) for New Leases. </text>
  </threadedComment>
  <threadedComment ref="G4" dT="2025-01-10T20:00:22.78" personId="{398C02D8-39E9-499D-8EA5-4E9AD4264AB1}" id="{F8964D77-5443-4C0D-9676-BCDB7F30249B}">
    <text>SLB info is not available on deal manager. Taken from Yardi if SLB is checked as ‘yes’</text>
  </threadedComment>
  <threadedComment ref="K4" dT="2025-01-10T19:59:47.04" personId="{398C02D8-39E9-499D-8EA5-4E9AD4264AB1}" id="{9920D52D-2DCE-463C-B5ED-3218B9C0D07B}">
    <text xml:space="preserve">Total Cost as of prior quarter - this column is not available on Deal Manger. Use performance table or take from fund accounting </text>
  </threadedComment>
  <threadedComment ref="O4" dT="2025-01-10T19:58:43.49" personId="{398C02D8-39E9-499D-8EA5-4E9AD4264AB1}" id="{B5F8824F-A950-4F2D-9A40-7C4D97A473B1}">
    <text>BP Rate is not available on Deal Manager Leasing Report. This is a manually entered column</text>
  </threadedComment>
  <threadedComment ref="V6" dT="2024-11-12T16:40:08.93" personId="{398C02D8-39E9-499D-8EA5-4E9AD4264AB1}" id="{65838F6E-31AA-4B24-AA52-548DC78DB811}">
    <text>Existing tenant determined to vacate. we were able to engage partners of the outgoing tenant and agreed to a lease deal with them as a dual-tenant lease set up. Both tenants are equally responsible for the lease obligations. This deal is at higher than UW base rate, no downtime, no TIA, no abatement.</text>
  </threadedComment>
  <threadedComment ref="N10" dT="2024-10-15T16:55:56.43" personId="{398C02D8-39E9-499D-8EA5-4E9AD4264AB1}" id="{22018CF7-92E5-4E07-A422-5C0175D05A18}">
    <text xml:space="preserve">Sigma Marble was signed at a higher rate and higher escalation than BP. Therefore this property is now trending at a higher rate altogether. </text>
  </threadedComment>
  <threadedComment ref="Q23" dT="2024-10-15T17:17:51.43" personId="{398C02D8-39E9-499D-8EA5-4E9AD4264AB1}" id="{BBDA6E16-EF75-4971-8ED8-390BFF82F54F}">
    <text>FP first proposal was above $3.5 but Tenant was sensitive to rate so we removed TI and gave 2 mos FR. 
BP has $1.03 TI PSF and 1 mo FR. 
This is not a favorable renewal and has lower effective rent. 
Avoided Downtime and TI</text>
  </threadedComment>
  <threadedComment ref="O25" dT="2024-10-15T16:57:38.25" personId="{398C02D8-39E9-499D-8EA5-4E9AD4264AB1}" id="{14CC6961-9AEC-48F1-A3A3-B04B447E8D00}">
    <text>This is an above market lease and we were also conservative in underwriting market rent. The renewal prob is 60% and the renewal could have assumed a higher rate as opposed to $5</text>
  </threadedComment>
  <threadedComment ref="O26" dT="2024-10-15T17:37:26.58" personId="{398C02D8-39E9-499D-8EA5-4E9AD4264AB1}" id="{EC5399FB-2DD0-4631-B410-C93C869DA28B}">
    <text xml:space="preserve">We did a 3 yr renewal vs 5 yrs, at slightly below UW. This is a tough building and prioritized occupancy. This deal was approved by everyone and it passes AML, but a 3.5 credit score. </text>
  </threadedComment>
  <threadedComment ref="Q27" dT="2024-10-15T17:19:28.79" personId="{398C02D8-39E9-499D-8EA5-4E9AD4264AB1}" id="{3D61CDF0-4295-4CCA-97B4-9228E8E79329}">
    <text xml:space="preserve">working on this deal since December 2023. The price was a sticker shock for the tenant. They came back to us after understanding the market. The overall market is still slow in Columbus but the lack of inventory in this size range and quality favored our renewal terms here.  </text>
  </threadedComment>
  <threadedComment ref="R30" dT="2024-10-15T18:29:11.00" personId="{398C02D8-39E9-499D-8EA5-4E9AD4264AB1}" id="{50ADEE5A-3F67-435C-AB68-4A286D4EB3C0}">
    <text xml:space="preserve">We did a short term deal with them below market to avoid vacancy.  Frist year is 8:30 then bumps up to $9.15 which is inline with our forecast on year 2 </text>
  </threadedComment>
  <threadedComment ref="S30" dT="2024-10-08T15:51:08.23" personId="{398C02D8-39E9-499D-8EA5-4E9AD4264AB1}" id="{0541420C-2D19-4B5C-84AC-AD5A54133B23}">
    <text>Looks like we didn’t UW any escalation here which could be likely an error. Need to confirm. 
The 10.24 escalation is a DM representation. Need to look at the rent steps in the lease to understand actual escalation</text>
  </threadedComment>
  <threadedComment ref="P33" dT="2024-07-03T15:10:23.00" personId="{F8B87C89-9BDA-4F1A-AE2E-BF11A19935E8}" id="{DEE8155C-6259-4DDB-A9E2-8266050A618E}">
    <text>FM did not model out a fixed option. There is a renewal prob of 60% with New Rate at $6.50 and Renew at $4.65. Benchmarking to a blended rate of $5.39</text>
  </threadedComment>
  <threadedComment ref="P34" dT="2024-07-03T14:08:01.39" personId="{F8B87C89-9BDA-4F1A-AE2E-BF11A19935E8}" id="{89CEE0F4-E63B-4CDB-9143-E57D1136BC44}">
    <text xml:space="preserve">We should not have dropped FM rate here compared to BP. </text>
  </threadedComment>
  <threadedComment ref="K37" dT="2024-07-01T19:59:28.30" personId="{398C02D8-39E9-499D-8EA5-4E9AD4264AB1}" id="{9AF26D95-DEE9-4E76-B844-54ECC8B5900E}">
    <text xml:space="preserve">From closing statement. Data is not yet on Yardi or reporting </text>
  </threadedComment>
  <threadedComment ref="N37" dT="2024-07-03T14:04:00.12" personId="{F8B87C89-9BDA-4F1A-AE2E-BF11A19935E8}" id="{73466CAA-6988-4DFB-931B-D6D62943F5A7}">
    <text xml:space="preserve"> Prior tenant was modgross. Hard coding the NNN rate here after discussing with AM 
</text>
  </threadedComment>
  <threadedComment ref="P37" dT="2024-07-03T13:50:14.93" personId="{F8B87C89-9BDA-4F1A-AE2E-BF11A19935E8}" id="{2E7CEBE5-FCB9-444C-BA1B-97B0CF599027}">
    <text>This is a new acquisition and doesn’t have a forecast. Making FM equal to BP</text>
  </threadedComment>
  <threadedComment ref="W41" dT="2023-07-17T18:13:05.22" personId="{F8B87C89-9BDA-4F1A-AE2E-BF11A19935E8}" id="{AAD3CF53-D639-401F-B64F-B540740F9439}">
    <text xml:space="preserve">Benchmarking to E1 for this space. At original E1 the new lease here was Sun Badger Solar. </text>
  </threadedComment>
  <threadedComment ref="W55" dT="2023-07-19T17:06:10.98" personId="{F8B87C89-9BDA-4F1A-AE2E-BF11A19935E8}" id="{4DBC1743-B2E5-44B0-8C87-E2B6B69FC5A8}">
    <text>confirmed</text>
  </threadedComment>
  <threadedComment ref="U68" dT="2024-01-17T18:09:17.31" personId="{F8B87C89-9BDA-4F1A-AE2E-BF11A19935E8}" id="{360941D5-BBCF-4535-8DC5-67501CE37A9B}">
    <text>6% LC $2 TI</text>
  </threadedComment>
  <threadedComment ref="U68" dT="2024-01-17T18:10:39.72" personId="{F8B87C89-9BDA-4F1A-AE2E-BF11A19935E8}" id="{E15BC54B-29FF-4BD8-AC71-840A9DC41F5A}" parentId="{360941D5-BBCF-4535-8DC5-67501CE37A9B}">
    <text>BP Lease Value is significantly lower than Executed Rate</text>
  </threadedComment>
  <threadedComment ref="U77" dT="2023-12-13T17:56:01.38" personId="{F8B87C89-9BDA-4F1A-AE2E-BF11A19935E8}" id="{2F280B3F-2018-4B95-941E-FC7222493F3A}">
    <text>Tenant missed renewal per Option window and we converted them to NNN</text>
  </threadedComment>
  <threadedComment ref="U87" dT="2024-01-17T18:11:32.57" personId="{F8B87C89-9BDA-4F1A-AE2E-BF11A19935E8}" id="{27C1A110-0104-4E17-80A6-3B3875027405}">
    <text>4% LC and $3 TI on a renewal. Renewal per Option is not modeled</text>
  </threadedComment>
  <threadedComment ref="N90" dT="2023-12-07T15:44:33.00" personId="{F8B87C89-9BDA-4F1A-AE2E-BF11A19935E8}" id="{D25F8860-8887-418A-B5B5-9D6E69F30555}">
    <text>Capex amortized here therefore prior lease looks higher than executed rate (Fixed option)</text>
  </threadedComment>
  <threadedComment ref="O90" dT="2023-12-07T15:44:04.49" personId="{F8B87C89-9BDA-4F1A-AE2E-BF11A19935E8}" id="{3312A7D2-123A-4C7C-942C-746D8AA9E124}">
    <text>4.37 fixed rate renewal option. Update BP Rate in Q4 23 reporting. Confirmed with Ahmed on 12/7/2023</text>
  </threadedComment>
  <threadedComment ref="W94" dT="2023-07-19T17:01:13.77" personId="{F8B87C89-9BDA-4F1A-AE2E-BF11A19935E8}" id="{D04B58E6-AF5B-42E6-9052-0172BA0EEA31}">
    <text>BP does not have DT modeled after short term SLB expires</text>
  </threadedComment>
  <threadedComment ref="U95" dT="2023-10-14T11:52:34.68" personId="{F8B87C89-9BDA-4F1A-AE2E-BF11A19935E8}" id="{859BED8B-3AE0-4B95-94E5-D59C5615EF54}">
    <text>Only for the expansion space. Taken from the BP Board</text>
  </threadedComment>
  <threadedComment ref="N124" dT="2024-04-03T17:44:47.03" personId="{F8B87C89-9BDA-4F1A-AE2E-BF11A19935E8}" id="{0B932E3E-1F4A-4C43-A81D-4CDA29107BC9}">
    <text xml:space="preserve">Prior lease was the rate signed with Combocap which was above BP </text>
  </threadedComment>
  <threadedComment ref="V129" dT="2023-07-06T20:34:33.08" personId="{F8B87C89-9BDA-4F1A-AE2E-BF11A19935E8}" id="{36F9907C-E900-4A2E-BF51-6269739E25FE}">
    <text xml:space="preserve">For AFS: They signed a lease for A, B and B1 on 4/1/2023
20,150 SF Suite A was inherited with AFS occupying in place
at acquisition, we put them on MTM until new LCD 4/1/2023 with 0 downtime
First Initial Expansion of 12,585 SF Suite B
Inherited T evicted with LXD 12/19/2022 to 4/1/2023 4 months DT
Delivery/ RCD expected 8/1
Second Expansion of 2,160 Suite B1
Vacant at acquisition 6/21/2023 to 4/1/2023 9 months DT
Delivery/ RCD expected 9/15 </text>
  </threadedComment>
  <threadedComment ref="V130" dT="2024-11-12T16:41:59.26" personId="{398C02D8-39E9-499D-8EA5-4E9AD4264AB1}" id="{E63ADD2B-FD4B-4913-8308-65C8CF5F972F}">
    <text>Big Rig acq in August. LCD mid Dec. 4 mos DT</text>
  </threadedComment>
  <threadedComment ref="N150" dT="2023-12-18T21:42:57.32" personId="{F8B87C89-9BDA-4F1A-AE2E-BF11A19935E8}" id="{37FB6465-33B2-4283-9654-ADCC8CD89B02}">
    <text>medeast</text>
  </threadedComment>
  <threadedComment ref="U158" dT="2023-07-06T20:36:21.55" personId="{F8B87C89-9BDA-4F1A-AE2E-BF11A19935E8}" id="{12992C37-3412-42F3-894A-A501C97564C4}">
    <text>Small suite so the variance looks large.</text>
  </threadedComment>
  <threadedComment ref="N171" dT="2024-07-03T13:27:32.83" personId="{F8B87C89-9BDA-4F1A-AE2E-BF11A19935E8}" id="{1BC79D79-5B53-443E-9677-A46039C0B460}">
    <text xml:space="preserve">Event Link has taken up 2 spaces that were previously DC Foam and Joerns. Both tenants were modgross. Hard coding the NNN rate here after discussing with AM </text>
  </threadedComment>
  <threadedComment ref="N173" dT="2024-11-20T18:14:58.65" personId="{398C02D8-39E9-499D-8EA5-4E9AD4264AB1}" id="{D594347D-ECF7-4EFC-B41B-243EF13A04CE}">
    <text>$8.94 gross
$6.5 Net
Calcd with AM</text>
  </threadedComment>
  <threadedComment ref="O200" dT="2024-04-03T17:43:40.09" personId="{F8B87C89-9BDA-4F1A-AE2E-BF11A19935E8}" id="{54EA7B37-6C87-4531-AC62-68BCE2D595C8}">
    <text>Market Rent $12.5 at Acq with 6% growth rate. US Tech assumed 100% renewal in 7/2022</text>
  </threadedComment>
  <threadedComment ref="W200" dT="2024-04-03T17:41:55.38" personId="{F8B87C89-9BDA-4F1A-AE2E-BF11A19935E8}" id="{83EFAB4B-5A1A-4FF4-8B99-522C572C472C}">
    <text>US Tech assumed 100% renewal prob and no DT</text>
  </threadedComment>
  <threadedComment ref="U203" dT="2024-01-17T18:05:48.70" personId="{F8B87C89-9BDA-4F1A-AE2E-BF11A19935E8}" id="{626044FF-A2E2-46ED-BEEF-5A8199A2062F}">
    <text>6% LC $7 TI</text>
  </threadedComment>
</ThreadedComments>
</file>

<file path=xl/threadedComments/threadedComment4.xml><?xml version="1.0" encoding="utf-8"?>
<ThreadedComments xmlns="http://schemas.microsoft.com/office/spreadsheetml/2018/threadedcomments" xmlns:x="http://schemas.openxmlformats.org/spreadsheetml/2006/main">
  <threadedComment ref="B24" dT="2023-09-26T19:15:35.02" personId="{F8B87C89-9BDA-4F1A-AE2E-BF11A19935E8}" id="{A4D9F810-D97E-45C0-8F20-CB01AAA1E6FC}">
    <text xml:space="preserve">SLBs/ Known Vacates / Spaces with 0% Renewal probability since Inception
</text>
  </threadedComment>
  <threadedComment ref="B28" dT="2023-09-26T19:15:35.02" personId="{F8B87C89-9BDA-4F1A-AE2E-BF11A19935E8}" id="{3E83DCBF-61C7-4CEE-877F-3C55DF45D2F8}">
    <text xml:space="preserve">SLBs/ Known Vacates / Spaces with 0% Renewal probability since Inception
</text>
  </threadedComment>
</ThreadedComments>
</file>

<file path=xl/threadedComments/threadedComment5.xml><?xml version="1.0" encoding="utf-8"?>
<ThreadedComments xmlns="http://schemas.microsoft.com/office/spreadsheetml/2018/threadedcomments" xmlns:x="http://schemas.openxmlformats.org/spreadsheetml/2006/main">
  <threadedComment ref="L12" dT="2022-05-12T13:56:45.53" personId="{70D25220-210E-4ED0-8588-41514FD15594}" id="{04C3CFDB-E76A-47F2-BC0B-2F1D88B1F3C9}">
    <text>@Lee Abrams let's add same values precented by % of increase in an additiobal graph next to the nominal values</text>
    <mentions>
      <mention mentionpersonId="{2F6135D6-2C90-45D3-AC78-9BD277F29B95}" mentionId="{01D834EF-CB3D-4FAC-92EA-19CBA69E4303}" startIndex="0" length="11"/>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ivotTable" Target="../pivotTables/pivotTable6.xml"/><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B908-E9A3-4CBC-856D-90554089C82A}">
  <sheetPr>
    <tabColor rgb="FFFF0000"/>
  </sheetPr>
  <dimension ref="B2:Q102"/>
  <sheetViews>
    <sheetView zoomScale="70" zoomScaleNormal="70" workbookViewId="0">
      <selection activeCell="K13" sqref="K13"/>
    </sheetView>
  </sheetViews>
  <sheetFormatPr defaultColWidth="11" defaultRowHeight="15.6"/>
  <cols>
    <col min="1" max="1" width="12.625" style="365" bestFit="1" customWidth="1"/>
    <col min="2" max="2" width="22.625" style="365" customWidth="1"/>
    <col min="3" max="4" width="18.625" style="365" customWidth="1"/>
    <col min="5" max="5" width="20.5" style="365" customWidth="1"/>
    <col min="6" max="6" width="15.125" style="365" customWidth="1"/>
    <col min="7" max="7" width="20.625" style="365" customWidth="1"/>
    <col min="8" max="8" width="21.625" style="365" customWidth="1"/>
    <col min="9" max="9" width="21" style="365" customWidth="1"/>
    <col min="10" max="10" width="19.625" style="365" customWidth="1"/>
    <col min="11" max="11" width="15.625" style="365" bestFit="1" customWidth="1"/>
    <col min="12" max="14" width="11" style="365"/>
    <col min="15" max="15" width="16.125" style="365" customWidth="1"/>
    <col min="16" max="16" width="11" style="365"/>
    <col min="17" max="17" width="14.5" style="365" customWidth="1"/>
    <col min="18" max="16384" width="11" style="365"/>
  </cols>
  <sheetData>
    <row r="2" spans="2:17">
      <c r="B2" s="409" t="s">
        <v>0</v>
      </c>
      <c r="C2" s="409"/>
      <c r="D2" s="409"/>
      <c r="E2" s="409"/>
      <c r="F2" s="409"/>
      <c r="G2" s="409"/>
    </row>
    <row r="4" spans="2:17" ht="50.45" customHeight="1">
      <c r="B4" s="445" t="s">
        <v>1</v>
      </c>
      <c r="C4" s="448" t="s">
        <v>2</v>
      </c>
      <c r="D4" s="448" t="s">
        <v>3</v>
      </c>
      <c r="E4" s="449" t="s">
        <v>4</v>
      </c>
      <c r="F4" s="449" t="s">
        <v>5</v>
      </c>
      <c r="G4" s="450" t="s">
        <v>6</v>
      </c>
      <c r="I4" s="445" t="s">
        <v>7</v>
      </c>
      <c r="J4" s="446" t="s">
        <v>8</v>
      </c>
      <c r="K4" s="446" t="s">
        <v>9</v>
      </c>
      <c r="L4" s="447" t="s">
        <v>6</v>
      </c>
      <c r="N4" s="445" t="s">
        <v>10</v>
      </c>
      <c r="O4" s="446" t="s">
        <v>8</v>
      </c>
      <c r="P4" s="446" t="s">
        <v>9</v>
      </c>
      <c r="Q4" s="447" t="s">
        <v>6</v>
      </c>
    </row>
    <row r="5" spans="2:17">
      <c r="B5" s="370" t="s">
        <v>11</v>
      </c>
      <c r="C5" s="366">
        <f>'DATA consolidated-leasing'!H243</f>
        <v>2</v>
      </c>
      <c r="D5" s="407">
        <f>'DATA consolidated-leasing'!J243</f>
        <v>158194</v>
      </c>
      <c r="E5" s="367" t="str">
        <f>'DATA consolidated-leasing'!X243</f>
        <v>NA</v>
      </c>
      <c r="F5" s="396">
        <f>'DATA consolidated-leasing'!V243</f>
        <v>0</v>
      </c>
      <c r="G5" s="432">
        <f>'DATA consolidated-leasing'!R243/100</f>
        <v>3.7639961060470052E-2</v>
      </c>
      <c r="I5" s="370" t="str">
        <f>'DATA consolidated-leasing'!F261</f>
        <v>1H2021</v>
      </c>
      <c r="J5" s="373" t="str">
        <f>'DATA consolidated-leasing'!X272</f>
        <v>NA</v>
      </c>
      <c r="K5" s="374">
        <f>'DATA consolidated-leasing'!V272</f>
        <v>0</v>
      </c>
      <c r="L5" s="372">
        <f>'DATA consolidated-leasing'!R272/100</f>
        <v>3.7639961060470052E-2</v>
      </c>
      <c r="N5" s="370" t="str">
        <f>'DATA consolidated-leasing'!F286</f>
        <v>2H2022</v>
      </c>
      <c r="O5" s="373">
        <f>'DATA consolidated-leasing'!X286</f>
        <v>0.24066900969785565</v>
      </c>
      <c r="P5" s="374">
        <f>'DATA consolidated-leasing'!V286</f>
        <v>1.4702006566400669</v>
      </c>
      <c r="Q5" s="372">
        <f>'DATA consolidated-leasing'!R286/100</f>
        <v>3.6732596075914475E-2</v>
      </c>
    </row>
    <row r="6" spans="2:17">
      <c r="B6" s="370" t="s">
        <v>12</v>
      </c>
      <c r="C6" s="366">
        <f>'DATA consolidated-leasing'!H244</f>
        <v>2</v>
      </c>
      <c r="D6" s="407">
        <f>'DATA consolidated-leasing'!J244</f>
        <v>135200</v>
      </c>
      <c r="E6" s="367">
        <f>'DATA consolidated-leasing'!X244</f>
        <v>8.7337030311953168E-2</v>
      </c>
      <c r="F6" s="396">
        <f>'DATA consolidated-leasing'!V244</f>
        <v>0</v>
      </c>
      <c r="G6" s="432">
        <f>'DATA consolidated-leasing'!R244/100</f>
        <v>0.03</v>
      </c>
      <c r="I6" s="370" t="str">
        <f>'DATA consolidated-leasing'!F262</f>
        <v>2H2021</v>
      </c>
      <c r="J6" s="373">
        <f>'DATA consolidated-leasing'!X273</f>
        <v>0.17553848486615253</v>
      </c>
      <c r="K6" s="374">
        <f>'DATA consolidated-leasing'!V273</f>
        <v>2.2180645258989484</v>
      </c>
      <c r="L6" s="372">
        <f>'DATA consolidated-leasing'!R273/100</f>
        <v>0.03</v>
      </c>
      <c r="N6" s="370" t="str">
        <f>'DATA consolidated-leasing'!F287</f>
        <v>1H2023</v>
      </c>
      <c r="O6" s="373">
        <f>'DATA consolidated-leasing'!X287</f>
        <v>0.28101756176155934</v>
      </c>
      <c r="P6" s="374">
        <f>'DATA consolidated-leasing'!V287</f>
        <v>7.3317305434772404</v>
      </c>
      <c r="Q6" s="372">
        <f>'DATA consolidated-leasing'!R287/100</f>
        <v>2.7130260715025525E-2</v>
      </c>
    </row>
    <row r="7" spans="2:17">
      <c r="B7" s="370" t="s">
        <v>13</v>
      </c>
      <c r="C7" s="366">
        <f>'DATA consolidated-leasing'!H245</f>
        <v>4</v>
      </c>
      <c r="D7" s="407">
        <f>'DATA consolidated-leasing'!J245</f>
        <v>148942</v>
      </c>
      <c r="E7" s="367">
        <f>'DATA consolidated-leasing'!X245</f>
        <v>0.33709004574331303</v>
      </c>
      <c r="F7" s="396">
        <f>'DATA consolidated-leasing'!V245</f>
        <v>3.9336385975748951</v>
      </c>
      <c r="G7" s="432">
        <f>'DATA consolidated-leasing'!R245/100</f>
        <v>0.03</v>
      </c>
      <c r="I7" s="370" t="str">
        <f>'DATA consolidated-leasing'!F263</f>
        <v>1H2022</v>
      </c>
      <c r="J7" s="373">
        <f>'DATA consolidated-leasing'!X274</f>
        <v>0.38866028348346537</v>
      </c>
      <c r="K7" s="374">
        <f>'DATA consolidated-leasing'!V274</f>
        <v>1.8651138126041966</v>
      </c>
      <c r="L7" s="372">
        <f>'DATA consolidated-leasing'!R274/100</f>
        <v>3.5382109846660847E-2</v>
      </c>
      <c r="N7" s="370" t="str">
        <f>'DATA consolidated-leasing'!F288</f>
        <v>2H2023</v>
      </c>
      <c r="O7" s="373">
        <f>'DATA consolidated-leasing'!X288</f>
        <v>0.36796251542121694</v>
      </c>
      <c r="P7" s="374">
        <f>'DATA consolidated-leasing'!V288</f>
        <v>6.8789542232982557</v>
      </c>
      <c r="Q7" s="372">
        <f>'DATA consolidated-leasing'!R288/100</f>
        <v>3.6743492586490942E-2</v>
      </c>
    </row>
    <row r="8" spans="2:17">
      <c r="B8" s="393" t="s">
        <v>14</v>
      </c>
      <c r="C8" s="366">
        <f>'DATA consolidated-leasing'!H246</f>
        <v>8</v>
      </c>
      <c r="D8" s="395">
        <f>'DATA consolidated-leasing'!J246</f>
        <v>276579</v>
      </c>
      <c r="E8" s="367">
        <f>'DATA consolidated-leasing'!X246</f>
        <v>1.9048268045940286E-2</v>
      </c>
      <c r="F8" s="396">
        <f>'DATA consolidated-leasing'!V246</f>
        <v>1.4097126849366377</v>
      </c>
      <c r="G8" s="410">
        <f>'DATA consolidated-leasing'!R246/100</f>
        <v>3.4159381225617277E-2</v>
      </c>
      <c r="I8" s="370" t="str">
        <f>'DATA consolidated-leasing'!F264</f>
        <v>2H2022</v>
      </c>
      <c r="J8" s="373">
        <f>'DATA consolidated-leasing'!X275</f>
        <v>0.41255346755856603</v>
      </c>
      <c r="K8" s="374">
        <f>'DATA consolidated-leasing'!V275</f>
        <v>5.7141982179513713</v>
      </c>
      <c r="L8" s="372">
        <f>'DATA consolidated-leasing'!R275/100</f>
        <v>3.8528756321247963E-2</v>
      </c>
      <c r="N8" s="370" t="str">
        <f>'DATA consolidated-leasing'!F289</f>
        <v>1H2024</v>
      </c>
      <c r="O8" s="373">
        <f>'DATA consolidated-leasing'!X289</f>
        <v>0.38786287158970634</v>
      </c>
      <c r="P8" s="374">
        <f>'DATA consolidated-leasing'!V289</f>
        <v>5.9312886338406665</v>
      </c>
      <c r="Q8" s="372">
        <f>'DATA consolidated-leasing'!R289/100</f>
        <v>3.6023735557749376E-2</v>
      </c>
    </row>
    <row r="9" spans="2:17">
      <c r="B9" s="393" t="s">
        <v>15</v>
      </c>
      <c r="C9" s="366">
        <f>'DATA consolidated-leasing'!H247</f>
        <v>22</v>
      </c>
      <c r="D9" s="395">
        <f>'DATA consolidated-leasing'!J247</f>
        <v>747230</v>
      </c>
      <c r="E9" s="367">
        <f>'DATA consolidated-leasing'!X247</f>
        <v>0.50870152309560601</v>
      </c>
      <c r="F9" s="396">
        <f>'DATA consolidated-leasing'!V247</f>
        <v>2.2616685579164089</v>
      </c>
      <c r="G9" s="410">
        <f>'DATA consolidated-leasing'!R247/100</f>
        <v>3.5834689453046582E-2</v>
      </c>
      <c r="I9" s="370" t="str">
        <f>'DATA consolidated-leasing'!F265</f>
        <v>1H2023</v>
      </c>
      <c r="J9" s="373">
        <f>'DATA consolidated-leasing'!X276</f>
        <v>0.37324620502596484</v>
      </c>
      <c r="K9" s="374">
        <f>'DATA consolidated-leasing'!V276</f>
        <v>3.9616084180070592</v>
      </c>
      <c r="L9" s="372">
        <f>'DATA consolidated-leasing'!R276/100</f>
        <v>3.9229633541142429E-2</v>
      </c>
      <c r="N9" s="384" t="s">
        <v>16</v>
      </c>
      <c r="O9" s="373">
        <f>'DATA consolidated-leasing'!X290</f>
        <v>0.47478971436842898</v>
      </c>
      <c r="P9" s="374">
        <f>'DATA consolidated-leasing'!V290</f>
        <v>7.160157168284246</v>
      </c>
      <c r="Q9" s="372">
        <f>'DATA consolidated-leasing'!R290/100</f>
        <v>3.6230918634837413E-2</v>
      </c>
    </row>
    <row r="10" spans="2:17">
      <c r="B10" s="393" t="s">
        <v>17</v>
      </c>
      <c r="C10" s="366">
        <f>'DATA consolidated-leasing'!H248</f>
        <v>18</v>
      </c>
      <c r="D10" s="395">
        <f>'DATA consolidated-leasing'!J248</f>
        <v>449981</v>
      </c>
      <c r="E10" s="367">
        <f>'DATA consolidated-leasing'!X248</f>
        <v>0.30493881987621929</v>
      </c>
      <c r="F10" s="396">
        <f>'DATA consolidated-leasing'!V248</f>
        <v>5.4498411435698744</v>
      </c>
      <c r="G10" s="410">
        <f>'DATA consolidated-leasing'!R248/100</f>
        <v>3.8341752207315422E-2</v>
      </c>
      <c r="I10" s="370" t="str">
        <f>'DATA consolidated-leasing'!F266</f>
        <v>2H2023</v>
      </c>
      <c r="J10" s="373">
        <f>'DATA consolidated-leasing'!X277</f>
        <v>0.24952187079600119</v>
      </c>
      <c r="K10" s="374">
        <f>'DATA consolidated-leasing'!V277</f>
        <v>6.5590768625135318</v>
      </c>
      <c r="L10" s="372">
        <f>'DATA consolidated-leasing'!R277/100</f>
        <v>3.3282936167279703E-2</v>
      </c>
      <c r="N10" s="375" t="str">
        <f>'DATA consolidated-leasing'!F291</f>
        <v>Total</v>
      </c>
      <c r="O10" s="376">
        <f>'DATA consolidated-leasing'!X291</f>
        <v>0.37096518130629885</v>
      </c>
      <c r="P10" s="377">
        <f>'DATA consolidated-leasing'!V291</f>
        <v>5.577792914871603</v>
      </c>
      <c r="Q10" s="378">
        <f>'DATA consolidated-leasing'!R291/100</f>
        <v>3.3363091493575393E-2</v>
      </c>
    </row>
    <row r="11" spans="2:17">
      <c r="B11" s="393" t="s">
        <v>18</v>
      </c>
      <c r="C11" s="366">
        <f>'DATA consolidated-leasing'!H249</f>
        <v>18</v>
      </c>
      <c r="D11" s="395">
        <f>'DATA consolidated-leasing'!J249</f>
        <v>609772</v>
      </c>
      <c r="E11" s="367">
        <f>'DATA consolidated-leasing'!X249</f>
        <v>0.43444021434202584</v>
      </c>
      <c r="F11" s="396">
        <f>'DATA consolidated-leasing'!V249</f>
        <v>3.9284750759645939</v>
      </c>
      <c r="G11" s="410">
        <f>'DATA consolidated-leasing'!R249/100</f>
        <v>3.7950783243573011E-2</v>
      </c>
      <c r="I11" s="370" t="str">
        <f>'DATA consolidated-leasing'!F267</f>
        <v>1H2024</v>
      </c>
      <c r="J11" s="373">
        <f>'DATA consolidated-leasing'!X278</f>
        <v>0.33622945284760153</v>
      </c>
      <c r="K11" s="374">
        <f>'DATA consolidated-leasing'!V278</f>
        <v>3.2815068550655284</v>
      </c>
      <c r="L11" s="372">
        <f>'DATA consolidated-leasing'!R278/100</f>
        <v>3.5828160988774872E-2</v>
      </c>
    </row>
    <row r="12" spans="2:17">
      <c r="B12" s="393" t="s">
        <v>19</v>
      </c>
      <c r="C12" s="366">
        <f>'DATA consolidated-leasing'!H250</f>
        <v>19</v>
      </c>
      <c r="D12" s="395">
        <f>'DATA consolidated-leasing'!J250</f>
        <v>702120</v>
      </c>
      <c r="E12" s="367">
        <f>'DATA consolidated-leasing'!X250</f>
        <v>0.37490314815713965</v>
      </c>
      <c r="F12" s="396">
        <f>'DATA consolidated-leasing'!V250</f>
        <v>4.4781532191994096</v>
      </c>
      <c r="G12" s="410">
        <f>'DATA consolidated-leasing'!R250/100</f>
        <v>3.483322936250214E-2</v>
      </c>
      <c r="I12" s="384" t="s">
        <v>16</v>
      </c>
      <c r="J12" s="373">
        <f>'DATA consolidated-leasing'!X279</f>
        <v>0.28977592433377497</v>
      </c>
      <c r="K12" s="374">
        <f>'DATA consolidated-leasing'!V279</f>
        <v>10.543553058513535</v>
      </c>
      <c r="L12" s="372">
        <f>'DATA consolidated-leasing'!R279/100</f>
        <v>4.0624810946195168E-2</v>
      </c>
    </row>
    <row r="13" spans="2:17">
      <c r="B13" s="393" t="s">
        <v>20</v>
      </c>
      <c r="C13" s="366">
        <f>'DATA consolidated-leasing'!H251</f>
        <v>20</v>
      </c>
      <c r="D13" s="395">
        <f>'DATA consolidated-leasing'!J251</f>
        <v>371182</v>
      </c>
      <c r="E13" s="367">
        <f>'DATA consolidated-leasing'!X251</f>
        <v>0.28354524256255798</v>
      </c>
      <c r="F13" s="396">
        <f>'DATA consolidated-leasing'!V251</f>
        <v>5.1783220177726577</v>
      </c>
      <c r="G13" s="410">
        <f>'DATA consolidated-leasing'!R251/100</f>
        <v>3.0708156645526993E-2</v>
      </c>
      <c r="I13" s="375" t="str">
        <f>'DATA consolidated-leasing'!F269</f>
        <v>Total</v>
      </c>
      <c r="J13" s="376">
        <f>'DATA consolidated-leasing'!X280</f>
        <v>0.34051259410205237</v>
      </c>
      <c r="K13" s="377">
        <f>'DATA consolidated-leasing'!V280</f>
        <v>3.7380622350045956</v>
      </c>
      <c r="L13" s="378">
        <f>'DATA consolidated-leasing'!R280/100</f>
        <v>3.6272542172218272E-2</v>
      </c>
    </row>
    <row r="14" spans="2:17">
      <c r="B14" s="393" t="s">
        <v>21</v>
      </c>
      <c r="C14" s="366">
        <f>'DATA consolidated-leasing'!H252</f>
        <v>21</v>
      </c>
      <c r="D14" s="395">
        <f>'DATA consolidated-leasing'!J252</f>
        <v>584835</v>
      </c>
      <c r="E14" s="367">
        <f>'DATA consolidated-leasing'!X252</f>
        <v>0.28896994132980458</v>
      </c>
      <c r="F14" s="396">
        <f>'DATA consolidated-leasing'!V252</f>
        <v>3.4504896786300727</v>
      </c>
      <c r="G14" s="410">
        <f>'DATA consolidated-leasing'!R252/100</f>
        <v>3.3563586310668823E-2</v>
      </c>
    </row>
    <row r="15" spans="2:17">
      <c r="B15" s="393" t="s">
        <v>22</v>
      </c>
      <c r="C15" s="366">
        <f>'DATA consolidated-leasing'!H253</f>
        <v>20</v>
      </c>
      <c r="D15" s="395">
        <f>'DATA consolidated-leasing'!J253</f>
        <v>395210</v>
      </c>
      <c r="E15" s="367">
        <f>'DATA consolidated-leasing'!X253</f>
        <v>0.24405613489904243</v>
      </c>
      <c r="F15" s="396">
        <f>'DATA consolidated-leasing'!V253</f>
        <v>9.2913695268767729</v>
      </c>
      <c r="G15" s="410">
        <f>'DATA consolidated-leasing'!R253/100</f>
        <v>3.4462140381063232E-2</v>
      </c>
    </row>
    <row r="16" spans="2:17">
      <c r="B16" s="393" t="s">
        <v>23</v>
      </c>
      <c r="C16" s="366">
        <f>'DATA consolidated-leasing'!H254</f>
        <v>17</v>
      </c>
      <c r="D16" s="395">
        <f>'DATA consolidated-leasing'!J254</f>
        <v>314109</v>
      </c>
      <c r="E16" s="367">
        <f>'DATA consolidated-leasing'!X254</f>
        <v>0.24405293727379873</v>
      </c>
      <c r="F16" s="396">
        <f>'DATA consolidated-leasing'!V254</f>
        <v>3.7623622729604018</v>
      </c>
      <c r="G16" s="410">
        <f>'DATA consolidated-leasing'!R254/100</f>
        <v>3.7631697913781521E-2</v>
      </c>
    </row>
    <row r="17" spans="2:12">
      <c r="B17" s="393" t="s">
        <v>24</v>
      </c>
      <c r="C17" s="366">
        <f>'DATA consolidated-leasing'!H255</f>
        <v>19</v>
      </c>
      <c r="D17" s="395">
        <f>'DATA consolidated-leasing'!J255</f>
        <v>573287</v>
      </c>
      <c r="E17" s="367">
        <f>'DATA consolidated-leasing'!X255</f>
        <v>0.41975217180122093</v>
      </c>
      <c r="F17" s="396">
        <f>'DATA consolidated-leasing'!V255</f>
        <v>5.1360411543571045</v>
      </c>
      <c r="G17" s="410">
        <f>'DATA consolidated-leasing'!R255/100</f>
        <v>3.49529860261963E-2</v>
      </c>
    </row>
    <row r="18" spans="2:12">
      <c r="B18" s="393" t="s">
        <v>25</v>
      </c>
      <c r="C18" s="366">
        <f>'DATA consolidated-leasing'!H256</f>
        <v>9</v>
      </c>
      <c r="D18" s="395">
        <f>'DATA consolidated-leasing'!J256</f>
        <v>206361</v>
      </c>
      <c r="E18" s="367">
        <f>'DATA consolidated-leasing'!X256</f>
        <v>0.33888432313297745</v>
      </c>
      <c r="F18" s="396">
        <f>'DATA consolidated-leasing'!V256</f>
        <v>0.33888432313297745</v>
      </c>
      <c r="G18" s="410">
        <f>'DATA consolidated-leasing'!R256/100</f>
        <v>4.0710721502609501E-2</v>
      </c>
    </row>
    <row r="19" spans="2:12">
      <c r="B19" s="393" t="s">
        <v>26</v>
      </c>
      <c r="C19" s="366">
        <f>'DATA consolidated-leasing'!H257</f>
        <v>17</v>
      </c>
      <c r="D19" s="395">
        <f>'DATA consolidated-leasing'!J257</f>
        <v>481250</v>
      </c>
      <c r="E19" s="367">
        <f>'DATA consolidated-leasing'!X257</f>
        <v>0.41734626563404853</v>
      </c>
      <c r="F19" s="396">
        <f>'DATA consolidated-leasing'!V257</f>
        <v>11.925131451790865</v>
      </c>
      <c r="G19" s="410">
        <f>'DATA consolidated-leasing'!R257/100</f>
        <v>3.7711075324675325E-2</v>
      </c>
    </row>
    <row r="20" spans="2:12">
      <c r="B20" s="411" t="s">
        <v>27</v>
      </c>
      <c r="C20" s="412">
        <f>'DATA consolidated-leasing'!H258</f>
        <v>216</v>
      </c>
      <c r="D20" s="413">
        <f>'DATA consolidated-leasing'!J258</f>
        <v>6154252</v>
      </c>
      <c r="E20" s="414">
        <f>'DATA consolidated-leasing'!X258</f>
        <v>0.34837248332454496</v>
      </c>
      <c r="F20" s="415">
        <f>'DATA consolidated-leasing'!V258</f>
        <v>4.1293329222965376</v>
      </c>
      <c r="G20" s="416">
        <f>'DATA consolidated-leasing'!R258/100</f>
        <v>3.5521791389107889E-2</v>
      </c>
    </row>
    <row r="21" spans="2:12">
      <c r="B21" s="417" t="s">
        <v>28</v>
      </c>
      <c r="C21" s="418">
        <f>C20</f>
        <v>216</v>
      </c>
      <c r="D21" s="419">
        <f>D20</f>
        <v>6154252</v>
      </c>
      <c r="E21" s="420">
        <f>E37</f>
        <v>0.20376794732101255</v>
      </c>
      <c r="F21" s="421">
        <f>'DATA consolidated-leasing'!W258</f>
        <v>6.1327876190499078</v>
      </c>
      <c r="G21" s="422">
        <f>'DATA consolidated-leasing'!S258/100</f>
        <v>2.9218664656565897E-2</v>
      </c>
    </row>
    <row r="23" spans="2:12">
      <c r="B23" s="408"/>
      <c r="C23" s="408"/>
      <c r="D23" s="408"/>
      <c r="E23" s="408"/>
      <c r="F23" s="408"/>
      <c r="G23" s="408"/>
    </row>
    <row r="26" spans="2:12">
      <c r="I26" s="433" t="s">
        <v>29</v>
      </c>
      <c r="J26" s="433"/>
      <c r="K26" s="433"/>
      <c r="L26" s="433"/>
    </row>
    <row r="27" spans="2:12" ht="31.15">
      <c r="B27" s="369" t="s">
        <v>30</v>
      </c>
      <c r="C27" s="423" t="s">
        <v>2</v>
      </c>
      <c r="D27" s="423" t="s">
        <v>3</v>
      </c>
      <c r="E27" s="424" t="s">
        <v>4</v>
      </c>
      <c r="F27" s="424" t="s">
        <v>5</v>
      </c>
      <c r="G27" s="425" t="s">
        <v>6</v>
      </c>
      <c r="I27" s="433" t="str">
        <f>B27</f>
        <v>Halfs</v>
      </c>
      <c r="J27" s="433" t="str">
        <f>E27</f>
        <v>Leasing Spreads</v>
      </c>
      <c r="K27" s="433" t="str">
        <f>F27</f>
        <v>Downtime (Months)</v>
      </c>
      <c r="L27" s="433" t="str">
        <f>G27</f>
        <v>Contractual Rent Escalations</v>
      </c>
    </row>
    <row r="28" spans="2:12">
      <c r="B28" s="370" t="str">
        <f>'DATA consolidated-leasing'!F261</f>
        <v>1H2021</v>
      </c>
      <c r="C28" s="371">
        <f>'DATA consolidated-leasing'!H261</f>
        <v>2</v>
      </c>
      <c r="D28" s="371">
        <f>'DATA consolidated-leasing'!J261</f>
        <v>158194</v>
      </c>
      <c r="E28" s="426" t="str">
        <f>'DATA consolidated-leasing'!X261</f>
        <v>NA</v>
      </c>
      <c r="F28" s="428">
        <f>'DATA consolidated-leasing'!V261</f>
        <v>0</v>
      </c>
      <c r="G28" s="429">
        <f>'DATA consolidated-leasing'!R261/100</f>
        <v>3.7639961060470052E-2</v>
      </c>
      <c r="I28" s="433" t="str">
        <f>B37</f>
        <v>Business Plan</v>
      </c>
      <c r="J28" s="434">
        <f>E37</f>
        <v>0.20376794732101255</v>
      </c>
      <c r="K28" s="435">
        <f>F37</f>
        <v>6.1327876190499078</v>
      </c>
      <c r="L28" s="436">
        <f>G37</f>
        <v>2.9218664656565897E-2</v>
      </c>
    </row>
    <row r="29" spans="2:12">
      <c r="B29" s="370" t="str">
        <f>'DATA consolidated-leasing'!F262</f>
        <v>2H2021</v>
      </c>
      <c r="C29" s="371">
        <f>'DATA consolidated-leasing'!H262</f>
        <v>6</v>
      </c>
      <c r="D29" s="371">
        <f>'DATA consolidated-leasing'!J262</f>
        <v>284142</v>
      </c>
      <c r="E29" s="426">
        <f>'DATA consolidated-leasing'!X262</f>
        <v>0.17553848486615253</v>
      </c>
      <c r="F29" s="428">
        <f>'DATA consolidated-leasing'!V262</f>
        <v>2.2180645258989484</v>
      </c>
      <c r="G29" s="429">
        <f>'DATA consolidated-leasing'!R262/100</f>
        <v>0.03</v>
      </c>
      <c r="I29" s="433" t="str">
        <f>B36</f>
        <v>Total</v>
      </c>
      <c r="J29" s="434">
        <f>E36</f>
        <v>0.34837248332454496</v>
      </c>
      <c r="K29" s="435">
        <f>F36</f>
        <v>4.1293329222965376</v>
      </c>
      <c r="L29" s="436">
        <f>G36</f>
        <v>3.5521791389107889E-2</v>
      </c>
    </row>
    <row r="30" spans="2:12">
      <c r="B30" s="370" t="str">
        <f>'DATA consolidated-leasing'!F263</f>
        <v>1H2022</v>
      </c>
      <c r="C30" s="371">
        <f>'DATA consolidated-leasing'!H263</f>
        <v>30</v>
      </c>
      <c r="D30" s="371">
        <f>'DATA consolidated-leasing'!J263</f>
        <v>1023809</v>
      </c>
      <c r="E30" s="426">
        <f>'DATA consolidated-leasing'!X263</f>
        <v>0.38866028348346537</v>
      </c>
      <c r="F30" s="428">
        <f>'DATA consolidated-leasing'!V263</f>
        <v>1.8651138126041966</v>
      </c>
      <c r="G30" s="429">
        <f>'DATA consolidated-leasing'!R263/100</f>
        <v>3.5382109846660847E-2</v>
      </c>
      <c r="I30" s="433" t="str">
        <f>B35</f>
        <v>2H2024</v>
      </c>
      <c r="J30" s="434">
        <f>E35</f>
        <v>0.38954084526722577</v>
      </c>
      <c r="K30" s="435">
        <f>F35</f>
        <v>8.8753015073990049</v>
      </c>
      <c r="L30" s="436">
        <f>G35</f>
        <v>3.8611308137886102E-2</v>
      </c>
    </row>
    <row r="31" spans="2:12">
      <c r="B31" s="370" t="str">
        <f>'DATA consolidated-leasing'!F264</f>
        <v>2H2022</v>
      </c>
      <c r="C31" s="371">
        <f>'DATA consolidated-leasing'!H264</f>
        <v>36</v>
      </c>
      <c r="D31" s="371">
        <f>'DATA consolidated-leasing'!J264</f>
        <v>1059753</v>
      </c>
      <c r="E31" s="426">
        <f>'DATA consolidated-leasing'!X264</f>
        <v>0.38372827661524633</v>
      </c>
      <c r="F31" s="428">
        <f>'DATA consolidated-leasing'!V264</f>
        <v>4.5591082016866249</v>
      </c>
      <c r="G31" s="429">
        <f>'DATA consolidated-leasing'!R264/100</f>
        <v>3.8116792309151284E-2</v>
      </c>
      <c r="I31" s="433" t="str">
        <f>B34</f>
        <v>1H2024</v>
      </c>
      <c r="J31" s="434">
        <f>E34</f>
        <v>0.35443704410562038</v>
      </c>
      <c r="K31" s="435">
        <f>F34</f>
        <v>4.36523208300357</v>
      </c>
      <c r="L31" s="436">
        <f>G34</f>
        <v>3.5901161938976509E-2</v>
      </c>
    </row>
    <row r="32" spans="2:12">
      <c r="B32" s="370" t="str">
        <f>'DATA consolidated-leasing'!F265</f>
        <v>1H2023</v>
      </c>
      <c r="C32" s="371">
        <f>'DATA consolidated-leasing'!H265</f>
        <v>39</v>
      </c>
      <c r="D32" s="371">
        <f>'DATA consolidated-leasing'!J265</f>
        <v>1073302</v>
      </c>
      <c r="E32" s="426">
        <f>'DATA consolidated-leasing'!X265</f>
        <v>0.33945602856952051</v>
      </c>
      <c r="F32" s="428">
        <f>'DATA consolidated-leasing'!V265</f>
        <v>4.7010744135441218</v>
      </c>
      <c r="G32" s="429">
        <f>'DATA consolidated-leasing'!R265/100</f>
        <v>3.3406647895932368E-2</v>
      </c>
      <c r="I32" s="433" t="str">
        <f>B33</f>
        <v>2H2023</v>
      </c>
      <c r="J32" s="434">
        <f>E33</f>
        <v>0.27095246004526885</v>
      </c>
      <c r="K32" s="435">
        <f>F33</f>
        <v>6.6646557271557274</v>
      </c>
      <c r="L32" s="436">
        <f>G33</f>
        <v>3.392593452341474E-2</v>
      </c>
    </row>
    <row r="33" spans="2:15">
      <c r="B33" s="370" t="str">
        <f>'DATA consolidated-leasing'!F266</f>
        <v>2H2023</v>
      </c>
      <c r="C33" s="371">
        <f>'DATA consolidated-leasing'!H266</f>
        <v>41</v>
      </c>
      <c r="D33" s="371">
        <f>'DATA consolidated-leasing'!J266</f>
        <v>980045</v>
      </c>
      <c r="E33" s="426">
        <f>'DATA consolidated-leasing'!X266</f>
        <v>0.27095246004526885</v>
      </c>
      <c r="F33" s="428">
        <f>'DATA consolidated-leasing'!V266</f>
        <v>6.6646557271557274</v>
      </c>
      <c r="G33" s="429">
        <f>'DATA consolidated-leasing'!R266/100</f>
        <v>3.392593452341474E-2</v>
      </c>
      <c r="I33" s="433" t="str">
        <f>B32</f>
        <v>1H2023</v>
      </c>
      <c r="J33" s="434">
        <f>E32</f>
        <v>0.33945602856952051</v>
      </c>
      <c r="K33" s="435">
        <f>F32</f>
        <v>4.7010744135441218</v>
      </c>
      <c r="L33" s="436">
        <f>G32</f>
        <v>3.3406647895932368E-2</v>
      </c>
    </row>
    <row r="34" spans="2:15">
      <c r="B34" s="370" t="str">
        <f>'DATA consolidated-leasing'!F267</f>
        <v>1H2024</v>
      </c>
      <c r="C34" s="371">
        <f>'DATA consolidated-leasing'!H267</f>
        <v>36</v>
      </c>
      <c r="D34" s="371">
        <f>'DATA consolidated-leasing'!J267</f>
        <v>887396</v>
      </c>
      <c r="E34" s="426">
        <f>'DATA consolidated-leasing'!X267</f>
        <v>0.35443704410562038</v>
      </c>
      <c r="F34" s="428">
        <f>'DATA consolidated-leasing'!V267</f>
        <v>4.36523208300357</v>
      </c>
      <c r="G34" s="429">
        <f>'DATA consolidated-leasing'!R267/100</f>
        <v>3.5901161938976509E-2</v>
      </c>
      <c r="I34" s="433" t="str">
        <f>B31</f>
        <v>2H2022</v>
      </c>
      <c r="J34" s="434">
        <f>E31</f>
        <v>0.38372827661524633</v>
      </c>
      <c r="K34" s="435">
        <f>F31</f>
        <v>4.5591082016866249</v>
      </c>
      <c r="L34" s="436">
        <f>G31</f>
        <v>3.8116792309151284E-2</v>
      </c>
    </row>
    <row r="35" spans="2:15">
      <c r="B35" s="384" t="s">
        <v>16</v>
      </c>
      <c r="C35" s="371">
        <f>'DATA consolidated-leasing'!H268</f>
        <v>26</v>
      </c>
      <c r="D35" s="379">
        <f>'DATA consolidated-leasing'!J268</f>
        <v>687611</v>
      </c>
      <c r="E35" s="426">
        <f>'DATA consolidated-leasing'!X268</f>
        <v>0.38954084526722577</v>
      </c>
      <c r="F35" s="428">
        <f>'DATA consolidated-leasing'!V268</f>
        <v>8.8753015073990049</v>
      </c>
      <c r="G35" s="429">
        <f>'DATA consolidated-leasing'!R268/100</f>
        <v>3.8611308137886102E-2</v>
      </c>
      <c r="I35" s="433" t="str">
        <f>B30</f>
        <v>1H2022</v>
      </c>
      <c r="J35" s="434">
        <f>E30</f>
        <v>0.38866028348346537</v>
      </c>
      <c r="K35" s="435">
        <f>F30</f>
        <v>1.8651138126041966</v>
      </c>
      <c r="L35" s="436">
        <f>G30</f>
        <v>3.5382109846660847E-2</v>
      </c>
    </row>
    <row r="36" spans="2:15">
      <c r="B36" s="451" t="s">
        <v>27</v>
      </c>
      <c r="C36" s="452">
        <f>'DATA consolidated-leasing'!H269</f>
        <v>216</v>
      </c>
      <c r="D36" s="452">
        <f>'DATA consolidated-leasing'!J269</f>
        <v>6154252</v>
      </c>
      <c r="E36" s="453">
        <f>'DATA consolidated-leasing'!X269</f>
        <v>0.34837248332454496</v>
      </c>
      <c r="F36" s="454">
        <f>'DATA consolidated-leasing'!V269</f>
        <v>4.1293329222965376</v>
      </c>
      <c r="G36" s="455">
        <f>'DATA consolidated-leasing'!R269/100</f>
        <v>3.5521791389107889E-2</v>
      </c>
    </row>
    <row r="37" spans="2:15">
      <c r="B37" s="375" t="s">
        <v>28</v>
      </c>
      <c r="C37" s="380">
        <f>C36</f>
        <v>216</v>
      </c>
      <c r="D37" s="380">
        <f>D36</f>
        <v>6154252</v>
      </c>
      <c r="E37" s="427">
        <f>'DATA consolidated-leasing'!X270</f>
        <v>0.20376794732101255</v>
      </c>
      <c r="F37" s="430">
        <f>'DATA consolidated-leasing'!W269</f>
        <v>6.1327876190499078</v>
      </c>
      <c r="G37" s="431">
        <f>'DATA consolidated-leasing'!S269/100</f>
        <v>2.9218664656565897E-2</v>
      </c>
    </row>
    <row r="38" spans="2:15">
      <c r="C38" s="381"/>
      <c r="D38" s="382"/>
      <c r="E38" s="383"/>
    </row>
    <row r="42" spans="2:15">
      <c r="B42" s="385"/>
      <c r="C42" s="386" t="s">
        <v>31</v>
      </c>
      <c r="D42" s="387"/>
      <c r="E42" s="388"/>
      <c r="F42" s="388"/>
      <c r="G42" s="389" t="s">
        <v>32</v>
      </c>
      <c r="H42" s="390"/>
      <c r="I42" s="391"/>
      <c r="J42" s="392"/>
    </row>
    <row r="43" spans="2:15">
      <c r="B43" s="393"/>
      <c r="C43" s="366" t="s">
        <v>33</v>
      </c>
      <c r="D43" s="366" t="s">
        <v>34</v>
      </c>
      <c r="E43" s="366" t="s">
        <v>35</v>
      </c>
      <c r="F43" s="366"/>
      <c r="G43" s="366" t="s">
        <v>33</v>
      </c>
      <c r="H43" s="366" t="s">
        <v>34</v>
      </c>
      <c r="I43" s="366" t="s">
        <v>35</v>
      </c>
      <c r="J43" s="394"/>
    </row>
    <row r="44" spans="2:15">
      <c r="B44" s="393" t="s">
        <v>36</v>
      </c>
      <c r="C44" s="366">
        <f>'Presentation View'!B37</f>
        <v>149</v>
      </c>
      <c r="D44" s="395">
        <f>'Presentation View'!D37</f>
        <v>4566217</v>
      </c>
      <c r="E44" s="396">
        <f>'Presentation View'!C37</f>
        <v>4.9790470061614096</v>
      </c>
      <c r="F44" s="366"/>
      <c r="G44" s="366">
        <f>'Presentation View'!B105</f>
        <v>8</v>
      </c>
      <c r="H44" s="395">
        <f>'Presentation View'!D105</f>
        <v>286978</v>
      </c>
      <c r="I44" s="396">
        <f>'Presentation View'!C105</f>
        <v>3.8574899469645758</v>
      </c>
      <c r="J44" s="394"/>
    </row>
    <row r="45" spans="2:15">
      <c r="B45" s="397" t="s">
        <v>37</v>
      </c>
      <c r="C45" s="398">
        <f>'Presentation View'!B59</f>
        <v>67</v>
      </c>
      <c r="D45" s="399">
        <f>'Presentation View'!D59</f>
        <v>1588035</v>
      </c>
      <c r="E45" s="400">
        <f>'Presentation View'!C59</f>
        <v>5.0510384951633096</v>
      </c>
      <c r="F45" s="398"/>
      <c r="G45" s="398">
        <f>'Presentation View'!B127</f>
        <v>9</v>
      </c>
      <c r="H45" s="399">
        <f>'Presentation View'!D127</f>
        <v>194272</v>
      </c>
      <c r="I45" s="400">
        <f>'Presentation View'!C127</f>
        <v>3.6842039340031842</v>
      </c>
      <c r="J45" s="401"/>
    </row>
    <row r="46" spans="2:15">
      <c r="C46" s="366"/>
      <c r="D46" s="366"/>
      <c r="E46" s="366"/>
      <c r="F46" s="366"/>
      <c r="G46" s="366"/>
      <c r="H46" s="366"/>
      <c r="I46" s="366"/>
      <c r="J46" s="366"/>
    </row>
    <row r="47" spans="2:15">
      <c r="B47" s="385"/>
      <c r="C47" s="466" t="s">
        <v>4</v>
      </c>
      <c r="D47" s="466"/>
      <c r="E47" s="463" t="s">
        <v>38</v>
      </c>
      <c r="F47" s="463"/>
      <c r="G47" s="466" t="s">
        <v>4</v>
      </c>
      <c r="H47" s="466"/>
      <c r="I47" s="463" t="s">
        <v>38</v>
      </c>
      <c r="J47" s="464"/>
    </row>
    <row r="48" spans="2:15">
      <c r="B48" s="393"/>
      <c r="C48" s="366" t="s">
        <v>28</v>
      </c>
      <c r="D48" s="366" t="s">
        <v>39</v>
      </c>
      <c r="E48" s="366" t="s">
        <v>28</v>
      </c>
      <c r="F48" s="366" t="s">
        <v>39</v>
      </c>
      <c r="G48" s="366" t="s">
        <v>28</v>
      </c>
      <c r="H48" s="366" t="s">
        <v>39</v>
      </c>
      <c r="I48" s="366" t="s">
        <v>28</v>
      </c>
      <c r="J48" s="394" t="s">
        <v>39</v>
      </c>
    </row>
    <row r="49" spans="2:10">
      <c r="B49" s="393" t="s">
        <v>36</v>
      </c>
      <c r="C49" s="367">
        <f>'Presentation View'!F37/'Presentation View'!E37-1</f>
        <v>0.16712540636560158</v>
      </c>
      <c r="D49" s="367">
        <f>'Presentation View'!J37</f>
        <v>0.34051259410205237</v>
      </c>
      <c r="E49" s="402">
        <f>'Presentation View'!I37%</f>
        <v>2.7820838540962903E-2</v>
      </c>
      <c r="F49" s="402">
        <f>'Presentation View'!H37%</f>
        <v>3.6272542172218272E-2</v>
      </c>
      <c r="G49" s="367">
        <f>'Presentation View'!F105/'Presentation View'!E105-1</f>
        <v>0.15482785377000718</v>
      </c>
      <c r="H49" s="367">
        <f>'Presentation View'!K105</f>
        <v>0.38288319113658575</v>
      </c>
      <c r="I49" s="402">
        <f>'Presentation View'!J105%</f>
        <v>2.924962889141328E-2</v>
      </c>
      <c r="J49" s="403">
        <f>'Presentation View'!I105%</f>
        <v>3.887083678888277E-2</v>
      </c>
    </row>
    <row r="50" spans="2:10">
      <c r="B50" s="397" t="s">
        <v>37</v>
      </c>
      <c r="C50" s="404">
        <f>'Presentation View'!F59/'Presentation View'!E59-1</f>
        <v>0.34962912876084173</v>
      </c>
      <c r="D50" s="404">
        <f>'Presentation View'!J59</f>
        <v>0.37096518130629885</v>
      </c>
      <c r="E50" s="405">
        <f>'Presentation View'!I59%</f>
        <v>3.3237957286835623E-2</v>
      </c>
      <c r="F50" s="405">
        <f>'Presentation View'!H59%</f>
        <v>3.3363091493575393E-2</v>
      </c>
      <c r="G50" s="404">
        <f>'Presentation View'!F127/'Presentation View'!E127-1</f>
        <v>0.36688543720499012</v>
      </c>
      <c r="H50" s="404">
        <f>'Presentation View'!K127</f>
        <v>0.45015136583543947</v>
      </c>
      <c r="I50" s="405">
        <f>'Presentation View'!J127%</f>
        <v>3.7434318893098333E-2</v>
      </c>
      <c r="J50" s="406">
        <f>'Presentation View'!I127%</f>
        <v>3.4523045320323534E-2</v>
      </c>
    </row>
    <row r="51" spans="2:10">
      <c r="C51" s="367"/>
      <c r="D51" s="367"/>
      <c r="E51" s="368"/>
      <c r="F51" s="368"/>
      <c r="G51" s="367"/>
      <c r="H51" s="367"/>
      <c r="I51" s="368"/>
      <c r="J51" s="368"/>
    </row>
    <row r="52" spans="2:10">
      <c r="C52" s="367"/>
      <c r="D52" s="367"/>
      <c r="E52" s="368"/>
      <c r="F52" s="368"/>
      <c r="G52" s="367"/>
      <c r="H52" s="367"/>
      <c r="I52" s="368"/>
      <c r="J52" s="368"/>
    </row>
    <row r="53" spans="2:10">
      <c r="C53" s="367"/>
      <c r="D53" s="367"/>
      <c r="E53" s="368"/>
      <c r="F53" s="368"/>
      <c r="G53" s="367"/>
      <c r="H53" s="367"/>
      <c r="I53" s="368"/>
      <c r="J53" s="368"/>
    </row>
    <row r="54" spans="2:10">
      <c r="C54" s="367"/>
      <c r="D54" s="367"/>
      <c r="E54" s="368"/>
      <c r="F54" s="368"/>
      <c r="G54" s="367"/>
      <c r="H54" s="367"/>
      <c r="I54" s="368"/>
      <c r="J54" s="368"/>
    </row>
    <row r="55" spans="2:10">
      <c r="C55" s="367"/>
      <c r="D55" s="367"/>
      <c r="E55" s="368"/>
      <c r="F55" s="368"/>
      <c r="G55" s="367"/>
      <c r="H55" s="367"/>
      <c r="I55" s="368"/>
      <c r="J55" s="368"/>
    </row>
    <row r="56" spans="2:10">
      <c r="C56" s="367"/>
      <c r="D56" s="367"/>
      <c r="E56" s="368"/>
      <c r="F56" s="368"/>
      <c r="G56" s="367"/>
      <c r="H56" s="367"/>
      <c r="I56" s="368"/>
      <c r="J56" s="368"/>
    </row>
    <row r="57" spans="2:10">
      <c r="C57" s="367"/>
      <c r="D57" s="367"/>
      <c r="E57" s="368"/>
      <c r="F57" s="368"/>
      <c r="G57" s="367"/>
      <c r="H57" s="367"/>
      <c r="I57" s="368"/>
      <c r="J57" s="368"/>
    </row>
    <row r="58" spans="2:10">
      <c r="C58" s="367"/>
      <c r="D58" s="367"/>
      <c r="E58" s="368"/>
      <c r="F58" s="368"/>
      <c r="G58" s="367"/>
      <c r="H58" s="367"/>
      <c r="I58" s="368"/>
      <c r="J58" s="368"/>
    </row>
    <row r="59" spans="2:10">
      <c r="C59" s="367"/>
      <c r="D59" s="367"/>
      <c r="E59" s="368"/>
      <c r="F59" s="368"/>
      <c r="G59" s="367"/>
      <c r="H59" s="367"/>
      <c r="I59" s="368"/>
      <c r="J59" s="368"/>
    </row>
    <row r="60" spans="2:10">
      <c r="C60" s="367"/>
      <c r="D60" s="367"/>
      <c r="E60" s="368"/>
      <c r="F60" s="368"/>
      <c r="G60" s="367"/>
      <c r="H60" s="367"/>
      <c r="I60" s="368"/>
      <c r="J60" s="368"/>
    </row>
    <row r="61" spans="2:10">
      <c r="E61" s="366"/>
      <c r="F61" s="366"/>
    </row>
    <row r="68" spans="3:4">
      <c r="C68" s="465" t="s">
        <v>37</v>
      </c>
      <c r="D68" s="465"/>
    </row>
    <row r="69" spans="3:4">
      <c r="C69" s="465"/>
      <c r="D69" s="465"/>
    </row>
    <row r="70" spans="3:4">
      <c r="C70" s="465"/>
      <c r="D70" s="465"/>
    </row>
    <row r="71" spans="3:4">
      <c r="C71" s="465"/>
      <c r="D71" s="465"/>
    </row>
    <row r="72" spans="3:4">
      <c r="C72" s="465"/>
      <c r="D72" s="465"/>
    </row>
    <row r="73" spans="3:4">
      <c r="C73" s="465"/>
      <c r="D73" s="465"/>
    </row>
    <row r="74" spans="3:4">
      <c r="C74" s="465"/>
      <c r="D74" s="465"/>
    </row>
    <row r="75" spans="3:4">
      <c r="C75" s="465"/>
      <c r="D75" s="465"/>
    </row>
    <row r="76" spans="3:4">
      <c r="C76" s="465"/>
      <c r="D76" s="465"/>
    </row>
    <row r="85" spans="3:4">
      <c r="C85" s="465" t="s">
        <v>36</v>
      </c>
      <c r="D85" s="465"/>
    </row>
    <row r="86" spans="3:4">
      <c r="C86" s="465"/>
      <c r="D86" s="465"/>
    </row>
    <row r="87" spans="3:4">
      <c r="C87" s="465"/>
      <c r="D87" s="465"/>
    </row>
    <row r="88" spans="3:4">
      <c r="C88" s="465"/>
      <c r="D88" s="465"/>
    </row>
    <row r="89" spans="3:4">
      <c r="C89" s="465"/>
      <c r="D89" s="465"/>
    </row>
    <row r="90" spans="3:4">
      <c r="C90" s="465"/>
      <c r="D90" s="465"/>
    </row>
    <row r="91" spans="3:4">
      <c r="C91" s="465"/>
      <c r="D91" s="465"/>
    </row>
    <row r="92" spans="3:4">
      <c r="C92" s="465"/>
      <c r="D92" s="465"/>
    </row>
    <row r="93" spans="3:4">
      <c r="C93" s="465"/>
      <c r="D93" s="465"/>
    </row>
    <row r="100" spans="7:7">
      <c r="G100" s="408"/>
    </row>
    <row r="102" spans="7:7" ht="54.6" customHeight="1"/>
  </sheetData>
  <autoFilter ref="B27:E38" xr:uid="{9C0BF376-E048-1E41-BF30-95393346A73A}">
    <sortState xmlns:xlrd2="http://schemas.microsoft.com/office/spreadsheetml/2017/richdata2" ref="B28:E38">
      <sortCondition descending="1" ref="B27:B38"/>
    </sortState>
  </autoFilter>
  <mergeCells count="6">
    <mergeCell ref="I47:J47"/>
    <mergeCell ref="C68:D76"/>
    <mergeCell ref="C85:D93"/>
    <mergeCell ref="C47:D47"/>
    <mergeCell ref="E47:F47"/>
    <mergeCell ref="G47:H47"/>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CB4FE-967C-4A5B-B4C4-5BFE1B119118}">
  <dimension ref="A1:E21"/>
  <sheetViews>
    <sheetView zoomScale="104" zoomScaleNormal="145" workbookViewId="0">
      <selection activeCell="B10" sqref="B10"/>
    </sheetView>
  </sheetViews>
  <sheetFormatPr defaultColWidth="8.875" defaultRowHeight="13.9"/>
  <cols>
    <col min="1" max="1" width="27.625" bestFit="1" customWidth="1"/>
    <col min="2" max="2" width="107.5" bestFit="1" customWidth="1"/>
    <col min="4" max="4" width="9.5" bestFit="1" customWidth="1"/>
  </cols>
  <sheetData>
    <row r="1" spans="1:5">
      <c r="A1" t="s">
        <v>1051</v>
      </c>
      <c r="B1" t="s">
        <v>1052</v>
      </c>
    </row>
    <row r="2" spans="1:5">
      <c r="A2" t="s">
        <v>1053</v>
      </c>
      <c r="B2" t="s">
        <v>1054</v>
      </c>
    </row>
    <row r="3" spans="1:5">
      <c r="A3" t="s">
        <v>1055</v>
      </c>
      <c r="B3" t="s">
        <v>1056</v>
      </c>
    </row>
    <row r="4" spans="1:5">
      <c r="A4" t="s">
        <v>140</v>
      </c>
      <c r="B4" t="s">
        <v>1057</v>
      </c>
    </row>
    <row r="5" spans="1:5">
      <c r="A5" t="s">
        <v>99</v>
      </c>
      <c r="B5" t="s">
        <v>1058</v>
      </c>
    </row>
    <row r="6" spans="1:5">
      <c r="A6" t="s">
        <v>755</v>
      </c>
      <c r="B6" t="s">
        <v>1059</v>
      </c>
    </row>
    <row r="7" spans="1:5">
      <c r="A7" t="s">
        <v>771</v>
      </c>
      <c r="B7" t="s">
        <v>1060</v>
      </c>
    </row>
    <row r="8" spans="1:5">
      <c r="A8" t="s">
        <v>771</v>
      </c>
      <c r="B8" t="s">
        <v>1061</v>
      </c>
    </row>
    <row r="12" spans="1:5">
      <c r="A12" t="s">
        <v>1062</v>
      </c>
    </row>
    <row r="13" spans="1:5" ht="14.45">
      <c r="A13" s="79" t="s">
        <v>1063</v>
      </c>
      <c r="B13" s="79"/>
      <c r="C13" s="79"/>
      <c r="D13" s="81"/>
      <c r="E13" s="79"/>
    </row>
    <row r="14" spans="1:5" ht="14.45">
      <c r="A14" s="79" t="s">
        <v>1064</v>
      </c>
      <c r="B14" s="79"/>
      <c r="C14" s="79"/>
      <c r="D14" s="81"/>
      <c r="E14" s="80"/>
    </row>
    <row r="15" spans="1:5" ht="14.45">
      <c r="A15" s="79" t="s">
        <v>1065</v>
      </c>
      <c r="B15" s="79"/>
      <c r="C15" s="79"/>
      <c r="D15" s="79"/>
      <c r="E15" s="80"/>
    </row>
    <row r="16" spans="1:5" ht="14.45">
      <c r="A16" s="79"/>
      <c r="B16" s="79"/>
      <c r="C16" s="79"/>
      <c r="D16" s="79"/>
      <c r="E16" s="80"/>
    </row>
    <row r="17" spans="1:5" ht="14.45">
      <c r="A17" s="79" t="s">
        <v>1066</v>
      </c>
      <c r="B17" s="79"/>
      <c r="C17" s="79"/>
      <c r="D17" s="79"/>
      <c r="E17" s="80"/>
    </row>
    <row r="19" spans="1:5" ht="14.45">
      <c r="A19" s="79" t="s">
        <v>1067</v>
      </c>
    </row>
    <row r="21" spans="1:5" ht="14.45">
      <c r="A21" s="79" t="s">
        <v>1068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09BA7-2E3C-4990-B0B7-A85ADDE07000}">
  <sheetPr>
    <tabColor theme="0" tint="-0.499984740745262"/>
  </sheetPr>
  <dimension ref="A2:V133"/>
  <sheetViews>
    <sheetView zoomScale="74" zoomScaleNormal="100" workbookViewId="0">
      <selection activeCell="J77" sqref="J77"/>
    </sheetView>
  </sheetViews>
  <sheetFormatPr defaultColWidth="8.875" defaultRowHeight="13.9"/>
  <cols>
    <col min="1" max="1" width="21.375" bestFit="1" customWidth="1"/>
    <col min="2" max="2" width="8.125" bestFit="1" customWidth="1"/>
    <col min="3" max="3" width="10.625" bestFit="1" customWidth="1"/>
    <col min="4" max="4" width="21.125" bestFit="1" customWidth="1"/>
    <col min="5" max="5" width="12.5" bestFit="1" customWidth="1"/>
    <col min="6" max="6" width="25.125" bestFit="1" customWidth="1"/>
    <col min="7" max="7" width="12.5" bestFit="1" customWidth="1"/>
    <col min="8" max="8" width="16.875" bestFit="1" customWidth="1"/>
    <col min="9" max="9" width="10.625" bestFit="1" customWidth="1"/>
    <col min="10" max="10" width="13.625" bestFit="1" customWidth="1"/>
    <col min="11" max="11" width="19.125" bestFit="1" customWidth="1"/>
    <col min="12" max="12" width="9.625" bestFit="1" customWidth="1"/>
    <col min="13" max="13" width="6.875" bestFit="1" customWidth="1"/>
    <col min="14" max="14" width="18.375" bestFit="1" customWidth="1"/>
    <col min="15" max="15" width="17.375" bestFit="1" customWidth="1"/>
  </cols>
  <sheetData>
    <row r="2" spans="1:14">
      <c r="A2" s="1" t="s">
        <v>109</v>
      </c>
      <c r="B2" t="s">
        <v>999</v>
      </c>
    </row>
    <row r="3" spans="1:14">
      <c r="A3" s="1" t="s">
        <v>82</v>
      </c>
      <c r="B3" t="s">
        <v>999</v>
      </c>
    </row>
    <row r="4" spans="1:14">
      <c r="A4" s="1" t="s">
        <v>66</v>
      </c>
      <c r="B4" t="s">
        <v>999</v>
      </c>
    </row>
    <row r="5" spans="1:14">
      <c r="M5" s="84"/>
    </row>
    <row r="6" spans="1:14">
      <c r="A6" s="1" t="s">
        <v>1000</v>
      </c>
      <c r="B6" s="3" t="s">
        <v>2</v>
      </c>
      <c r="C6" t="s">
        <v>1032</v>
      </c>
      <c r="D6" s="3" t="s">
        <v>1001</v>
      </c>
      <c r="E6" s="3" t="s">
        <v>1002</v>
      </c>
      <c r="F6" s="3" t="s">
        <v>1003</v>
      </c>
      <c r="G6" t="s">
        <v>1004</v>
      </c>
      <c r="H6" t="s">
        <v>1005</v>
      </c>
      <c r="I6" s="3" t="s">
        <v>736</v>
      </c>
      <c r="J6" s="3" t="s">
        <v>737</v>
      </c>
      <c r="K6" s="3" t="s">
        <v>1008</v>
      </c>
      <c r="L6" s="3" t="s">
        <v>1006</v>
      </c>
      <c r="M6" s="3" t="s">
        <v>65</v>
      </c>
      <c r="N6" t="s">
        <v>1033</v>
      </c>
    </row>
    <row r="7" spans="1:14">
      <c r="A7" s="2" t="s">
        <v>745</v>
      </c>
      <c r="B7" s="83">
        <v>89</v>
      </c>
      <c r="C7" s="4">
        <v>2873691</v>
      </c>
      <c r="D7" s="76">
        <v>5.5752454460670604</v>
      </c>
      <c r="E7" s="76">
        <v>6.9428701520100802</v>
      </c>
      <c r="F7" s="76">
        <v>8.0877740157170699</v>
      </c>
      <c r="G7" s="76">
        <v>3.5468671649109109</v>
      </c>
      <c r="H7" s="76">
        <v>2.9269950213853893</v>
      </c>
      <c r="I7" s="76">
        <v>9.1977198088087668</v>
      </c>
      <c r="J7" s="76">
        <v>13.779718337496968</v>
      </c>
      <c r="K7" s="82">
        <v>0.16490353969467808</v>
      </c>
      <c r="L7" s="76">
        <v>4.4805303418898728</v>
      </c>
      <c r="M7" s="76">
        <v>7.0320648009793052</v>
      </c>
      <c r="N7" s="76">
        <v>2.3146667993058765</v>
      </c>
    </row>
    <row r="8" spans="1:14">
      <c r="A8" s="116" t="s">
        <v>153</v>
      </c>
      <c r="B8" s="83">
        <v>14</v>
      </c>
      <c r="C8" s="4">
        <v>484306</v>
      </c>
      <c r="D8" s="76">
        <v>5.6803754974285585</v>
      </c>
      <c r="E8" s="76">
        <v>6.2767515166031389</v>
      </c>
      <c r="F8" s="76">
        <v>7.1302052008440944</v>
      </c>
      <c r="G8" s="76">
        <v>4.062276742390142</v>
      </c>
      <c r="H8" s="76">
        <v>3.3326342229912491</v>
      </c>
      <c r="I8" s="76">
        <v>10.520089389036011</v>
      </c>
      <c r="J8" s="76">
        <v>12.018149847410522</v>
      </c>
      <c r="K8" s="82">
        <v>0.13597060230653013</v>
      </c>
      <c r="L8" s="76">
        <v>4.0730416084292012</v>
      </c>
      <c r="M8" s="76">
        <v>6.3805368885066125</v>
      </c>
      <c r="N8" s="76">
        <v>2.3854986350573277</v>
      </c>
    </row>
    <row r="9" spans="1:14">
      <c r="A9" s="116" t="s">
        <v>207</v>
      </c>
      <c r="B9" s="83">
        <v>1</v>
      </c>
      <c r="C9" s="4">
        <v>30333</v>
      </c>
      <c r="D9" s="76" t="e">
        <v>#DIV/0!</v>
      </c>
      <c r="E9" s="76">
        <v>9.25</v>
      </c>
      <c r="F9" s="76">
        <v>9</v>
      </c>
      <c r="G9" s="76">
        <v>4</v>
      </c>
      <c r="H9" s="76">
        <v>4</v>
      </c>
      <c r="I9" s="76">
        <v>17.9794638425</v>
      </c>
      <c r="J9" s="76">
        <v>10.1</v>
      </c>
      <c r="K9" s="82">
        <v>-2.7027027027026973E-2</v>
      </c>
      <c r="L9" s="76">
        <v>2</v>
      </c>
      <c r="M9" s="76">
        <v>4</v>
      </c>
      <c r="N9" s="76">
        <v>2.0000219782634976</v>
      </c>
    </row>
    <row r="10" spans="1:14">
      <c r="A10" s="116" t="s">
        <v>144</v>
      </c>
      <c r="B10" s="83">
        <v>14</v>
      </c>
      <c r="C10" s="4">
        <v>435898</v>
      </c>
      <c r="D10" s="76">
        <v>6.359433301835697</v>
      </c>
      <c r="E10" s="76">
        <v>6.4223057687807703</v>
      </c>
      <c r="F10" s="76">
        <v>7.6271311155362032</v>
      </c>
      <c r="G10" s="76">
        <v>3.6100039458772466</v>
      </c>
      <c r="H10" s="76">
        <v>2.6900891951786887</v>
      </c>
      <c r="I10" s="76">
        <v>13.369716137080113</v>
      </c>
      <c r="J10" s="76">
        <v>15.634966070043909</v>
      </c>
      <c r="K10" s="82">
        <v>0.18760012215739774</v>
      </c>
      <c r="L10" s="76">
        <v>3.2998712402313042</v>
      </c>
      <c r="M10" s="76">
        <v>7.6628657158083238</v>
      </c>
      <c r="N10" s="76">
        <v>2.6111054321112253</v>
      </c>
    </row>
    <row r="11" spans="1:14">
      <c r="A11" s="116" t="s">
        <v>185</v>
      </c>
      <c r="B11" s="83">
        <v>3</v>
      </c>
      <c r="C11" s="4">
        <v>141849</v>
      </c>
      <c r="D11" s="76">
        <v>4.1586503345928945</v>
      </c>
      <c r="E11" s="76">
        <v>3.9493510000070495</v>
      </c>
      <c r="F11" s="76">
        <v>5.099611558770242</v>
      </c>
      <c r="G11" s="76">
        <v>3.166046288659067</v>
      </c>
      <c r="H11" s="76">
        <v>2.6306036700998949</v>
      </c>
      <c r="I11" s="76">
        <v>15.117512888937988</v>
      </c>
      <c r="J11" s="76">
        <v>9.6435523690685159</v>
      </c>
      <c r="K11" s="82">
        <v>0.2912530587332296</v>
      </c>
      <c r="L11" s="76">
        <v>0</v>
      </c>
      <c r="M11" s="76">
        <v>7.0449999999999999</v>
      </c>
      <c r="N11" s="76">
        <v>1.3823441252018245</v>
      </c>
    </row>
    <row r="12" spans="1:14">
      <c r="A12" s="116" t="s">
        <v>214</v>
      </c>
      <c r="B12" s="83">
        <v>3</v>
      </c>
      <c r="C12" s="4">
        <v>112000</v>
      </c>
      <c r="D12" s="76">
        <v>4.3497857142857139</v>
      </c>
      <c r="E12" s="76">
        <v>5.4471428571428575</v>
      </c>
      <c r="F12" s="76">
        <v>7.2166428571428574</v>
      </c>
      <c r="G12" s="76">
        <v>1</v>
      </c>
      <c r="H12" s="76">
        <v>3</v>
      </c>
      <c r="I12" s="76">
        <v>2.5148329109749996</v>
      </c>
      <c r="J12" s="76">
        <v>7.8214285714285712</v>
      </c>
      <c r="K12" s="82">
        <v>0.32484920010490415</v>
      </c>
      <c r="L12" s="76" t="e">
        <v>#DIV/0!</v>
      </c>
      <c r="M12" s="76" t="e">
        <v>#DIV/0!</v>
      </c>
      <c r="N12" s="76" t="e">
        <v>#DIV/0!</v>
      </c>
    </row>
    <row r="13" spans="1:14">
      <c r="A13" s="116" t="s">
        <v>244</v>
      </c>
      <c r="B13" s="83">
        <v>4</v>
      </c>
      <c r="C13" s="4">
        <v>97671</v>
      </c>
      <c r="D13" s="76">
        <v>4.7270058666339034</v>
      </c>
      <c r="E13" s="76">
        <v>7.0586019391631085</v>
      </c>
      <c r="F13" s="76">
        <v>8.759496165699133</v>
      </c>
      <c r="G13" s="76">
        <v>3.7851665284475433</v>
      </c>
      <c r="H13" s="76">
        <v>3</v>
      </c>
      <c r="I13" s="76">
        <v>9.4392381492581059</v>
      </c>
      <c r="J13" s="76">
        <v>4.1632519376273409</v>
      </c>
      <c r="K13" s="82">
        <v>0.24096757986861173</v>
      </c>
      <c r="L13" s="76">
        <v>3</v>
      </c>
      <c r="M13" s="76">
        <v>6</v>
      </c>
      <c r="N13" s="76">
        <v>1.9999789245066244</v>
      </c>
    </row>
    <row r="14" spans="1:14">
      <c r="A14" s="116" t="s">
        <v>181</v>
      </c>
      <c r="B14" s="83">
        <v>18</v>
      </c>
      <c r="C14" s="4">
        <v>619319</v>
      </c>
      <c r="D14" s="76">
        <v>5.0489071864614896</v>
      </c>
      <c r="E14" s="76">
        <v>6.759466494649768</v>
      </c>
      <c r="F14" s="76">
        <v>8.6292155415868077</v>
      </c>
      <c r="G14" s="76">
        <v>3.4647403034623512</v>
      </c>
      <c r="H14" s="76">
        <v>2.6986972787852466</v>
      </c>
      <c r="I14" s="76">
        <v>5.6996283702434214</v>
      </c>
      <c r="J14" s="76">
        <v>22.882729530338967</v>
      </c>
      <c r="K14" s="82">
        <v>0.27661192616561947</v>
      </c>
      <c r="L14" s="76">
        <v>7.4899937593805008</v>
      </c>
      <c r="M14" s="76">
        <v>6.6748045836119987</v>
      </c>
      <c r="N14" s="76">
        <v>2.1271466506459351</v>
      </c>
    </row>
    <row r="15" spans="1:14">
      <c r="A15" s="116" t="s">
        <v>158</v>
      </c>
      <c r="B15" s="83">
        <v>13</v>
      </c>
      <c r="C15" s="4">
        <v>392036</v>
      </c>
      <c r="D15" s="76">
        <v>2.7280925731310388</v>
      </c>
      <c r="E15" s="76">
        <v>3.5405733146955889</v>
      </c>
      <c r="F15" s="76">
        <v>4.1401885286045159</v>
      </c>
      <c r="G15" s="76">
        <v>3.3707242447122203</v>
      </c>
      <c r="H15" s="76">
        <v>2.4882867899886745</v>
      </c>
      <c r="I15" s="76">
        <v>8.5467336146766009</v>
      </c>
      <c r="J15" s="76">
        <v>12.622060525053822</v>
      </c>
      <c r="K15" s="82">
        <v>0.16935540112109804</v>
      </c>
      <c r="L15" s="76">
        <v>2.6807294421039498</v>
      </c>
      <c r="M15" s="76">
        <v>5.659756317850416</v>
      </c>
      <c r="N15" s="76">
        <v>0.7942796472571505</v>
      </c>
    </row>
    <row r="16" spans="1:14">
      <c r="A16" s="116" t="s">
        <v>474</v>
      </c>
      <c r="B16" s="83">
        <v>3</v>
      </c>
      <c r="C16" s="4">
        <v>97381</v>
      </c>
      <c r="D16" s="76">
        <v>8.5</v>
      </c>
      <c r="E16" s="76">
        <v>11.889715858329653</v>
      </c>
      <c r="F16" s="76">
        <v>12.865647816309135</v>
      </c>
      <c r="G16" s="76">
        <v>3.835275875170721</v>
      </c>
      <c r="H16" s="76">
        <v>3.7399184645875478</v>
      </c>
      <c r="I16" s="76">
        <v>7.3046099586643445</v>
      </c>
      <c r="J16" s="76">
        <v>10.959156817038231</v>
      </c>
      <c r="K16" s="82">
        <v>8.2082025307254725E-2</v>
      </c>
      <c r="L16" s="76">
        <v>7.4524939628611877</v>
      </c>
      <c r="M16" s="76">
        <v>7.6642518111416438</v>
      </c>
      <c r="N16" s="76">
        <v>2.6742775956022085</v>
      </c>
    </row>
    <row r="17" spans="1:14">
      <c r="A17" s="116" t="s">
        <v>173</v>
      </c>
      <c r="B17" s="83">
        <v>10</v>
      </c>
      <c r="C17" s="4">
        <v>270161</v>
      </c>
      <c r="D17" s="76">
        <v>10.534517434431946</v>
      </c>
      <c r="E17" s="76">
        <v>14.544907555124537</v>
      </c>
      <c r="F17" s="76">
        <v>14.614828750263731</v>
      </c>
      <c r="G17" s="76">
        <v>3.5456394520304557</v>
      </c>
      <c r="H17" s="76">
        <v>3.2904268195631494</v>
      </c>
      <c r="I17" s="76">
        <v>8.5338577556607476</v>
      </c>
      <c r="J17" s="76">
        <v>6.6724611213313541</v>
      </c>
      <c r="K17" s="82">
        <v>4.8072629457558413E-3</v>
      </c>
      <c r="L17" s="76">
        <v>5.277342034259898</v>
      </c>
      <c r="M17" s="76">
        <v>6.6234423040722845</v>
      </c>
      <c r="N17" s="76">
        <v>2.1959247300425568</v>
      </c>
    </row>
    <row r="18" spans="1:14">
      <c r="A18" s="116" t="s">
        <v>274</v>
      </c>
      <c r="B18" s="83">
        <v>4</v>
      </c>
      <c r="C18" s="4">
        <v>130776</v>
      </c>
      <c r="D18" s="76">
        <v>5.5593012479354007</v>
      </c>
      <c r="E18" s="76">
        <v>6.3943564568422335</v>
      </c>
      <c r="F18" s="76">
        <v>8.5062779103199357</v>
      </c>
      <c r="G18" s="76">
        <v>3.8080687587936626</v>
      </c>
      <c r="H18" s="76">
        <v>3</v>
      </c>
      <c r="I18" s="76">
        <v>8.7309813882473684</v>
      </c>
      <c r="J18" s="76">
        <v>11.513166024346976</v>
      </c>
      <c r="K18" s="82">
        <v>0.33027896829521541</v>
      </c>
      <c r="L18" s="76">
        <v>2.287140982650532</v>
      </c>
      <c r="M18" s="76">
        <v>14.075110803324099</v>
      </c>
      <c r="N18" s="76">
        <v>2.8984406175301896</v>
      </c>
    </row>
    <row r="19" spans="1:14">
      <c r="A19" s="116" t="s">
        <v>221</v>
      </c>
      <c r="B19" s="83">
        <v>1</v>
      </c>
      <c r="C19" s="4">
        <v>39000</v>
      </c>
      <c r="D19" s="76">
        <v>4.25</v>
      </c>
      <c r="E19" s="76">
        <v>4.6349999999999998</v>
      </c>
      <c r="F19" s="76">
        <v>5.75</v>
      </c>
      <c r="G19" s="76">
        <v>6</v>
      </c>
      <c r="H19" s="76">
        <v>3</v>
      </c>
      <c r="I19" s="76">
        <v>10.650318669100001</v>
      </c>
      <c r="J19" s="76">
        <v>13.09</v>
      </c>
      <c r="K19" s="82">
        <v>0.24056094929881344</v>
      </c>
      <c r="L19" s="76">
        <v>0</v>
      </c>
      <c r="M19" s="76">
        <v>8.09</v>
      </c>
      <c r="N19" s="76">
        <v>2.5704347826086957</v>
      </c>
    </row>
    <row r="20" spans="1:14">
      <c r="A20" s="116" t="s">
        <v>201</v>
      </c>
      <c r="B20" s="83">
        <v>1</v>
      </c>
      <c r="C20" s="4">
        <v>22961</v>
      </c>
      <c r="D20" s="76">
        <v>12.640000000000002</v>
      </c>
      <c r="E20" s="76">
        <v>12.779999999999998</v>
      </c>
      <c r="F20" s="76">
        <v>13</v>
      </c>
      <c r="G20" s="76">
        <v>3</v>
      </c>
      <c r="H20" s="76">
        <v>4</v>
      </c>
      <c r="I20" s="76">
        <v>7.000000055525069</v>
      </c>
      <c r="J20" s="76">
        <v>0</v>
      </c>
      <c r="K20" s="82">
        <v>1.7214397496087885E-2</v>
      </c>
      <c r="L20" s="76">
        <v>1</v>
      </c>
      <c r="M20" s="76">
        <v>9</v>
      </c>
      <c r="N20" s="76" t="e">
        <v>#DIV/0!</v>
      </c>
    </row>
    <row r="21" spans="1:14">
      <c r="A21" s="2" t="s">
        <v>611</v>
      </c>
      <c r="B21" s="83">
        <v>103</v>
      </c>
      <c r="C21" s="4">
        <v>967210</v>
      </c>
      <c r="D21" s="76">
        <v>6.8734878303929774</v>
      </c>
      <c r="E21" s="76">
        <v>8.4290001147630811</v>
      </c>
      <c r="F21" s="76">
        <v>9.3865308361162505</v>
      </c>
      <c r="G21" s="76">
        <v>3.7188110854933263</v>
      </c>
      <c r="H21" s="76">
        <v>3.0077377198333353</v>
      </c>
      <c r="I21" s="76">
        <v>10.068487192173102</v>
      </c>
      <c r="J21" s="76">
        <v>12.37103347773493</v>
      </c>
      <c r="K21" s="82">
        <v>0.11359956202587895</v>
      </c>
      <c r="L21" s="76">
        <v>4.8030217155897708</v>
      </c>
      <c r="M21" s="76">
        <v>6.1702248504719037</v>
      </c>
      <c r="N21" s="76">
        <v>1.7518238896194316</v>
      </c>
    </row>
    <row r="22" spans="1:14">
      <c r="A22" s="116" t="s">
        <v>153</v>
      </c>
      <c r="B22" s="83">
        <v>18</v>
      </c>
      <c r="C22" s="4">
        <v>181272</v>
      </c>
      <c r="D22" s="76">
        <v>6.4972838476134092</v>
      </c>
      <c r="E22" s="76">
        <v>8.4396492012004067</v>
      </c>
      <c r="F22" s="76">
        <v>8.4327092987333963</v>
      </c>
      <c r="G22" s="76">
        <v>3.7977735116289333</v>
      </c>
      <c r="H22" s="76">
        <v>3.0644997572708417</v>
      </c>
      <c r="I22" s="76">
        <v>11.304652778090224</v>
      </c>
      <c r="J22" s="76">
        <v>13.183280539741382</v>
      </c>
      <c r="K22" s="82">
        <v>-8.2229750331608287E-4</v>
      </c>
      <c r="L22" s="76">
        <v>3.7993664959486315</v>
      </c>
      <c r="M22" s="76">
        <v>5.1010835499159146</v>
      </c>
      <c r="N22" s="76">
        <v>2.0999490487673631</v>
      </c>
    </row>
    <row r="23" spans="1:14">
      <c r="A23" s="116" t="s">
        <v>207</v>
      </c>
      <c r="B23" s="83">
        <v>8</v>
      </c>
      <c r="C23" s="4">
        <v>72526</v>
      </c>
      <c r="D23" s="76">
        <v>8.8393177504573988</v>
      </c>
      <c r="E23" s="76">
        <v>11.122208738935003</v>
      </c>
      <c r="F23" s="76">
        <v>11.749620825634945</v>
      </c>
      <c r="G23" s="76">
        <v>3.5514367261395914</v>
      </c>
      <c r="H23" s="76">
        <v>4</v>
      </c>
      <c r="I23" s="76">
        <v>8.7462102283094385</v>
      </c>
      <c r="J23" s="76">
        <v>4.8615186278024431</v>
      </c>
      <c r="K23" s="82">
        <v>5.6410745511688676E-2</v>
      </c>
      <c r="L23" s="76">
        <v>12.490840700442027</v>
      </c>
      <c r="M23" s="76">
        <v>5.0891278476708601</v>
      </c>
      <c r="N23" s="76">
        <v>2.4234181547243199</v>
      </c>
    </row>
    <row r="24" spans="1:14">
      <c r="A24" s="116" t="s">
        <v>144</v>
      </c>
      <c r="B24" s="83">
        <v>16</v>
      </c>
      <c r="C24" s="4">
        <v>154475</v>
      </c>
      <c r="D24" s="76">
        <v>6.7134788087450508</v>
      </c>
      <c r="E24" s="76">
        <v>7.9652356044667423</v>
      </c>
      <c r="F24" s="76">
        <v>8.8985371743000492</v>
      </c>
      <c r="G24" s="76">
        <v>3.7727205049360739</v>
      </c>
      <c r="H24" s="76">
        <v>3.0983945622268974</v>
      </c>
      <c r="I24" s="76">
        <v>11.75740605707111</v>
      </c>
      <c r="J24" s="76">
        <v>17.503201553649458</v>
      </c>
      <c r="K24" s="82">
        <v>0.11717187239382221</v>
      </c>
      <c r="L24" s="76">
        <v>2.6883365200764819</v>
      </c>
      <c r="M24" s="76">
        <v>6.0180253780636193</v>
      </c>
      <c r="N24" s="76">
        <v>1.4477007334705316</v>
      </c>
    </row>
    <row r="25" spans="1:14">
      <c r="A25" s="116" t="s">
        <v>214</v>
      </c>
      <c r="B25" s="83">
        <v>8</v>
      </c>
      <c r="C25" s="4">
        <v>73823</v>
      </c>
      <c r="D25" s="76">
        <v>5.4170197634883444</v>
      </c>
      <c r="E25" s="76">
        <v>5.7931450902835158</v>
      </c>
      <c r="F25" s="76">
        <v>7.9945816344499683</v>
      </c>
      <c r="G25" s="76">
        <v>3.7478902239139562</v>
      </c>
      <c r="H25" s="76">
        <v>2.9600869647670782</v>
      </c>
      <c r="I25" s="76">
        <v>12.85272467465659</v>
      </c>
      <c r="J25" s="76">
        <v>11.81726833100795</v>
      </c>
      <c r="K25" s="82">
        <v>0.38000714807899194</v>
      </c>
      <c r="L25" s="76">
        <v>5.6732309100188303</v>
      </c>
      <c r="M25" s="76">
        <v>8.7128574696865702</v>
      </c>
      <c r="N25" s="76">
        <v>0.99999120975716949</v>
      </c>
    </row>
    <row r="26" spans="1:14">
      <c r="A26" s="116" t="s">
        <v>244</v>
      </c>
      <c r="B26" s="83">
        <v>16</v>
      </c>
      <c r="C26" s="4">
        <v>141867</v>
      </c>
      <c r="D26" s="76">
        <v>5.0063536188329572</v>
      </c>
      <c r="E26" s="76">
        <v>7.2154419280029902</v>
      </c>
      <c r="F26" s="76">
        <v>8.3373430748517983</v>
      </c>
      <c r="G26" s="76">
        <v>3.7822204600083178</v>
      </c>
      <c r="H26" s="76">
        <v>2.404836924725271</v>
      </c>
      <c r="I26" s="76">
        <v>6.6575786876366108</v>
      </c>
      <c r="J26" s="76">
        <v>12.549831884793504</v>
      </c>
      <c r="K26" s="82">
        <v>0.15548613072398676</v>
      </c>
      <c r="L26" s="76">
        <v>4.3476796929518491</v>
      </c>
      <c r="M26" s="76">
        <v>6.6948431612002786</v>
      </c>
      <c r="N26" s="76">
        <v>1.2789126233764705</v>
      </c>
    </row>
    <row r="27" spans="1:14">
      <c r="A27" s="116" t="s">
        <v>181</v>
      </c>
      <c r="B27" s="83">
        <v>11</v>
      </c>
      <c r="C27" s="4">
        <v>77863</v>
      </c>
      <c r="D27" s="76">
        <v>8.9975440772401161</v>
      </c>
      <c r="E27" s="76">
        <v>8.8037714960892863</v>
      </c>
      <c r="F27" s="76">
        <v>10.736767142288379</v>
      </c>
      <c r="G27" s="76">
        <v>3.7853601839127697</v>
      </c>
      <c r="H27" s="76">
        <v>3.1280197269563206</v>
      </c>
      <c r="I27" s="76">
        <v>13.411574765894636</v>
      </c>
      <c r="J27" s="76">
        <v>20.591130447067286</v>
      </c>
      <c r="K27" s="82">
        <v>0.2195644954049234</v>
      </c>
      <c r="L27" s="76">
        <v>5.1011072334228826</v>
      </c>
      <c r="M27" s="76">
        <v>8.7299066007180706</v>
      </c>
      <c r="N27" s="76">
        <v>2.3524398382645071</v>
      </c>
    </row>
    <row r="28" spans="1:14">
      <c r="A28" s="116" t="s">
        <v>158</v>
      </c>
      <c r="B28" s="83">
        <v>9</v>
      </c>
      <c r="C28" s="4">
        <v>89938</v>
      </c>
      <c r="D28" s="76">
        <v>3.5060255213196392</v>
      </c>
      <c r="E28" s="76">
        <v>4.3853126598323291</v>
      </c>
      <c r="F28" s="76">
        <v>4.7618670639774061</v>
      </c>
      <c r="G28" s="76">
        <v>3.2686572972492161</v>
      </c>
      <c r="H28" s="76">
        <v>3</v>
      </c>
      <c r="I28" s="76">
        <v>4.0545235522896608</v>
      </c>
      <c r="J28" s="76">
        <v>4.6729413596032821</v>
      </c>
      <c r="K28" s="82">
        <v>8.5867173758022108E-2</v>
      </c>
      <c r="L28" s="76">
        <v>3.0167426870237346</v>
      </c>
      <c r="M28" s="76">
        <v>7.5753420916068066</v>
      </c>
      <c r="N28" s="76">
        <v>1.843568329952866</v>
      </c>
    </row>
    <row r="29" spans="1:14">
      <c r="A29" s="116" t="s">
        <v>173</v>
      </c>
      <c r="B29" s="83">
        <v>11</v>
      </c>
      <c r="C29" s="4">
        <v>116412</v>
      </c>
      <c r="D29" s="76">
        <v>11.960988126778529</v>
      </c>
      <c r="E29" s="76">
        <v>13.51868939628217</v>
      </c>
      <c r="F29" s="76">
        <v>14.952327337387899</v>
      </c>
      <c r="G29" s="76">
        <v>4.0032642682884925</v>
      </c>
      <c r="H29" s="76">
        <v>3.0878088169604507</v>
      </c>
      <c r="I29" s="76">
        <v>14.217477872923476</v>
      </c>
      <c r="J29" s="76">
        <v>12.073793852867402</v>
      </c>
      <c r="K29" s="82">
        <v>0.10604858940689921</v>
      </c>
      <c r="L29" s="76">
        <v>4.7151443878217689</v>
      </c>
      <c r="M29" s="76">
        <v>5.2401560172481378</v>
      </c>
      <c r="N29" s="76">
        <v>1.7113639686810074</v>
      </c>
    </row>
    <row r="30" spans="1:14">
      <c r="A30" s="116" t="s">
        <v>274</v>
      </c>
      <c r="B30" s="83">
        <v>2</v>
      </c>
      <c r="C30" s="4">
        <v>25220</v>
      </c>
      <c r="D30" s="76">
        <v>6.9850000000000003</v>
      </c>
      <c r="E30" s="76">
        <v>7.2542307692307695</v>
      </c>
      <c r="F30" s="76">
        <v>8.213461538461539</v>
      </c>
      <c r="G30" s="76">
        <v>3.6538461538461537</v>
      </c>
      <c r="H30" s="76">
        <v>2.8269230769230771</v>
      </c>
      <c r="I30" s="76">
        <v>7.3957148724307684</v>
      </c>
      <c r="J30" s="76">
        <v>10.328846153846154</v>
      </c>
      <c r="K30" s="82">
        <v>0.13223052860399775</v>
      </c>
      <c r="L30" s="76">
        <v>6</v>
      </c>
      <c r="M30" s="76">
        <v>5.09</v>
      </c>
      <c r="N30" s="76" t="e">
        <v>#DIV/0!</v>
      </c>
    </row>
    <row r="31" spans="1:14">
      <c r="A31" s="116" t="s">
        <v>177</v>
      </c>
      <c r="B31" s="83">
        <v>4</v>
      </c>
      <c r="C31" s="4">
        <v>33814</v>
      </c>
      <c r="D31" s="76">
        <v>8.9599573577922591</v>
      </c>
      <c r="E31" s="76">
        <v>8.8063494410599166</v>
      </c>
      <c r="F31" s="76">
        <v>10.006402673448868</v>
      </c>
      <c r="G31" s="76">
        <v>3.1919323357189331</v>
      </c>
      <c r="H31" s="76">
        <v>2.3973502099722008</v>
      </c>
      <c r="I31" s="76">
        <v>2.8014425167999288</v>
      </c>
      <c r="J31" s="76">
        <v>5.2301035074229612</v>
      </c>
      <c r="K31" s="82">
        <v>0.13627136197817236</v>
      </c>
      <c r="L31" s="76">
        <v>2.3805366957646297</v>
      </c>
      <c r="M31" s="76">
        <v>3.2476931781441967</v>
      </c>
      <c r="N31" s="76">
        <v>0.99996873604287617</v>
      </c>
    </row>
    <row r="32" spans="1:14">
      <c r="A32" s="2" t="s">
        <v>746</v>
      </c>
      <c r="B32" s="83">
        <v>15</v>
      </c>
      <c r="C32" s="4">
        <v>976410</v>
      </c>
      <c r="D32" s="76">
        <v>7.058771074104258</v>
      </c>
      <c r="E32" s="76">
        <v>7.9889294558638282</v>
      </c>
      <c r="F32" s="76">
        <v>8.8593429297119055</v>
      </c>
      <c r="G32" s="76">
        <v>3.4974600833666187</v>
      </c>
      <c r="H32" s="76">
        <v>2.8459888776231295</v>
      </c>
      <c r="I32" s="76">
        <v>7.0282208950758758</v>
      </c>
      <c r="J32" s="76">
        <v>9.4820466556057408</v>
      </c>
      <c r="K32" s="82">
        <v>0.10895245460068481</v>
      </c>
      <c r="L32" s="76">
        <v>5.3029462632843964</v>
      </c>
      <c r="M32" s="76">
        <v>5.123245921359648</v>
      </c>
      <c r="N32" s="76">
        <v>2.0293455070328417</v>
      </c>
    </row>
    <row r="33" spans="1:16">
      <c r="A33" s="116" t="s">
        <v>153</v>
      </c>
      <c r="B33" s="83">
        <v>4</v>
      </c>
      <c r="C33" s="4">
        <v>266596</v>
      </c>
      <c r="D33" s="76">
        <v>6.9401693133881395</v>
      </c>
      <c r="E33" s="76">
        <v>7.5797964710648316</v>
      </c>
      <c r="F33" s="76">
        <v>7.7249536752239347</v>
      </c>
      <c r="G33" s="76">
        <v>3.9126393494275984</v>
      </c>
      <c r="H33" s="76">
        <v>3.2184578913412056</v>
      </c>
      <c r="I33" s="76">
        <v>6.5121218194746584</v>
      </c>
      <c r="J33" s="76">
        <v>7.6526559850860485</v>
      </c>
      <c r="K33" s="82">
        <v>1.9150541140943167E-2</v>
      </c>
      <c r="L33" s="76">
        <v>3.927063436211923</v>
      </c>
      <c r="M33" s="76">
        <v>2.5751440132703327</v>
      </c>
      <c r="N33" s="76">
        <v>2.8565074783008551</v>
      </c>
    </row>
    <row r="34" spans="1:16">
      <c r="A34" s="116" t="s">
        <v>144</v>
      </c>
      <c r="B34" s="83">
        <v>2</v>
      </c>
      <c r="C34" s="4">
        <v>131285</v>
      </c>
      <c r="D34" s="76">
        <v>7.6140760939939822</v>
      </c>
      <c r="E34" s="76">
        <v>6.9977717180180523</v>
      </c>
      <c r="F34" s="76">
        <v>8.1594081578245792</v>
      </c>
      <c r="G34" s="76">
        <v>3.3991545111779717</v>
      </c>
      <c r="H34" s="76">
        <v>3</v>
      </c>
      <c r="I34" s="76">
        <v>3.8090433604700369</v>
      </c>
      <c r="J34" s="76">
        <v>14.48532657957878</v>
      </c>
      <c r="K34" s="82">
        <v>0.16600090523323496</v>
      </c>
      <c r="L34" s="76" t="e">
        <v>#DIV/0!</v>
      </c>
      <c r="M34" s="76" t="e">
        <v>#DIV/0!</v>
      </c>
      <c r="N34" s="76">
        <v>1.2595275266496384</v>
      </c>
    </row>
    <row r="35" spans="1:16">
      <c r="A35" s="116" t="s">
        <v>185</v>
      </c>
      <c r="B35" s="83">
        <v>1</v>
      </c>
      <c r="C35" s="4">
        <v>80000</v>
      </c>
      <c r="D35" s="76">
        <v>3.46</v>
      </c>
      <c r="E35" s="76">
        <v>3.71</v>
      </c>
      <c r="F35" s="76">
        <v>4.5</v>
      </c>
      <c r="G35" s="76">
        <v>4</v>
      </c>
      <c r="H35" s="76">
        <v>3</v>
      </c>
      <c r="I35" s="76">
        <v>20.939137399300002</v>
      </c>
      <c r="J35" s="76">
        <v>8</v>
      </c>
      <c r="K35" s="82">
        <v>0.21293800539083563</v>
      </c>
      <c r="L35" s="76" t="e">
        <v>#DIV/0!</v>
      </c>
      <c r="M35" s="76" t="e">
        <v>#DIV/0!</v>
      </c>
      <c r="N35" s="76" t="e">
        <v>#DIV/0!</v>
      </c>
    </row>
    <row r="36" spans="1:16">
      <c r="A36" s="116" t="s">
        <v>244</v>
      </c>
      <c r="B36" s="83">
        <v>1</v>
      </c>
      <c r="C36" s="4">
        <v>50545</v>
      </c>
      <c r="D36" s="76" t="e">
        <v>#DIV/0!</v>
      </c>
      <c r="E36" s="76">
        <v>5.15</v>
      </c>
      <c r="F36" s="76">
        <v>6.4</v>
      </c>
      <c r="G36" s="76">
        <v>4</v>
      </c>
      <c r="H36" s="76">
        <v>3</v>
      </c>
      <c r="I36" s="76">
        <v>8.1956890288000004</v>
      </c>
      <c r="J36" s="76">
        <v>13.6</v>
      </c>
      <c r="K36" s="82">
        <v>0.24271844660194164</v>
      </c>
      <c r="L36" s="76">
        <v>14</v>
      </c>
      <c r="M36" s="76">
        <v>8.09</v>
      </c>
      <c r="N36" s="76" t="e">
        <v>#DIV/0!</v>
      </c>
      <c r="O36" s="76"/>
    </row>
    <row r="37" spans="1:16">
      <c r="A37" s="116" t="s">
        <v>600</v>
      </c>
      <c r="B37" s="83">
        <v>1</v>
      </c>
      <c r="C37" s="4">
        <v>52896</v>
      </c>
      <c r="D37" s="76" t="e">
        <v>#DIV/0!</v>
      </c>
      <c r="E37" s="76">
        <v>7.8</v>
      </c>
      <c r="F37" s="76">
        <v>8.2799999999999994</v>
      </c>
      <c r="G37" s="76">
        <v>3</v>
      </c>
      <c r="H37" s="76">
        <v>2.5</v>
      </c>
      <c r="I37" s="76">
        <v>11.2768542788</v>
      </c>
      <c r="J37" s="76">
        <v>31.6</v>
      </c>
      <c r="K37" s="82">
        <v>6.1538461538461542E-2</v>
      </c>
      <c r="L37" s="76">
        <v>6</v>
      </c>
      <c r="M37" s="76">
        <v>11.09</v>
      </c>
      <c r="N37" s="76">
        <v>1.5</v>
      </c>
      <c r="O37" s="76"/>
    </row>
    <row r="38" spans="1:16">
      <c r="A38" s="116" t="s">
        <v>158</v>
      </c>
      <c r="B38" s="83">
        <v>1</v>
      </c>
      <c r="C38" s="4">
        <v>74906</v>
      </c>
      <c r="D38" s="76">
        <v>3.75</v>
      </c>
      <c r="E38" s="76">
        <v>4.33</v>
      </c>
      <c r="F38" s="76">
        <v>4.25</v>
      </c>
      <c r="G38" s="76">
        <v>3.5</v>
      </c>
      <c r="H38" s="76">
        <v>3</v>
      </c>
      <c r="I38" s="76">
        <v>8.6821493038999993</v>
      </c>
      <c r="J38" s="76">
        <v>15</v>
      </c>
      <c r="K38" s="82">
        <v>-1.8475750577367167E-2</v>
      </c>
      <c r="L38" s="76">
        <v>4</v>
      </c>
      <c r="M38" s="76">
        <v>5.09</v>
      </c>
      <c r="N38" s="76">
        <v>0.99965289829920168</v>
      </c>
      <c r="O38" s="76"/>
    </row>
    <row r="39" spans="1:16">
      <c r="A39" s="116" t="s">
        <v>173</v>
      </c>
      <c r="B39" s="83">
        <v>3</v>
      </c>
      <c r="C39" s="4">
        <v>160994</v>
      </c>
      <c r="D39" s="76">
        <v>10.415734002509412</v>
      </c>
      <c r="E39" s="76">
        <v>14.555790899039716</v>
      </c>
      <c r="F39" s="76">
        <v>15.947147098649639</v>
      </c>
      <c r="G39" s="76">
        <v>2.6398499322956135</v>
      </c>
      <c r="H39" s="76">
        <v>1.8634234816204331</v>
      </c>
      <c r="I39" s="76">
        <v>7.029116664682757</v>
      </c>
      <c r="J39" s="76">
        <v>7.4162763829707936</v>
      </c>
      <c r="K39" s="82">
        <v>9.5587811700545533E-2</v>
      </c>
      <c r="L39" s="76">
        <v>3.2</v>
      </c>
      <c r="M39" s="76">
        <v>6</v>
      </c>
      <c r="N39" s="76">
        <v>1.0000258064516128</v>
      </c>
      <c r="O39" s="76"/>
    </row>
    <row r="40" spans="1:16">
      <c r="A40" s="116" t="s">
        <v>177</v>
      </c>
      <c r="B40" s="83">
        <v>1</v>
      </c>
      <c r="C40" s="4">
        <v>79188</v>
      </c>
      <c r="D40" s="76">
        <v>8.4</v>
      </c>
      <c r="E40" s="76">
        <v>7.4000000000000012</v>
      </c>
      <c r="F40" s="76">
        <v>9.25</v>
      </c>
      <c r="G40" s="76">
        <v>3</v>
      </c>
      <c r="H40" s="76">
        <v>2</v>
      </c>
      <c r="I40" s="76">
        <v>2.0000002031758801</v>
      </c>
      <c r="J40" s="76">
        <v>0</v>
      </c>
      <c r="K40" s="82">
        <v>0.24999999999999978</v>
      </c>
      <c r="L40" s="76" t="e">
        <v>#DIV/0!</v>
      </c>
      <c r="M40" s="76" t="e">
        <v>#DIV/0!</v>
      </c>
      <c r="N40" s="76" t="e">
        <v>#DIV/0!</v>
      </c>
      <c r="O40" s="76"/>
    </row>
    <row r="41" spans="1:16">
      <c r="A41" s="116" t="s">
        <v>201</v>
      </c>
      <c r="B41" s="83">
        <v>1</v>
      </c>
      <c r="C41" s="4">
        <v>80000</v>
      </c>
      <c r="D41" s="76">
        <v>5.07</v>
      </c>
      <c r="E41" s="76">
        <v>7.97</v>
      </c>
      <c r="F41" s="76">
        <v>9.75</v>
      </c>
      <c r="G41" s="76">
        <v>4</v>
      </c>
      <c r="H41" s="76">
        <v>4</v>
      </c>
      <c r="I41" s="76">
        <v>0</v>
      </c>
      <c r="J41" s="76">
        <v>0</v>
      </c>
      <c r="K41" s="82">
        <v>0.22333751568381444</v>
      </c>
      <c r="L41" s="76" t="e">
        <v>#DIV/0!</v>
      </c>
      <c r="M41" s="76" t="e">
        <v>#DIV/0!</v>
      </c>
      <c r="N41" s="76" t="e">
        <v>#DIV/0!</v>
      </c>
      <c r="O41" s="76"/>
    </row>
    <row r="42" spans="1:16">
      <c r="A42" s="2" t="s">
        <v>747</v>
      </c>
      <c r="B42" s="83">
        <v>9</v>
      </c>
      <c r="C42" s="4">
        <v>1336941</v>
      </c>
      <c r="D42" s="76">
        <v>4.5939644117488703</v>
      </c>
      <c r="E42" s="76">
        <v>5.6944953666616547</v>
      </c>
      <c r="F42" s="76">
        <v>5.8868633619583806</v>
      </c>
      <c r="G42" s="76">
        <v>3.4758104882713594</v>
      </c>
      <c r="H42" s="76">
        <v>2.8885981430743763</v>
      </c>
      <c r="I42" s="76">
        <v>7.6039255070895901</v>
      </c>
      <c r="J42" s="76">
        <v>9.5319731783227546</v>
      </c>
      <c r="K42" s="82">
        <v>3.3781394647002694E-2</v>
      </c>
      <c r="L42" s="76">
        <v>0</v>
      </c>
      <c r="M42" s="76">
        <v>8.0536982316331382</v>
      </c>
      <c r="N42" s="76">
        <v>2.0112896433660792</v>
      </c>
      <c r="O42" s="76"/>
    </row>
    <row r="43" spans="1:16">
      <c r="A43" s="2" t="s">
        <v>1012</v>
      </c>
      <c r="B43" s="83">
        <v>216</v>
      </c>
      <c r="C43" s="4">
        <v>6154252</v>
      </c>
      <c r="D43" s="76">
        <v>5.7789848172567666</v>
      </c>
      <c r="E43" s="76">
        <v>7.071200791095329</v>
      </c>
      <c r="F43" s="76">
        <v>7.9361797191600214</v>
      </c>
      <c r="G43" s="76">
        <v>3.5506150983092666</v>
      </c>
      <c r="H43" s="76">
        <v>2.918491238252837</v>
      </c>
      <c r="I43" s="76">
        <v>8.6441327179602165</v>
      </c>
      <c r="J43" s="76">
        <v>11.953701406279759</v>
      </c>
      <c r="K43" s="82">
        <v>0.12232419268223138</v>
      </c>
      <c r="L43" s="76">
        <v>4.1369065835737286</v>
      </c>
      <c r="M43" s="76">
        <v>6.7139602758206109</v>
      </c>
      <c r="N43" s="76">
        <v>2.0881877346560671</v>
      </c>
      <c r="O43" s="76"/>
    </row>
    <row r="44" spans="1:16">
      <c r="A44" s="2"/>
      <c r="B44" s="83"/>
      <c r="C44" s="4"/>
      <c r="D44" s="76"/>
      <c r="E44" s="76"/>
      <c r="F44" s="76"/>
      <c r="G44" s="76"/>
      <c r="H44" s="76"/>
      <c r="I44" s="76"/>
      <c r="J44" s="76"/>
      <c r="K44" s="76"/>
      <c r="L44" s="76"/>
      <c r="M44" s="82"/>
      <c r="N44" s="82"/>
      <c r="O44" s="76"/>
    </row>
    <row r="45" spans="1:16">
      <c r="A45" s="2"/>
      <c r="B45" s="83"/>
      <c r="C45" s="4"/>
      <c r="D45" s="76"/>
      <c r="E45" s="76"/>
      <c r="F45" s="76"/>
      <c r="G45" s="76"/>
      <c r="H45" s="76"/>
      <c r="I45" s="76"/>
      <c r="J45" s="76"/>
      <c r="K45" s="76"/>
      <c r="L45" s="76"/>
      <c r="M45" s="82"/>
      <c r="N45" s="82"/>
      <c r="O45" s="76"/>
    </row>
    <row r="46" spans="1:16">
      <c r="A46" s="92" t="s">
        <v>1035</v>
      </c>
    </row>
    <row r="47" spans="1:16">
      <c r="A47" s="85" t="s">
        <v>1000</v>
      </c>
      <c r="B47" s="86" t="s">
        <v>2</v>
      </c>
      <c r="C47" s="85" t="s">
        <v>1069</v>
      </c>
      <c r="D47" s="86" t="s">
        <v>1001</v>
      </c>
      <c r="E47" s="86" t="s">
        <v>1002</v>
      </c>
      <c r="F47" s="86" t="s">
        <v>1003</v>
      </c>
      <c r="G47" s="85" t="s">
        <v>1004</v>
      </c>
      <c r="H47" s="85" t="s">
        <v>1005</v>
      </c>
      <c r="I47" s="86" t="s">
        <v>736</v>
      </c>
      <c r="J47" s="86" t="s">
        <v>737</v>
      </c>
      <c r="K47" s="86" t="s">
        <v>1007</v>
      </c>
      <c r="L47" s="86" t="s">
        <v>1008</v>
      </c>
      <c r="M47" s="86" t="s">
        <v>1006</v>
      </c>
      <c r="N47" s="86" t="s">
        <v>65</v>
      </c>
      <c r="O47" s="85" t="s">
        <v>1033</v>
      </c>
      <c r="P47" s="97" t="s">
        <v>1070</v>
      </c>
    </row>
    <row r="48" spans="1:16">
      <c r="A48" s="2" t="s">
        <v>11</v>
      </c>
      <c r="B48" s="83">
        <v>2</v>
      </c>
      <c r="C48" s="4">
        <v>158194</v>
      </c>
      <c r="D48" s="76"/>
      <c r="E48" s="76">
        <v>3.1755550147287508</v>
      </c>
      <c r="F48" s="76">
        <v>3.3202220058915</v>
      </c>
      <c r="G48" s="76">
        <v>3.7639961060470055</v>
      </c>
      <c r="H48" s="76">
        <v>3.7022200589150032</v>
      </c>
      <c r="I48" s="76">
        <v>18.078541642298806</v>
      </c>
      <c r="J48" s="76">
        <v>13.262287823811269</v>
      </c>
      <c r="K48" s="82"/>
      <c r="L48" s="82">
        <v>4.5556443044368455E-2</v>
      </c>
      <c r="M48" s="76">
        <v>0</v>
      </c>
      <c r="N48" s="76">
        <v>5.9833398232549904</v>
      </c>
      <c r="O48" s="76">
        <v>0.98177005828963271</v>
      </c>
      <c r="P48" s="115">
        <f>N48-M48</f>
        <v>5.9833398232549904</v>
      </c>
    </row>
    <row r="49" spans="1:16">
      <c r="A49" s="2" t="s">
        <v>12</v>
      </c>
      <c r="B49" s="83">
        <v>2</v>
      </c>
      <c r="C49" s="4">
        <v>135200</v>
      </c>
      <c r="D49" s="76">
        <v>3.6172189349112425</v>
      </c>
      <c r="E49" s="76">
        <v>3.8923076923076922</v>
      </c>
      <c r="F49" s="76">
        <v>3.9331360946745564</v>
      </c>
      <c r="G49" s="76">
        <v>3</v>
      </c>
      <c r="H49" s="76">
        <v>2.9260355029585798</v>
      </c>
      <c r="I49" s="76">
        <v>12.248640977552663</v>
      </c>
      <c r="J49" s="76">
        <v>17.319526627218934</v>
      </c>
      <c r="K49" s="82">
        <v>8.7337030311953168E-2</v>
      </c>
      <c r="L49" s="82">
        <v>1.0489510489510634E-2</v>
      </c>
      <c r="M49" s="76">
        <v>0</v>
      </c>
      <c r="N49" s="76">
        <v>0</v>
      </c>
      <c r="O49" s="76" t="e">
        <v>#DIV/0!</v>
      </c>
      <c r="P49" s="115">
        <f t="shared" ref="P49:P57" si="0">N49-M49</f>
        <v>0</v>
      </c>
    </row>
    <row r="50" spans="1:16">
      <c r="A50" s="2" t="s">
        <v>13</v>
      </c>
      <c r="B50" s="83">
        <v>4</v>
      </c>
      <c r="C50" s="4">
        <v>148942</v>
      </c>
      <c r="D50" s="76">
        <v>2.77994877454553</v>
      </c>
      <c r="E50" s="76">
        <v>4.9112621020262921</v>
      </c>
      <c r="F50" s="76">
        <v>5.3375534100522346</v>
      </c>
      <c r="G50" s="76">
        <v>3</v>
      </c>
      <c r="H50" s="76">
        <v>1.5916061285601106</v>
      </c>
      <c r="I50" s="76">
        <v>10.842862184643206</v>
      </c>
      <c r="J50" s="76">
        <v>23.850885579621597</v>
      </c>
      <c r="K50" s="82">
        <v>0.33709004574331325</v>
      </c>
      <c r="L50" s="82">
        <v>8.6798728956058557E-2</v>
      </c>
      <c r="M50" s="76">
        <v>3.9336385975748951</v>
      </c>
      <c r="N50" s="76">
        <v>7.2208697345275326</v>
      </c>
      <c r="O50" s="76">
        <v>1.5</v>
      </c>
      <c r="P50" s="115">
        <f t="shared" si="0"/>
        <v>3.2872311369526375</v>
      </c>
    </row>
    <row r="51" spans="1:16">
      <c r="A51" s="2" t="s">
        <v>14</v>
      </c>
      <c r="B51" s="83">
        <v>8</v>
      </c>
      <c r="C51" s="4">
        <v>276579</v>
      </c>
      <c r="D51" s="76">
        <v>4.6488592364234522</v>
      </c>
      <c r="E51" s="76">
        <v>4.310272580347748</v>
      </c>
      <c r="F51" s="76">
        <v>4.8950292683103198</v>
      </c>
      <c r="G51" s="76">
        <v>3.4159381225617276</v>
      </c>
      <c r="H51" s="76">
        <v>2.1902639028993525</v>
      </c>
      <c r="I51" s="76">
        <v>18.166529218791243</v>
      </c>
      <c r="J51" s="76">
        <v>22.668814262832683</v>
      </c>
      <c r="K51" s="82">
        <v>1.9048268045940508E-2</v>
      </c>
      <c r="L51" s="82">
        <v>0.1356658255509664</v>
      </c>
      <c r="M51" s="76">
        <v>1.4097126849366377</v>
      </c>
      <c r="N51" s="76">
        <v>9.6554184093888509</v>
      </c>
      <c r="O51" s="76">
        <v>2.1973804197930176</v>
      </c>
      <c r="P51" s="115">
        <f t="shared" si="0"/>
        <v>8.2457057244522129</v>
      </c>
    </row>
    <row r="52" spans="1:16">
      <c r="A52" s="2" t="s">
        <v>15</v>
      </c>
      <c r="B52" s="83">
        <v>22</v>
      </c>
      <c r="C52" s="4">
        <v>747230</v>
      </c>
      <c r="D52" s="76">
        <v>5.373240091830934</v>
      </c>
      <c r="E52" s="76">
        <v>7.0891806404989097</v>
      </c>
      <c r="F52" s="76">
        <v>8.0471251943845932</v>
      </c>
      <c r="G52" s="76">
        <v>3.5834689453046584</v>
      </c>
      <c r="H52" s="76">
        <v>2.6445886808613146</v>
      </c>
      <c r="I52" s="76">
        <v>7.2539018603571623</v>
      </c>
      <c r="J52" s="76">
        <v>22.182791978373459</v>
      </c>
      <c r="K52" s="82">
        <v>0.50870152309560557</v>
      </c>
      <c r="L52" s="82">
        <v>0.1351276829388659</v>
      </c>
      <c r="M52" s="76">
        <v>2.2616685579164089</v>
      </c>
      <c r="N52" s="76">
        <v>6.33609462590627</v>
      </c>
      <c r="O52" s="76">
        <v>1.5841821526946891</v>
      </c>
      <c r="P52" s="115">
        <f t="shared" si="0"/>
        <v>4.0744260679898616</v>
      </c>
    </row>
    <row r="53" spans="1:16">
      <c r="A53" s="2" t="s">
        <v>17</v>
      </c>
      <c r="B53" s="83">
        <v>18</v>
      </c>
      <c r="C53" s="4">
        <v>449981</v>
      </c>
      <c r="D53" s="76">
        <v>5.0772616679827349</v>
      </c>
      <c r="E53" s="76">
        <v>6.9334917252061752</v>
      </c>
      <c r="F53" s="76">
        <v>7.4879199788435518</v>
      </c>
      <c r="G53" s="76">
        <v>3.834175220731542</v>
      </c>
      <c r="H53" s="76">
        <v>3.323300317124501</v>
      </c>
      <c r="I53" s="76">
        <v>11.916647982396016</v>
      </c>
      <c r="J53" s="76">
        <v>13.929352150424128</v>
      </c>
      <c r="K53" s="82">
        <v>0.30493881987621951</v>
      </c>
      <c r="L53" s="82">
        <v>7.9963786734149389E-2</v>
      </c>
      <c r="M53" s="76">
        <v>5.4498411435698744</v>
      </c>
      <c r="N53" s="76">
        <v>6.4517630853994481</v>
      </c>
      <c r="O53" s="76">
        <v>2.5144479056167519</v>
      </c>
      <c r="P53" s="115">
        <f t="shared" si="0"/>
        <v>1.0019219418295737</v>
      </c>
    </row>
    <row r="54" spans="1:16">
      <c r="A54" s="2" t="s">
        <v>18</v>
      </c>
      <c r="B54" s="83">
        <v>18</v>
      </c>
      <c r="C54" s="4">
        <v>609772</v>
      </c>
      <c r="D54" s="76">
        <v>5.1136800578857837</v>
      </c>
      <c r="E54" s="76">
        <v>6.1611779484791036</v>
      </c>
      <c r="F54" s="76">
        <v>7.3506378941637198</v>
      </c>
      <c r="G54" s="76">
        <v>3.7950783243573007</v>
      </c>
      <c r="H54" s="76">
        <v>3.1366346765676352</v>
      </c>
      <c r="I54" s="76">
        <v>12.051027028056975</v>
      </c>
      <c r="J54" s="76">
        <v>13.14521855710003</v>
      </c>
      <c r="K54" s="82">
        <v>0.43444021434202584</v>
      </c>
      <c r="L54" s="82">
        <v>0.19305722958030058</v>
      </c>
      <c r="M54" s="76">
        <v>3.9284750759645939</v>
      </c>
      <c r="N54" s="76">
        <v>4.9261024426875819</v>
      </c>
      <c r="O54" s="76">
        <v>2.2234201394141992</v>
      </c>
      <c r="P54" s="115">
        <f t="shared" si="0"/>
        <v>0.99762736672298802</v>
      </c>
    </row>
    <row r="55" spans="1:16">
      <c r="A55" s="2" t="s">
        <v>19</v>
      </c>
      <c r="B55" s="83">
        <v>18</v>
      </c>
      <c r="C55" s="4">
        <v>692409</v>
      </c>
      <c r="D55" s="76">
        <v>5.0457697980256784</v>
      </c>
      <c r="E55" s="76">
        <v>6.6707200368568289</v>
      </c>
      <c r="F55" s="76">
        <v>7.182453795372389</v>
      </c>
      <c r="G55" s="76">
        <v>3.5041264628276063</v>
      </c>
      <c r="H55" s="76">
        <v>2.9696981119540617</v>
      </c>
      <c r="I55" s="76">
        <v>8.0578286622378492</v>
      </c>
      <c r="J55" s="76">
        <v>10.440349485636379</v>
      </c>
      <c r="K55" s="82">
        <v>0.34115162988622383</v>
      </c>
      <c r="L55" s="82">
        <v>7.6713421592893516E-2</v>
      </c>
      <c r="M55" s="76">
        <v>3.8901310727163381</v>
      </c>
      <c r="N55" s="76">
        <v>4.8150120935655929</v>
      </c>
      <c r="O55" s="76">
        <v>2.6900617349537184</v>
      </c>
      <c r="P55" s="115">
        <f t="shared" si="0"/>
        <v>0.92488102084925483</v>
      </c>
    </row>
    <row r="56" spans="1:16">
      <c r="A56" s="2" t="s">
        <v>20</v>
      </c>
      <c r="B56" s="83">
        <v>19</v>
      </c>
      <c r="C56" s="4">
        <v>352302</v>
      </c>
      <c r="D56" s="76">
        <v>5.1640449835786235</v>
      </c>
      <c r="E56" s="76">
        <v>6.5501921362921589</v>
      </c>
      <c r="F56" s="76">
        <v>8.3091254094498463</v>
      </c>
      <c r="G56" s="76">
        <v>3.0210203177955277</v>
      </c>
      <c r="H56" s="76">
        <v>3.0521484408263366</v>
      </c>
      <c r="I56" s="76">
        <v>7.0115633188362176</v>
      </c>
      <c r="J56" s="76">
        <v>18.838343466684833</v>
      </c>
      <c r="K56" s="82">
        <v>0.39118881408339168</v>
      </c>
      <c r="L56" s="82">
        <v>0.2685315539695543</v>
      </c>
      <c r="M56" s="76">
        <v>5.0639400709298297</v>
      </c>
      <c r="N56" s="76">
        <v>6.5580585724081484</v>
      </c>
      <c r="O56" s="76">
        <v>1.6033626838716195</v>
      </c>
      <c r="P56" s="115">
        <f t="shared" si="0"/>
        <v>1.4941185014783187</v>
      </c>
    </row>
    <row r="57" spans="1:16">
      <c r="A57" s="87" t="s">
        <v>1012</v>
      </c>
      <c r="B57" s="88">
        <v>111</v>
      </c>
      <c r="C57" s="89">
        <v>3570609</v>
      </c>
      <c r="D57" s="90">
        <v>4.9746966702253763</v>
      </c>
      <c r="E57" s="90">
        <v>6.176210276734305</v>
      </c>
      <c r="F57" s="90">
        <v>6.9934996464188606</v>
      </c>
      <c r="G57" s="90">
        <v>3.5289102083146036</v>
      </c>
      <c r="H57" s="90">
        <v>2.8958087261864849</v>
      </c>
      <c r="I57" s="90">
        <v>10.456437297786966</v>
      </c>
      <c r="J57" s="90">
        <v>16.52006328248207</v>
      </c>
      <c r="K57" s="91">
        <v>0.36682131960228226</v>
      </c>
      <c r="L57" s="91">
        <v>0.13232861788454198</v>
      </c>
      <c r="M57" s="90">
        <v>3.0397770847438457</v>
      </c>
      <c r="N57" s="90">
        <v>5.9653665918937246</v>
      </c>
      <c r="O57" s="90">
        <v>2.1440973804732093</v>
      </c>
      <c r="P57" s="115">
        <f t="shared" si="0"/>
        <v>2.925589507149879</v>
      </c>
    </row>
    <row r="59" spans="1:16">
      <c r="A59" s="92" t="s">
        <v>1071</v>
      </c>
      <c r="B59" s="92" t="s">
        <v>989</v>
      </c>
      <c r="C59" s="92" t="s">
        <v>990</v>
      </c>
      <c r="D59" s="92"/>
      <c r="E59" s="92"/>
      <c r="F59" s="92"/>
      <c r="G59" s="92"/>
    </row>
    <row r="60" spans="1:16">
      <c r="A60" s="2" t="s">
        <v>11</v>
      </c>
      <c r="B60" s="77"/>
      <c r="C60" s="83"/>
      <c r="D60" s="77"/>
      <c r="E60" s="83"/>
    </row>
    <row r="61" spans="1:16">
      <c r="A61" s="2" t="s">
        <v>12</v>
      </c>
      <c r="B61" s="77">
        <v>8.882521489971329E-2</v>
      </c>
      <c r="C61" s="93">
        <v>8.0459770114942764E-2</v>
      </c>
      <c r="D61" s="77"/>
      <c r="E61" s="93"/>
    </row>
    <row r="62" spans="1:16">
      <c r="A62" s="2" t="s">
        <v>13</v>
      </c>
      <c r="B62" s="77">
        <v>0.33709004574331303</v>
      </c>
      <c r="D62" s="77"/>
      <c r="E62" s="77"/>
    </row>
    <row r="63" spans="1:16">
      <c r="A63" s="2" t="s">
        <v>14</v>
      </c>
      <c r="B63" s="77">
        <v>1.057092814792937E-2</v>
      </c>
      <c r="C63" s="93">
        <v>6.7847312062248921E-2</v>
      </c>
      <c r="D63" s="77"/>
      <c r="E63" s="93"/>
    </row>
    <row r="64" spans="1:16">
      <c r="A64" s="2" t="s">
        <v>15</v>
      </c>
      <c r="B64" s="77">
        <v>0.55459317197829261</v>
      </c>
      <c r="C64" s="93">
        <v>0.48883446117358309</v>
      </c>
      <c r="D64" s="77"/>
      <c r="E64" s="93"/>
    </row>
    <row r="65" spans="1:10">
      <c r="A65" s="2" t="s">
        <v>17</v>
      </c>
      <c r="B65" s="77">
        <v>0.45413491764224645</v>
      </c>
      <c r="C65" s="93">
        <v>0.23165826499926512</v>
      </c>
      <c r="D65" s="77"/>
      <c r="E65" s="77"/>
      <c r="G65" s="93"/>
    </row>
    <row r="66" spans="1:10">
      <c r="A66" s="2" t="s">
        <v>18</v>
      </c>
      <c r="B66" s="77">
        <v>0.39708603808687237</v>
      </c>
      <c r="C66" s="93">
        <v>0.46624956309869381</v>
      </c>
      <c r="D66" s="77"/>
      <c r="E66" s="77"/>
      <c r="F66" s="12"/>
      <c r="G66" s="93"/>
    </row>
    <row r="67" spans="1:10">
      <c r="A67" s="2" t="s">
        <v>19</v>
      </c>
      <c r="B67" s="77">
        <v>0.3543160145416413</v>
      </c>
      <c r="C67" s="93">
        <v>0.33</v>
      </c>
      <c r="D67" s="77"/>
      <c r="E67" s="77"/>
      <c r="G67" s="93"/>
    </row>
    <row r="68" spans="1:10">
      <c r="A68" s="2" t="s">
        <v>20</v>
      </c>
      <c r="B68" s="77">
        <v>0.40241843817539791</v>
      </c>
      <c r="C68" s="93">
        <v>0.38548409693420482</v>
      </c>
      <c r="D68" s="77"/>
      <c r="E68" s="77"/>
      <c r="G68" s="93"/>
    </row>
    <row r="69" spans="1:10">
      <c r="A69" s="87" t="s">
        <v>1012</v>
      </c>
      <c r="B69" s="77">
        <v>0.33671237124162512</v>
      </c>
      <c r="C69" s="93">
        <v>0.39</v>
      </c>
      <c r="D69" s="77"/>
      <c r="E69" s="77"/>
      <c r="G69" s="77"/>
    </row>
    <row r="70" spans="1:10">
      <c r="A70" s="6"/>
    </row>
    <row r="71" spans="1:10">
      <c r="A71" s="92"/>
      <c r="B71" s="92"/>
      <c r="C71" s="92"/>
    </row>
    <row r="72" spans="1:10">
      <c r="A72" s="92" t="s">
        <v>1072</v>
      </c>
      <c r="B72" s="77"/>
      <c r="C72" s="83"/>
    </row>
    <row r="73" spans="1:10">
      <c r="A73" s="117" t="s">
        <v>11</v>
      </c>
      <c r="B73" s="117" t="s">
        <v>12</v>
      </c>
      <c r="C73" s="117" t="s">
        <v>13</v>
      </c>
      <c r="D73" s="117" t="s">
        <v>14</v>
      </c>
      <c r="E73" s="117" t="s">
        <v>15</v>
      </c>
      <c r="F73" s="117" t="s">
        <v>17</v>
      </c>
      <c r="G73" s="117" t="s">
        <v>18</v>
      </c>
      <c r="H73" s="117" t="s">
        <v>19</v>
      </c>
      <c r="I73" s="117" t="s">
        <v>20</v>
      </c>
      <c r="J73" s="117" t="s">
        <v>1012</v>
      </c>
    </row>
    <row r="74" spans="1:10">
      <c r="A74" s="118">
        <v>2</v>
      </c>
      <c r="B74" s="118">
        <v>1</v>
      </c>
      <c r="C74" s="118">
        <v>4</v>
      </c>
      <c r="D74" s="118">
        <v>6</v>
      </c>
      <c r="E74" s="118">
        <v>12</v>
      </c>
      <c r="F74" s="118">
        <v>9</v>
      </c>
      <c r="G74" s="118">
        <v>11</v>
      </c>
      <c r="H74" s="118">
        <v>10</v>
      </c>
      <c r="I74" s="118">
        <v>7</v>
      </c>
      <c r="J74" s="118">
        <v>62</v>
      </c>
    </row>
    <row r="75" spans="1:10">
      <c r="A75" s="2"/>
      <c r="B75" s="77"/>
      <c r="C75" s="93"/>
    </row>
    <row r="76" spans="1:10">
      <c r="A76" s="92" t="s">
        <v>1073</v>
      </c>
      <c r="B76" s="77"/>
      <c r="C76" s="93"/>
    </row>
    <row r="77" spans="1:10">
      <c r="B77" s="77" t="s">
        <v>7</v>
      </c>
      <c r="C77" s="93" t="s">
        <v>10</v>
      </c>
      <c r="D77" t="s">
        <v>985</v>
      </c>
      <c r="E77" t="s">
        <v>986</v>
      </c>
      <c r="F77" t="s">
        <v>1074</v>
      </c>
    </row>
    <row r="78" spans="1:10">
      <c r="A78" s="2" t="s">
        <v>11</v>
      </c>
      <c r="B78" s="76">
        <v>0</v>
      </c>
      <c r="C78" s="93"/>
      <c r="D78" s="76">
        <v>5.9833398232549904</v>
      </c>
      <c r="F78" s="115">
        <f>D78-B78</f>
        <v>5.9833398232549904</v>
      </c>
    </row>
    <row r="79" spans="1:10">
      <c r="A79" s="2" t="s">
        <v>12</v>
      </c>
      <c r="B79" s="76">
        <v>0</v>
      </c>
      <c r="C79" s="93"/>
      <c r="D79" s="76">
        <v>0</v>
      </c>
      <c r="F79" s="115">
        <f t="shared" ref="F79:F87" si="1">D79-B79</f>
        <v>0</v>
      </c>
    </row>
    <row r="80" spans="1:10">
      <c r="A80" s="2" t="s">
        <v>13</v>
      </c>
      <c r="B80" s="76">
        <v>3.9336385975748951</v>
      </c>
      <c r="C80" s="93"/>
      <c r="D80" s="76">
        <v>7.2208697345275326</v>
      </c>
      <c r="F80" s="115">
        <f t="shared" si="1"/>
        <v>3.2872311369526375</v>
      </c>
    </row>
    <row r="81" spans="1:6">
      <c r="A81" s="2" t="s">
        <v>14</v>
      </c>
      <c r="B81" s="76">
        <v>1.4097126849366377</v>
      </c>
      <c r="C81" s="93"/>
      <c r="D81" s="76">
        <v>9.6554184093888509</v>
      </c>
      <c r="F81" s="115">
        <f t="shared" si="1"/>
        <v>8.2457057244522129</v>
      </c>
    </row>
    <row r="82" spans="1:6">
      <c r="A82" s="2" t="s">
        <v>15</v>
      </c>
      <c r="B82" s="76">
        <v>2.2616685579164089</v>
      </c>
      <c r="C82" s="93"/>
      <c r="D82" s="76">
        <v>6.3360946259062709</v>
      </c>
      <c r="F82" s="115">
        <f t="shared" si="1"/>
        <v>4.0744260679898616</v>
      </c>
    </row>
    <row r="83" spans="1:6">
      <c r="A83" s="2" t="s">
        <v>17</v>
      </c>
      <c r="B83" s="76">
        <v>6.0481453647866754</v>
      </c>
      <c r="C83" s="76">
        <v>3</v>
      </c>
      <c r="D83" s="76">
        <v>5.8294284876367835</v>
      </c>
      <c r="E83" s="76">
        <v>9</v>
      </c>
      <c r="F83" s="115">
        <f t="shared" si="1"/>
        <v>-0.21871687714989196</v>
      </c>
    </row>
    <row r="84" spans="1:6">
      <c r="A84" s="2" t="s">
        <v>18</v>
      </c>
      <c r="B84" s="76">
        <v>5.4323061450785222</v>
      </c>
      <c r="C84" s="76">
        <v>0.81786662968454971</v>
      </c>
      <c r="D84" s="76">
        <v>4.1681247582454422</v>
      </c>
      <c r="E84" s="76">
        <v>6.4939459563255424</v>
      </c>
      <c r="F84" s="115">
        <f t="shared" si="1"/>
        <v>-1.26418138683308</v>
      </c>
    </row>
    <row r="85" spans="1:6">
      <c r="A85" s="2" t="s">
        <v>19</v>
      </c>
      <c r="B85" s="76">
        <v>4.2368957473784494</v>
      </c>
      <c r="C85" s="76">
        <v>6</v>
      </c>
      <c r="D85" s="76">
        <v>4.5790006934764182</v>
      </c>
      <c r="E85" s="76">
        <v>6</v>
      </c>
      <c r="F85" s="115">
        <f t="shared" si="1"/>
        <v>0.34210494609796882</v>
      </c>
    </row>
    <row r="86" spans="1:6">
      <c r="A86" s="2" t="s">
        <v>20</v>
      </c>
      <c r="B86" s="76">
        <v>2.3880847746912335</v>
      </c>
      <c r="C86" s="76">
        <v>8.3163775360188179</v>
      </c>
      <c r="D86" s="76">
        <v>7.0171862274724823</v>
      </c>
      <c r="E86" s="76">
        <v>6</v>
      </c>
      <c r="F86" s="115">
        <f t="shared" si="1"/>
        <v>4.6291014527812493</v>
      </c>
    </row>
    <row r="87" spans="1:6">
      <c r="A87" s="87" t="s">
        <v>1012</v>
      </c>
      <c r="B87" s="90">
        <v>2.9834892169105531</v>
      </c>
      <c r="C87" s="90">
        <v>4.06871169730882</v>
      </c>
      <c r="D87" s="90">
        <v>5.888010436144719</v>
      </c>
      <c r="E87" s="90">
        <v>6.6920213828936852</v>
      </c>
      <c r="F87" s="90">
        <f t="shared" si="1"/>
        <v>2.9045212192341658</v>
      </c>
    </row>
    <row r="88" spans="1:6">
      <c r="A88" s="74"/>
    </row>
    <row r="89" spans="1:6">
      <c r="A89" s="74"/>
    </row>
    <row r="91" spans="1:6">
      <c r="A91" s="2"/>
      <c r="B91" s="76"/>
      <c r="C91" s="76"/>
      <c r="D91" s="76"/>
    </row>
    <row r="92" spans="1:6">
      <c r="A92" s="2"/>
      <c r="B92" s="76"/>
      <c r="C92" s="76"/>
      <c r="D92" s="76"/>
    </row>
    <row r="93" spans="1:6">
      <c r="A93" s="2"/>
      <c r="B93" s="76"/>
      <c r="C93" s="76"/>
      <c r="D93" s="76"/>
    </row>
    <row r="94" spans="1:6">
      <c r="A94" s="2"/>
      <c r="B94" s="76"/>
      <c r="C94" s="76"/>
      <c r="D94" s="76"/>
    </row>
    <row r="95" spans="1:6">
      <c r="A95" s="2"/>
      <c r="B95" s="76"/>
      <c r="C95" s="76"/>
      <c r="D95" s="76"/>
    </row>
    <row r="96" spans="1:6">
      <c r="A96" s="2"/>
      <c r="B96" s="76"/>
      <c r="C96" s="76"/>
      <c r="D96" s="76"/>
    </row>
    <row r="97" spans="1:4">
      <c r="A97" s="2"/>
      <c r="B97" s="76"/>
      <c r="C97" s="76"/>
      <c r="D97" s="76"/>
    </row>
    <row r="98" spans="1:4">
      <c r="A98" s="2"/>
      <c r="B98" s="76"/>
      <c r="C98" s="76"/>
      <c r="D98" s="76"/>
    </row>
    <row r="99" spans="1:4">
      <c r="A99" s="2"/>
      <c r="B99" s="76"/>
      <c r="C99" s="76"/>
      <c r="D99" s="76"/>
    </row>
    <row r="100" spans="1:4">
      <c r="A100" s="99"/>
      <c r="B100" s="100"/>
      <c r="C100" s="100"/>
      <c r="D100" s="100"/>
    </row>
    <row r="102" spans="1:4">
      <c r="A102" s="74"/>
    </row>
    <row r="104" spans="1:4">
      <c r="A104" s="2"/>
      <c r="B104" s="76"/>
      <c r="C104" s="76"/>
      <c r="D104" s="76"/>
    </row>
    <row r="105" spans="1:4">
      <c r="A105" s="2"/>
      <c r="B105" s="76"/>
      <c r="C105" s="76"/>
      <c r="D105" s="76"/>
    </row>
    <row r="106" spans="1:4">
      <c r="A106" s="2"/>
      <c r="B106" s="76"/>
      <c r="C106" s="76"/>
      <c r="D106" s="76"/>
    </row>
    <row r="107" spans="1:4">
      <c r="A107" s="2"/>
      <c r="B107" s="76"/>
      <c r="C107" s="76"/>
      <c r="D107" s="76"/>
    </row>
    <row r="108" spans="1:4">
      <c r="A108" s="99"/>
      <c r="B108" s="100"/>
      <c r="C108" s="100"/>
      <c r="D108" s="100"/>
    </row>
    <row r="115" spans="1:22">
      <c r="B115" t="s">
        <v>64</v>
      </c>
      <c r="C115" t="s">
        <v>65</v>
      </c>
      <c r="D115" t="s">
        <v>90</v>
      </c>
      <c r="E115" t="s">
        <v>730</v>
      </c>
      <c r="P115" s="2"/>
      <c r="Q115" s="2"/>
      <c r="R115" s="2"/>
      <c r="S115" s="2"/>
      <c r="T115" s="2"/>
      <c r="U115" s="2"/>
      <c r="V115" s="2"/>
    </row>
    <row r="116" spans="1:22">
      <c r="A116" t="s">
        <v>1075</v>
      </c>
      <c r="B116" s="121">
        <f>B87</f>
        <v>2.9834892169105531</v>
      </c>
      <c r="C116" s="121">
        <f>D87</f>
        <v>5.888010436144719</v>
      </c>
      <c r="D116" s="4">
        <v>2811005</v>
      </c>
      <c r="E116">
        <v>89</v>
      </c>
      <c r="P116" s="83"/>
      <c r="Q116" s="83"/>
      <c r="R116" s="83"/>
      <c r="S116" s="83"/>
      <c r="T116" s="83"/>
      <c r="U116" s="83"/>
      <c r="V116" s="83"/>
    </row>
    <row r="117" spans="1:22">
      <c r="A117" t="s">
        <v>1076</v>
      </c>
      <c r="B117" s="122">
        <v>5.57</v>
      </c>
      <c r="C117" s="122">
        <v>8.41</v>
      </c>
      <c r="D117" s="123">
        <v>440447</v>
      </c>
      <c r="E117" s="98">
        <v>18</v>
      </c>
    </row>
    <row r="118" spans="1:22">
      <c r="A118" t="s">
        <v>1077</v>
      </c>
      <c r="B118" s="121">
        <f>SUMPRODUCT(B116:B117,D116:D117)/SUM(D116:D117)</f>
        <v>3.3338621933159862</v>
      </c>
      <c r="C118" s="121">
        <f>SUMPRODUCT(C116:C117,D116:D117)/SUM(D116:D117)</f>
        <v>6.2296432627807468</v>
      </c>
      <c r="D118" s="4">
        <f>D116+D117</f>
        <v>3251452</v>
      </c>
      <c r="E118">
        <f>E116+E117</f>
        <v>107</v>
      </c>
    </row>
    <row r="132" spans="1:10">
      <c r="A132" s="75" t="s">
        <v>11</v>
      </c>
      <c r="B132" s="75" t="s">
        <v>12</v>
      </c>
      <c r="C132" s="75" t="s">
        <v>13</v>
      </c>
      <c r="D132" s="75" t="s">
        <v>14</v>
      </c>
      <c r="E132" s="75" t="s">
        <v>15</v>
      </c>
      <c r="F132" s="75" t="s">
        <v>17</v>
      </c>
      <c r="G132" s="75" t="s">
        <v>18</v>
      </c>
      <c r="H132" s="75" t="s">
        <v>19</v>
      </c>
      <c r="I132" s="75" t="s">
        <v>20</v>
      </c>
      <c r="J132" s="117" t="s">
        <v>1012</v>
      </c>
    </row>
    <row r="133" spans="1:10">
      <c r="A133" s="124">
        <v>2</v>
      </c>
      <c r="B133" s="124">
        <v>1</v>
      </c>
      <c r="C133" s="124">
        <v>4</v>
      </c>
      <c r="D133" s="124">
        <v>6</v>
      </c>
      <c r="E133" s="124">
        <v>12</v>
      </c>
      <c r="F133" s="124">
        <v>8</v>
      </c>
      <c r="G133" s="124">
        <v>7</v>
      </c>
      <c r="H133" s="124">
        <v>9</v>
      </c>
      <c r="I133" s="124">
        <v>5</v>
      </c>
      <c r="J133" s="118">
        <v>54</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C56E-7659-4881-A2AC-4649B2634DE5}">
  <sheetPr>
    <tabColor theme="0" tint="-0.499984740745262"/>
  </sheetPr>
  <dimension ref="A3:F19"/>
  <sheetViews>
    <sheetView zoomScale="110" zoomScaleNormal="110" workbookViewId="0">
      <selection activeCell="J77" sqref="J77"/>
    </sheetView>
  </sheetViews>
  <sheetFormatPr defaultColWidth="8.875" defaultRowHeight="13.9"/>
  <cols>
    <col min="1" max="1" width="17.5" bestFit="1" customWidth="1"/>
    <col min="2" max="3" width="11.625" bestFit="1" customWidth="1"/>
    <col min="4" max="4" width="25.5" bestFit="1" customWidth="1"/>
  </cols>
  <sheetData>
    <row r="3" spans="1:2">
      <c r="A3" s="1" t="s">
        <v>1000</v>
      </c>
      <c r="B3" t="s">
        <v>1078</v>
      </c>
    </row>
    <row r="4" spans="1:2">
      <c r="A4" s="2" t="s">
        <v>221</v>
      </c>
      <c r="B4" s="12">
        <v>2.5569792451785433E-3</v>
      </c>
    </row>
    <row r="5" spans="1:2">
      <c r="A5" s="2" t="s">
        <v>600</v>
      </c>
      <c r="B5" s="12">
        <v>5.0733753147001719E-3</v>
      </c>
    </row>
    <row r="6" spans="1:2">
      <c r="A6" s="2" t="s">
        <v>177</v>
      </c>
      <c r="B6" s="12">
        <v>1.3513803733397384E-2</v>
      </c>
    </row>
    <row r="7" spans="1:2">
      <c r="A7" s="2" t="s">
        <v>201</v>
      </c>
      <c r="B7" s="12">
        <v>1.6744226901028784E-2</v>
      </c>
    </row>
    <row r="8" spans="1:2">
      <c r="A8" s="2" t="s">
        <v>214</v>
      </c>
      <c r="B8" s="12">
        <v>1.8846176443706366E-2</v>
      </c>
    </row>
    <row r="9" spans="1:2">
      <c r="A9" s="2" t="s">
        <v>207</v>
      </c>
      <c r="B9" s="12">
        <v>2.4506349527786558E-2</v>
      </c>
    </row>
    <row r="10" spans="1:2">
      <c r="A10" s="2" t="s">
        <v>274</v>
      </c>
      <c r="B10" s="12">
        <v>2.9194332414464983E-2</v>
      </c>
    </row>
    <row r="11" spans="1:2">
      <c r="A11" s="2" t="s">
        <v>185</v>
      </c>
      <c r="B11" s="12">
        <v>3.2176779465040245E-2</v>
      </c>
    </row>
    <row r="12" spans="1:2">
      <c r="A12" s="2" t="s">
        <v>158</v>
      </c>
      <c r="B12" s="12">
        <v>3.2503699196678837E-2</v>
      </c>
    </row>
    <row r="13" spans="1:2">
      <c r="A13" s="2" t="s">
        <v>474</v>
      </c>
      <c r="B13" s="12">
        <v>5.3301576202790558E-2</v>
      </c>
    </row>
    <row r="14" spans="1:2">
      <c r="A14" s="2" t="s">
        <v>144</v>
      </c>
      <c r="B14" s="12">
        <v>0.10394252933912281</v>
      </c>
    </row>
    <row r="15" spans="1:2">
      <c r="A15" s="2" t="s">
        <v>244</v>
      </c>
      <c r="B15" s="12">
        <v>0.11422097389642324</v>
      </c>
    </row>
    <row r="16" spans="1:2">
      <c r="A16" s="2" t="s">
        <v>181</v>
      </c>
      <c r="B16" s="12">
        <v>0.17061274938079685</v>
      </c>
    </row>
    <row r="17" spans="1:6">
      <c r="A17" s="2" t="s">
        <v>153</v>
      </c>
      <c r="B17" s="12">
        <v>0.17837742836969128</v>
      </c>
    </row>
    <row r="18" spans="1:6">
      <c r="A18" s="2" t="s">
        <v>173</v>
      </c>
      <c r="B18" s="12">
        <v>0.20442902056919326</v>
      </c>
      <c r="F18" s="74"/>
    </row>
    <row r="19" spans="1:6">
      <c r="A19" s="2" t="s">
        <v>1012</v>
      </c>
      <c r="B19" s="78">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63619-7B6D-4516-B87A-D197C8285B58}">
  <sheetPr>
    <tabColor theme="0" tint="-0.499984740745262"/>
  </sheetPr>
  <dimension ref="A1:V116"/>
  <sheetViews>
    <sheetView zoomScale="62" workbookViewId="0">
      <pane ySplit="3" topLeftCell="A4" activePane="bottomLeft" state="frozen"/>
      <selection pane="bottomLeft" activeCell="J77" sqref="J77"/>
      <selection activeCell="J77" sqref="J77"/>
    </sheetView>
  </sheetViews>
  <sheetFormatPr defaultColWidth="8.875" defaultRowHeight="13.9"/>
  <cols>
    <col min="1" max="1" width="52.625" bestFit="1" customWidth="1"/>
    <col min="2" max="2" width="18.125" hidden="1" customWidth="1"/>
    <col min="3" max="3" width="24.125" customWidth="1"/>
    <col min="4" max="4" width="35.125" bestFit="1" customWidth="1"/>
    <col min="5" max="5" width="21.5" hidden="1" customWidth="1"/>
    <col min="6" max="6" width="18.125" hidden="1" customWidth="1"/>
    <col min="7" max="7" width="33" hidden="1" customWidth="1"/>
    <col min="8" max="8" width="18.125" hidden="1" customWidth="1"/>
    <col min="9" max="9" width="11.5" hidden="1" customWidth="1"/>
    <col min="10" max="10" width="11.875" bestFit="1" customWidth="1"/>
    <col min="11" max="11" width="26.375" hidden="1" customWidth="1"/>
    <col min="12" max="12" width="32" hidden="1" customWidth="1"/>
    <col min="13" max="13" width="28" hidden="1" customWidth="1"/>
    <col min="14" max="14" width="28" bestFit="1" customWidth="1"/>
    <col min="15" max="15" width="31.875" customWidth="1"/>
    <col min="16" max="17" width="28" bestFit="1" customWidth="1"/>
    <col min="18" max="18" width="15.375" bestFit="1" customWidth="1"/>
    <col min="19" max="19" width="26.375" bestFit="1" customWidth="1"/>
    <col min="20" max="20" width="16.5" bestFit="1" customWidth="1"/>
    <col min="21" max="21" width="26.375" bestFit="1" customWidth="1"/>
    <col min="22" max="22" width="49.5" bestFit="1" customWidth="1"/>
  </cols>
  <sheetData>
    <row r="1" spans="1:22" ht="39.950000000000003" customHeight="1">
      <c r="A1" s="101" t="s">
        <v>1079</v>
      </c>
    </row>
    <row r="2" spans="1:22" ht="20.100000000000001" customHeight="1">
      <c r="A2" s="102" t="s">
        <v>76</v>
      </c>
      <c r="P2" s="77"/>
    </row>
    <row r="3" spans="1:22" ht="20.100000000000001" customHeight="1" thickBot="1">
      <c r="A3" s="103" t="s">
        <v>81</v>
      </c>
      <c r="B3" s="104" t="s">
        <v>82</v>
      </c>
      <c r="C3" s="104" t="s">
        <v>86</v>
      </c>
      <c r="D3" s="104" t="s">
        <v>88</v>
      </c>
      <c r="E3" s="104" t="s">
        <v>1080</v>
      </c>
      <c r="F3" s="104" t="s">
        <v>1081</v>
      </c>
      <c r="G3" s="104" t="s">
        <v>1082</v>
      </c>
      <c r="H3" s="104" t="s">
        <v>94</v>
      </c>
      <c r="I3" s="104" t="s">
        <v>58</v>
      </c>
      <c r="J3" s="104" t="s">
        <v>96</v>
      </c>
      <c r="K3" s="104" t="s">
        <v>1083</v>
      </c>
      <c r="L3" s="104" t="s">
        <v>1084</v>
      </c>
      <c r="M3" s="104" t="s">
        <v>110</v>
      </c>
      <c r="N3" s="104" t="s">
        <v>1085</v>
      </c>
      <c r="O3" s="104" t="s">
        <v>1086</v>
      </c>
      <c r="P3" s="104" t="s">
        <v>1087</v>
      </c>
      <c r="Q3" s="104" t="s">
        <v>1088</v>
      </c>
      <c r="R3" s="104" t="s">
        <v>109</v>
      </c>
      <c r="S3" s="104" t="s">
        <v>118</v>
      </c>
      <c r="T3" s="104" t="s">
        <v>1089</v>
      </c>
      <c r="U3" s="104" t="s">
        <v>1090</v>
      </c>
      <c r="V3" s="104" t="s">
        <v>1091</v>
      </c>
    </row>
    <row r="4" spans="1:22" ht="20.100000000000001" customHeight="1" thickTop="1" thickBot="1">
      <c r="A4" s="105" t="s">
        <v>525</v>
      </c>
      <c r="B4" s="106" t="s">
        <v>157</v>
      </c>
      <c r="C4" s="107" t="s">
        <v>158</v>
      </c>
      <c r="D4" s="107" t="s">
        <v>526</v>
      </c>
      <c r="E4" s="107">
        <v>60</v>
      </c>
      <c r="F4" s="107">
        <v>24000</v>
      </c>
      <c r="G4" s="107">
        <v>5</v>
      </c>
      <c r="H4" s="107">
        <v>3.26</v>
      </c>
      <c r="I4" s="107">
        <v>4.3499999999999996</v>
      </c>
      <c r="J4" s="107">
        <v>4.55</v>
      </c>
      <c r="K4" s="107">
        <v>3.95</v>
      </c>
      <c r="L4" s="107" t="s">
        <v>167</v>
      </c>
      <c r="M4" s="108">
        <v>45092</v>
      </c>
      <c r="N4" s="119">
        <v>4.4458506946118508</v>
      </c>
      <c r="O4" s="119">
        <v>4.1768254454169931</v>
      </c>
      <c r="P4" s="119">
        <v>2.2889957228000002</v>
      </c>
      <c r="Q4" s="119">
        <v>8.2016385622999994</v>
      </c>
      <c r="R4" s="107" t="s">
        <v>161</v>
      </c>
      <c r="S4" s="107" t="s">
        <v>164</v>
      </c>
      <c r="T4" s="107"/>
      <c r="U4" s="107" t="s">
        <v>1092</v>
      </c>
      <c r="V4" s="107" t="s">
        <v>1093</v>
      </c>
    </row>
    <row r="5" spans="1:22" ht="20.100000000000001" customHeight="1" thickTop="1" thickBot="1">
      <c r="A5" s="105" t="s">
        <v>717</v>
      </c>
      <c r="B5" s="106" t="s">
        <v>157</v>
      </c>
      <c r="C5" s="107" t="s">
        <v>214</v>
      </c>
      <c r="D5" s="107" t="s">
        <v>718</v>
      </c>
      <c r="E5" s="107">
        <v>24</v>
      </c>
      <c r="F5" s="107">
        <v>40800</v>
      </c>
      <c r="G5" s="107" t="s">
        <v>167</v>
      </c>
      <c r="H5" s="107">
        <v>4.6399999999999997</v>
      </c>
      <c r="I5" s="107">
        <v>6.53</v>
      </c>
      <c r="J5" s="107">
        <v>6.53</v>
      </c>
      <c r="K5" s="107">
        <v>5.25</v>
      </c>
      <c r="L5" s="107" t="s">
        <v>167</v>
      </c>
      <c r="M5" s="108">
        <v>45090</v>
      </c>
      <c r="N5" s="119">
        <v>5.9387686109604809</v>
      </c>
      <c r="O5" s="119">
        <v>6.6980921162846938</v>
      </c>
      <c r="P5" s="119">
        <v>9.0540794645999991</v>
      </c>
      <c r="Q5" s="119">
        <v>-2.5741518573</v>
      </c>
      <c r="R5" s="107" t="s">
        <v>161</v>
      </c>
      <c r="S5" s="107" t="s">
        <v>236</v>
      </c>
      <c r="T5" s="107" t="s">
        <v>1094</v>
      </c>
      <c r="U5" s="107" t="s">
        <v>1095</v>
      </c>
      <c r="V5" s="107" t="s">
        <v>1096</v>
      </c>
    </row>
    <row r="6" spans="1:22" ht="20.100000000000001" customHeight="1" thickTop="1" thickBot="1">
      <c r="A6" s="105" t="s">
        <v>721</v>
      </c>
      <c r="B6" s="106" t="s">
        <v>157</v>
      </c>
      <c r="C6" s="107" t="s">
        <v>214</v>
      </c>
      <c r="D6" s="107" t="s">
        <v>722</v>
      </c>
      <c r="E6" s="107">
        <v>24</v>
      </c>
      <c r="F6" s="107">
        <v>39200</v>
      </c>
      <c r="G6" s="107" t="s">
        <v>167</v>
      </c>
      <c r="H6" s="107">
        <v>5.37</v>
      </c>
      <c r="I6" s="107">
        <v>6.03</v>
      </c>
      <c r="J6" s="107">
        <v>6.03</v>
      </c>
      <c r="K6" s="107">
        <v>5.25</v>
      </c>
      <c r="L6" s="107" t="s">
        <v>167</v>
      </c>
      <c r="M6" s="108">
        <v>45090</v>
      </c>
      <c r="N6" s="119">
        <v>5.9383674696870781</v>
      </c>
      <c r="O6" s="119">
        <v>6.7079882122341816</v>
      </c>
      <c r="P6" s="119">
        <v>1.5196107846</v>
      </c>
      <c r="Q6" s="119">
        <v>-11.2435856092</v>
      </c>
      <c r="R6" s="107" t="s">
        <v>161</v>
      </c>
      <c r="S6" s="107" t="s">
        <v>236</v>
      </c>
      <c r="T6" s="107" t="s">
        <v>1097</v>
      </c>
      <c r="U6" s="107" t="s">
        <v>1095</v>
      </c>
      <c r="V6" s="107" t="s">
        <v>1098</v>
      </c>
    </row>
    <row r="7" spans="1:22" ht="20.100000000000001" customHeight="1" thickTop="1" thickBot="1">
      <c r="A7" s="105" t="s">
        <v>577</v>
      </c>
      <c r="B7" s="109" t="s">
        <v>143</v>
      </c>
      <c r="C7" s="107" t="s">
        <v>181</v>
      </c>
      <c r="D7" s="107" t="s">
        <v>578</v>
      </c>
      <c r="E7" s="107">
        <v>31</v>
      </c>
      <c r="F7" s="107">
        <v>5740</v>
      </c>
      <c r="G7" s="107">
        <v>5740</v>
      </c>
      <c r="H7" s="107">
        <v>5.22</v>
      </c>
      <c r="I7" s="107">
        <v>8.32</v>
      </c>
      <c r="J7" s="107">
        <v>9</v>
      </c>
      <c r="K7" s="107" t="s">
        <v>167</v>
      </c>
      <c r="L7" s="107">
        <v>8.35</v>
      </c>
      <c r="M7" s="108">
        <v>45085</v>
      </c>
      <c r="N7" s="119">
        <v>10.578572710423304</v>
      </c>
      <c r="O7" s="119">
        <v>10.03861897891994</v>
      </c>
      <c r="P7" s="119">
        <v>-17.539696782499998</v>
      </c>
      <c r="Q7" s="119">
        <v>-11.5402108769</v>
      </c>
      <c r="R7" s="107" t="s">
        <v>147</v>
      </c>
      <c r="S7" s="107" t="s">
        <v>579</v>
      </c>
      <c r="T7" s="107"/>
      <c r="U7" s="107" t="s">
        <v>1099</v>
      </c>
      <c r="V7" s="107" t="s">
        <v>1100</v>
      </c>
    </row>
    <row r="8" spans="1:22" ht="20.100000000000001" customHeight="1" thickTop="1" thickBot="1">
      <c r="A8" s="105" t="s">
        <v>570</v>
      </c>
      <c r="B8" s="106" t="s">
        <v>157</v>
      </c>
      <c r="C8" s="107" t="s">
        <v>244</v>
      </c>
      <c r="D8" s="107" t="s">
        <v>571</v>
      </c>
      <c r="E8" s="107">
        <v>36</v>
      </c>
      <c r="F8" s="107">
        <v>7490</v>
      </c>
      <c r="G8" s="107" t="s">
        <v>167</v>
      </c>
      <c r="H8" s="107">
        <v>3.8</v>
      </c>
      <c r="I8" s="107">
        <v>8</v>
      </c>
      <c r="J8" s="107">
        <v>9</v>
      </c>
      <c r="K8" s="107">
        <v>7.39</v>
      </c>
      <c r="L8" s="107">
        <v>7.37</v>
      </c>
      <c r="M8" s="108">
        <v>45077</v>
      </c>
      <c r="N8" s="119">
        <v>10.222795815310722</v>
      </c>
      <c r="O8" s="119">
        <v>10.192394078628455</v>
      </c>
      <c r="P8" s="119">
        <v>-13.5866201701</v>
      </c>
      <c r="Q8" s="119">
        <v>-13.248823095900001</v>
      </c>
      <c r="R8" s="107" t="s">
        <v>147</v>
      </c>
      <c r="S8" s="107" t="s">
        <v>285</v>
      </c>
      <c r="T8" s="107" t="s">
        <v>1101</v>
      </c>
      <c r="U8" s="107" t="s">
        <v>1102</v>
      </c>
      <c r="V8" s="107" t="s">
        <v>1103</v>
      </c>
    </row>
    <row r="9" spans="1:22" ht="20.100000000000001" customHeight="1" thickTop="1" thickBot="1">
      <c r="A9" s="105" t="s">
        <v>480</v>
      </c>
      <c r="B9" s="109" t="s">
        <v>143</v>
      </c>
      <c r="C9" s="107" t="s">
        <v>244</v>
      </c>
      <c r="D9" s="107" t="s">
        <v>481</v>
      </c>
      <c r="E9" s="107">
        <v>62</v>
      </c>
      <c r="F9" s="107">
        <v>8204</v>
      </c>
      <c r="G9" s="107" t="s">
        <v>167</v>
      </c>
      <c r="H9" s="107">
        <v>5.28</v>
      </c>
      <c r="I9" s="107">
        <v>8</v>
      </c>
      <c r="J9" s="107">
        <v>8.5</v>
      </c>
      <c r="K9" s="107">
        <v>7.44</v>
      </c>
      <c r="L9" s="107">
        <v>7.44</v>
      </c>
      <c r="M9" s="108">
        <v>45051</v>
      </c>
      <c r="N9" s="119">
        <v>9.3914849762098438</v>
      </c>
      <c r="O9" s="119">
        <v>8.5727415811204377</v>
      </c>
      <c r="P9" s="119">
        <v>-10.488058543599999</v>
      </c>
      <c r="Q9" s="119">
        <v>-0.85578330729999996</v>
      </c>
      <c r="R9" s="107" t="s">
        <v>147</v>
      </c>
      <c r="S9" s="107" t="s">
        <v>246</v>
      </c>
      <c r="T9" s="107" t="s">
        <v>1104</v>
      </c>
      <c r="U9" s="107" t="s">
        <v>1105</v>
      </c>
      <c r="V9" s="107" t="s">
        <v>1106</v>
      </c>
    </row>
    <row r="10" spans="1:22" ht="20.100000000000001" customHeight="1" thickTop="1" thickBot="1">
      <c r="A10" s="105" t="s">
        <v>650</v>
      </c>
      <c r="B10" s="106" t="s">
        <v>157</v>
      </c>
      <c r="C10" s="107" t="s">
        <v>153</v>
      </c>
      <c r="D10" s="107" t="s">
        <v>651</v>
      </c>
      <c r="E10" s="107">
        <v>60</v>
      </c>
      <c r="F10" s="107">
        <v>2730</v>
      </c>
      <c r="G10" s="107" t="s">
        <v>167</v>
      </c>
      <c r="H10" s="107">
        <v>4.41</v>
      </c>
      <c r="I10" s="107">
        <v>8.15</v>
      </c>
      <c r="J10" s="107">
        <v>6.26</v>
      </c>
      <c r="K10" s="107">
        <v>5.9</v>
      </c>
      <c r="L10" s="107">
        <v>6.19</v>
      </c>
      <c r="M10" s="108">
        <v>45047</v>
      </c>
      <c r="N10" s="119">
        <v>11.666743562937688</v>
      </c>
      <c r="O10" s="119">
        <v>11.122036434969926</v>
      </c>
      <c r="P10" s="119">
        <v>-86.369705478200004</v>
      </c>
      <c r="Q10" s="119">
        <v>-77.668313657699997</v>
      </c>
      <c r="R10" s="107" t="s">
        <v>147</v>
      </c>
      <c r="S10" s="107" t="s">
        <v>288</v>
      </c>
      <c r="T10" s="107" t="s">
        <v>1107</v>
      </c>
      <c r="U10" s="107" t="s">
        <v>1108</v>
      </c>
      <c r="V10" s="107" t="s">
        <v>1109</v>
      </c>
    </row>
    <row r="11" spans="1:22" ht="20.100000000000001" customHeight="1" thickTop="1" thickBot="1">
      <c r="A11" s="105" t="s">
        <v>588</v>
      </c>
      <c r="B11" s="109" t="s">
        <v>143</v>
      </c>
      <c r="C11" s="107" t="s">
        <v>153</v>
      </c>
      <c r="D11" s="107" t="s">
        <v>589</v>
      </c>
      <c r="E11" s="107">
        <v>62</v>
      </c>
      <c r="F11" s="107">
        <v>13950</v>
      </c>
      <c r="G11" s="107" t="s">
        <v>167</v>
      </c>
      <c r="H11" s="107"/>
      <c r="I11" s="107">
        <v>12.54</v>
      </c>
      <c r="J11" s="107">
        <v>12.5</v>
      </c>
      <c r="K11" s="107">
        <v>12</v>
      </c>
      <c r="L11" s="107" t="s">
        <v>167</v>
      </c>
      <c r="M11" s="108">
        <v>45043</v>
      </c>
      <c r="N11" s="119">
        <v>13.940236777730473</v>
      </c>
      <c r="O11" s="119">
        <v>12.260484872270057</v>
      </c>
      <c r="P11" s="119">
        <v>-11.5218942218</v>
      </c>
      <c r="Q11" s="119">
        <v>1.9161210218</v>
      </c>
      <c r="R11" s="107" t="s">
        <v>161</v>
      </c>
      <c r="S11" s="107" t="s">
        <v>590</v>
      </c>
      <c r="T11" s="107" t="s">
        <v>1110</v>
      </c>
      <c r="U11" s="107" t="s">
        <v>1111</v>
      </c>
      <c r="V11" s="107" t="s">
        <v>1112</v>
      </c>
    </row>
    <row r="12" spans="1:22" ht="20.100000000000001" customHeight="1" thickTop="1" thickBot="1">
      <c r="A12" s="105" t="s">
        <v>566</v>
      </c>
      <c r="B12" s="106" t="s">
        <v>157</v>
      </c>
      <c r="C12" s="107" t="s">
        <v>153</v>
      </c>
      <c r="D12" s="107" t="s">
        <v>567</v>
      </c>
      <c r="E12" s="107">
        <v>60</v>
      </c>
      <c r="F12" s="107">
        <v>4000</v>
      </c>
      <c r="G12" s="107">
        <v>4137</v>
      </c>
      <c r="H12" s="107">
        <v>6</v>
      </c>
      <c r="I12" s="107">
        <v>6.27</v>
      </c>
      <c r="J12" s="107">
        <v>7</v>
      </c>
      <c r="K12" s="107">
        <v>6</v>
      </c>
      <c r="L12" s="107">
        <v>6.37</v>
      </c>
      <c r="M12" s="108">
        <v>45042</v>
      </c>
      <c r="N12" s="119">
        <v>7.4532603795019092</v>
      </c>
      <c r="O12" s="119">
        <v>6.9954302512119444</v>
      </c>
      <c r="P12" s="119">
        <v>-6.4751482785999999</v>
      </c>
      <c r="Q12" s="119">
        <v>6.5282125499999996E-2</v>
      </c>
      <c r="R12" s="107" t="s">
        <v>147</v>
      </c>
      <c r="S12" s="107" t="s">
        <v>155</v>
      </c>
      <c r="T12" s="107" t="s">
        <v>1113</v>
      </c>
      <c r="U12" s="107" t="s">
        <v>1114</v>
      </c>
      <c r="V12" s="107" t="s">
        <v>1115</v>
      </c>
    </row>
    <row r="13" spans="1:22" ht="20.100000000000001" customHeight="1" thickTop="1" thickBot="1">
      <c r="A13" s="105" t="s">
        <v>512</v>
      </c>
      <c r="B13" s="109" t="s">
        <v>143</v>
      </c>
      <c r="C13" s="107" t="s">
        <v>181</v>
      </c>
      <c r="D13" s="107" t="s">
        <v>513</v>
      </c>
      <c r="E13" s="107">
        <v>84</v>
      </c>
      <c r="F13" s="107">
        <v>20150</v>
      </c>
      <c r="G13" s="107">
        <v>34895</v>
      </c>
      <c r="H13" s="107">
        <v>7.33</v>
      </c>
      <c r="I13" s="107">
        <v>9</v>
      </c>
      <c r="J13" s="107">
        <v>10</v>
      </c>
      <c r="K13" s="107" t="s">
        <v>167</v>
      </c>
      <c r="L13" s="107">
        <v>8.2899999999999991</v>
      </c>
      <c r="M13" s="108">
        <v>45041</v>
      </c>
      <c r="N13" s="119">
        <v>11.381217132443911</v>
      </c>
      <c r="O13" s="119">
        <v>9.4149925436507349</v>
      </c>
      <c r="P13" s="119">
        <v>-13.8121713244</v>
      </c>
      <c r="Q13" s="119">
        <v>5.8500745634999998</v>
      </c>
      <c r="R13" s="107" t="s">
        <v>147</v>
      </c>
      <c r="S13" s="107" t="s">
        <v>514</v>
      </c>
      <c r="T13" s="107" t="s">
        <v>1116</v>
      </c>
      <c r="U13" s="107" t="s">
        <v>1117</v>
      </c>
      <c r="V13" s="107" t="s">
        <v>1118</v>
      </c>
    </row>
    <row r="14" spans="1:22" ht="20.100000000000001" customHeight="1" thickTop="1" thickBot="1">
      <c r="A14" s="105" t="s">
        <v>487</v>
      </c>
      <c r="B14" s="110" t="s">
        <v>252</v>
      </c>
      <c r="C14" s="107" t="s">
        <v>153</v>
      </c>
      <c r="D14" s="107" t="s">
        <v>488</v>
      </c>
      <c r="E14" s="107">
        <v>36</v>
      </c>
      <c r="F14" s="107">
        <v>20500</v>
      </c>
      <c r="G14" s="107" t="s">
        <v>167</v>
      </c>
      <c r="H14" s="107">
        <v>5.8</v>
      </c>
      <c r="I14" s="107">
        <v>6.45</v>
      </c>
      <c r="J14" s="107">
        <v>6.1</v>
      </c>
      <c r="K14" s="107">
        <v>6.9</v>
      </c>
      <c r="L14" s="107">
        <v>6.91</v>
      </c>
      <c r="M14" s="108">
        <v>45040</v>
      </c>
      <c r="N14" s="119">
        <v>9.2709272857467795</v>
      </c>
      <c r="O14" s="119">
        <v>9.1449682997962309</v>
      </c>
      <c r="P14" s="119">
        <v>-51.982414520399999</v>
      </c>
      <c r="Q14" s="119">
        <v>-49.917513111399998</v>
      </c>
      <c r="R14" s="107" t="s">
        <v>147</v>
      </c>
      <c r="S14" s="107" t="s">
        <v>489</v>
      </c>
      <c r="T14" s="107" t="s">
        <v>1119</v>
      </c>
      <c r="U14" s="107" t="s">
        <v>1120</v>
      </c>
      <c r="V14" s="107" t="s">
        <v>1121</v>
      </c>
    </row>
    <row r="15" spans="1:22" ht="20.100000000000001" customHeight="1" thickTop="1" thickBot="1">
      <c r="A15" s="105" t="s">
        <v>283</v>
      </c>
      <c r="B15" s="111" t="s">
        <v>238</v>
      </c>
      <c r="C15" s="107" t="s">
        <v>244</v>
      </c>
      <c r="D15" s="107" t="s">
        <v>284</v>
      </c>
      <c r="E15" s="107">
        <v>60</v>
      </c>
      <c r="F15" s="107">
        <v>12665</v>
      </c>
      <c r="G15" s="107">
        <v>12665</v>
      </c>
      <c r="H15" s="107">
        <v>4.83</v>
      </c>
      <c r="I15" s="107">
        <v>8.06</v>
      </c>
      <c r="J15" s="107">
        <v>9</v>
      </c>
      <c r="K15" s="107">
        <v>7.3</v>
      </c>
      <c r="L15" s="107" t="s">
        <v>1122</v>
      </c>
      <c r="M15" s="108">
        <v>45027</v>
      </c>
      <c r="N15" s="119">
        <v>9.8848847261474901</v>
      </c>
      <c r="O15" s="119">
        <v>9.4299479942316982</v>
      </c>
      <c r="P15" s="119">
        <v>-9.8320525127000007</v>
      </c>
      <c r="Q15" s="119">
        <v>-4.7771999358999997</v>
      </c>
      <c r="R15" s="107" t="s">
        <v>147</v>
      </c>
      <c r="S15" s="107" t="s">
        <v>285</v>
      </c>
      <c r="T15" s="107"/>
      <c r="U15" s="107" t="s">
        <v>1102</v>
      </c>
      <c r="V15" s="107" t="s">
        <v>1123</v>
      </c>
    </row>
    <row r="16" spans="1:22" ht="20.100000000000001" customHeight="1" thickTop="1" thickBot="1">
      <c r="A16" s="105" t="s">
        <v>220</v>
      </c>
      <c r="B16" s="109" t="s">
        <v>143</v>
      </c>
      <c r="C16" s="107" t="s">
        <v>221</v>
      </c>
      <c r="D16" s="107" t="s">
        <v>222</v>
      </c>
      <c r="E16" s="107">
        <v>36</v>
      </c>
      <c r="F16" s="107">
        <v>39000</v>
      </c>
      <c r="G16" s="107" t="s">
        <v>167</v>
      </c>
      <c r="H16" s="107">
        <v>4.25</v>
      </c>
      <c r="I16" s="107">
        <v>4.43</v>
      </c>
      <c r="J16" s="107">
        <v>5.75</v>
      </c>
      <c r="K16" s="107">
        <v>4.6349999999999998</v>
      </c>
      <c r="L16" s="107">
        <v>4.6399999999999997</v>
      </c>
      <c r="M16" s="108">
        <v>45010</v>
      </c>
      <c r="N16" s="107">
        <v>6.6966578414390616</v>
      </c>
      <c r="O16" s="107">
        <v>6.1982559727330022</v>
      </c>
      <c r="P16" s="107">
        <v>-16.463614633700001</v>
      </c>
      <c r="Q16" s="107">
        <v>-7.7957560475000003</v>
      </c>
      <c r="R16" s="107" t="s">
        <v>147</v>
      </c>
      <c r="S16" s="107" t="s">
        <v>223</v>
      </c>
      <c r="T16" s="107" t="s">
        <v>1124</v>
      </c>
      <c r="U16" s="107" t="s">
        <v>1111</v>
      </c>
      <c r="V16" s="107" t="s">
        <v>1125</v>
      </c>
    </row>
    <row r="17" spans="1:22" ht="20.100000000000001" customHeight="1" thickTop="1" thickBot="1">
      <c r="A17" s="105" t="s">
        <v>595</v>
      </c>
      <c r="B17" s="109" t="s">
        <v>143</v>
      </c>
      <c r="C17" s="107" t="s">
        <v>144</v>
      </c>
      <c r="D17" s="107" t="s">
        <v>596</v>
      </c>
      <c r="E17" s="107">
        <v>62</v>
      </c>
      <c r="F17" s="107">
        <v>15000</v>
      </c>
      <c r="G17" s="107" t="s">
        <v>167</v>
      </c>
      <c r="H17" s="107">
        <v>6.37</v>
      </c>
      <c r="I17" s="107">
        <v>8.4</v>
      </c>
      <c r="J17" s="107">
        <v>9</v>
      </c>
      <c r="K17" s="107">
        <v>8.4</v>
      </c>
      <c r="L17" s="107" t="s">
        <v>1126</v>
      </c>
      <c r="M17" s="108">
        <v>45001</v>
      </c>
      <c r="N17" s="107">
        <v>10.415515587327327</v>
      </c>
      <c r="O17" s="107">
        <v>9.6653119697632786</v>
      </c>
      <c r="P17" s="107">
        <v>-15.7279509703</v>
      </c>
      <c r="Q17" s="107">
        <v>-7.3923552195999997</v>
      </c>
      <c r="R17" s="107" t="s">
        <v>147</v>
      </c>
      <c r="S17" s="107" t="s">
        <v>269</v>
      </c>
      <c r="T17" s="107" t="s">
        <v>1127</v>
      </c>
      <c r="U17" s="107" t="s">
        <v>1128</v>
      </c>
      <c r="V17" s="107" t="s">
        <v>1129</v>
      </c>
    </row>
    <row r="18" spans="1:22" ht="20.100000000000001" customHeight="1" thickTop="1" thickBot="1">
      <c r="A18" s="105" t="s">
        <v>714</v>
      </c>
      <c r="B18" s="110" t="s">
        <v>252</v>
      </c>
      <c r="C18" s="107" t="s">
        <v>244</v>
      </c>
      <c r="D18" s="107" t="s">
        <v>715</v>
      </c>
      <c r="E18" s="107">
        <v>48</v>
      </c>
      <c r="F18" s="107">
        <v>191887</v>
      </c>
      <c r="G18" s="107" t="s">
        <v>167</v>
      </c>
      <c r="H18" s="107">
        <v>3.6</v>
      </c>
      <c r="I18" s="107">
        <v>3.8</v>
      </c>
      <c r="J18" s="107">
        <v>3.8</v>
      </c>
      <c r="K18" s="107">
        <v>3.8</v>
      </c>
      <c r="L18" s="107" t="s">
        <v>167</v>
      </c>
      <c r="M18" s="108">
        <v>44999</v>
      </c>
      <c r="N18" s="107">
        <v>6.7798690886939976</v>
      </c>
      <c r="O18" s="107">
        <v>7.1875239154193089</v>
      </c>
      <c r="P18" s="107">
        <v>-78.417607597200004</v>
      </c>
      <c r="Q18" s="107">
        <v>-89.145366195199998</v>
      </c>
      <c r="R18" s="107" t="s">
        <v>161</v>
      </c>
      <c r="S18" s="107" t="s">
        <v>716</v>
      </c>
      <c r="T18" s="107" t="s">
        <v>1130</v>
      </c>
      <c r="U18" s="107" t="s">
        <v>1131</v>
      </c>
      <c r="V18" s="107" t="s">
        <v>1132</v>
      </c>
    </row>
    <row r="19" spans="1:22" ht="20.100000000000001" customHeight="1" thickTop="1" thickBot="1">
      <c r="A19" s="105" t="s">
        <v>633</v>
      </c>
      <c r="B19" s="109" t="s">
        <v>143</v>
      </c>
      <c r="C19" s="107" t="s">
        <v>153</v>
      </c>
      <c r="D19" s="107" t="s">
        <v>634</v>
      </c>
      <c r="E19" s="107">
        <v>60</v>
      </c>
      <c r="F19" s="107">
        <v>18700</v>
      </c>
      <c r="G19" s="107" t="s">
        <v>167</v>
      </c>
      <c r="H19" s="107"/>
      <c r="I19" s="107">
        <v>6.27</v>
      </c>
      <c r="J19" s="107">
        <v>6</v>
      </c>
      <c r="K19" s="107">
        <v>6.2130000000000001</v>
      </c>
      <c r="L19" s="107">
        <v>6.21</v>
      </c>
      <c r="M19" s="108">
        <v>44998</v>
      </c>
      <c r="N19" s="107">
        <v>6.5838883924104659</v>
      </c>
      <c r="O19" s="107">
        <v>6.2086611596134258</v>
      </c>
      <c r="P19" s="107">
        <v>-9.7314732068000005</v>
      </c>
      <c r="Q19" s="107">
        <v>-3.4776859936000002</v>
      </c>
      <c r="R19" s="107" t="s">
        <v>147</v>
      </c>
      <c r="S19" s="107" t="s">
        <v>635</v>
      </c>
      <c r="T19" s="107" t="s">
        <v>1133</v>
      </c>
      <c r="U19" s="107" t="s">
        <v>1134</v>
      </c>
      <c r="V19" s="107" t="s">
        <v>1135</v>
      </c>
    </row>
    <row r="20" spans="1:22" ht="20.100000000000001" customHeight="1" thickTop="1" thickBot="1">
      <c r="A20" s="105" t="s">
        <v>630</v>
      </c>
      <c r="B20" s="106" t="s">
        <v>157</v>
      </c>
      <c r="C20" s="107" t="s">
        <v>207</v>
      </c>
      <c r="D20" s="107" t="s">
        <v>631</v>
      </c>
      <c r="E20" s="107">
        <v>36</v>
      </c>
      <c r="F20" s="107">
        <v>4161</v>
      </c>
      <c r="G20" s="107" t="s">
        <v>167</v>
      </c>
      <c r="H20" s="107">
        <v>7.92</v>
      </c>
      <c r="I20" s="107">
        <v>12.5</v>
      </c>
      <c r="J20" s="107">
        <v>12</v>
      </c>
      <c r="K20" s="107">
        <v>10.14</v>
      </c>
      <c r="L20" s="107" t="s">
        <v>167</v>
      </c>
      <c r="M20" s="108">
        <v>44995</v>
      </c>
      <c r="N20" s="107">
        <v>11.393102077543055</v>
      </c>
      <c r="O20" s="107">
        <v>11.498539363033723</v>
      </c>
      <c r="P20" s="107">
        <v>5.0574826871000003</v>
      </c>
      <c r="Q20" s="107">
        <v>4.1788386413999996</v>
      </c>
      <c r="R20" s="107" t="s">
        <v>161</v>
      </c>
      <c r="S20" s="107" t="s">
        <v>632</v>
      </c>
      <c r="T20" s="107" t="s">
        <v>1136</v>
      </c>
      <c r="U20" s="107" t="s">
        <v>1137</v>
      </c>
      <c r="V20" s="107" t="s">
        <v>1138</v>
      </c>
    </row>
    <row r="21" spans="1:22" ht="20.100000000000001" customHeight="1" thickTop="1" thickBot="1">
      <c r="A21" s="105" t="s">
        <v>652</v>
      </c>
      <c r="B21" s="109" t="s">
        <v>143</v>
      </c>
      <c r="C21" s="107" t="s">
        <v>153</v>
      </c>
      <c r="D21" s="107" t="s">
        <v>653</v>
      </c>
      <c r="E21" s="107">
        <v>125</v>
      </c>
      <c r="F21" s="107">
        <v>58225</v>
      </c>
      <c r="G21" s="107" t="s">
        <v>167</v>
      </c>
      <c r="H21" s="107"/>
      <c r="I21" s="107">
        <v>9.7100000000000009</v>
      </c>
      <c r="J21" s="107">
        <v>10.1</v>
      </c>
      <c r="K21" s="107">
        <v>9.58</v>
      </c>
      <c r="L21" s="107">
        <v>9.58</v>
      </c>
      <c r="M21" s="108">
        <v>44991</v>
      </c>
      <c r="N21" s="107">
        <v>10.174512219175845</v>
      </c>
      <c r="O21" s="107">
        <v>8.3614711181707495</v>
      </c>
      <c r="P21" s="107">
        <v>-0.73774474430000003</v>
      </c>
      <c r="Q21" s="107">
        <v>17.213157245800002</v>
      </c>
      <c r="R21" s="107" t="s">
        <v>147</v>
      </c>
      <c r="S21" s="107" t="s">
        <v>441</v>
      </c>
      <c r="T21" s="107" t="s">
        <v>1139</v>
      </c>
      <c r="U21" s="107" t="s">
        <v>1140</v>
      </c>
      <c r="V21" s="107" t="s">
        <v>1141</v>
      </c>
    </row>
    <row r="22" spans="1:22" ht="20.100000000000001" customHeight="1" thickTop="1" thickBot="1">
      <c r="A22" s="105" t="s">
        <v>482</v>
      </c>
      <c r="B22" s="109" t="s">
        <v>143</v>
      </c>
      <c r="C22" s="107" t="s">
        <v>173</v>
      </c>
      <c r="D22" s="107" t="s">
        <v>483</v>
      </c>
      <c r="E22" s="107">
        <v>36</v>
      </c>
      <c r="F22" s="107">
        <v>9247</v>
      </c>
      <c r="G22" s="107" t="s">
        <v>167</v>
      </c>
      <c r="H22" s="107">
        <v>7.5</v>
      </c>
      <c r="I22" s="107">
        <v>14.04</v>
      </c>
      <c r="J22" s="107">
        <v>14.5</v>
      </c>
      <c r="K22" s="107">
        <v>12.73</v>
      </c>
      <c r="L22" s="107">
        <v>0.03</v>
      </c>
      <c r="M22" s="108">
        <v>44986</v>
      </c>
      <c r="N22" s="107">
        <v>17.162356613050971</v>
      </c>
      <c r="O22" s="107">
        <v>16.360501872865203</v>
      </c>
      <c r="P22" s="107">
        <v>-18.361080090000002</v>
      </c>
      <c r="Q22" s="107">
        <v>-12.831047399099999</v>
      </c>
      <c r="R22" s="107" t="s">
        <v>147</v>
      </c>
      <c r="S22" s="107" t="s">
        <v>484</v>
      </c>
      <c r="T22" s="107" t="s">
        <v>1142</v>
      </c>
      <c r="U22" s="107" t="s">
        <v>1143</v>
      </c>
      <c r="V22" s="107" t="s">
        <v>1144</v>
      </c>
    </row>
    <row r="23" spans="1:22" ht="20.100000000000001" customHeight="1" thickTop="1" thickBot="1">
      <c r="A23" s="105" t="s">
        <v>706</v>
      </c>
      <c r="B23" s="106" t="s">
        <v>157</v>
      </c>
      <c r="C23" s="107" t="s">
        <v>1145</v>
      </c>
      <c r="D23" s="107" t="s">
        <v>707</v>
      </c>
      <c r="E23" s="107">
        <v>60</v>
      </c>
      <c r="F23" s="107">
        <v>24012</v>
      </c>
      <c r="G23" s="107" t="s">
        <v>167</v>
      </c>
      <c r="H23" s="107">
        <v>11.04</v>
      </c>
      <c r="I23" s="107">
        <v>14</v>
      </c>
      <c r="J23" s="107">
        <v>14</v>
      </c>
      <c r="K23" s="107">
        <v>13.87</v>
      </c>
      <c r="L23" s="107" t="s">
        <v>167</v>
      </c>
      <c r="M23" s="108">
        <v>44985</v>
      </c>
      <c r="N23" s="107">
        <v>15.98297263510379</v>
      </c>
      <c r="O23" s="107">
        <v>14.069173615296705</v>
      </c>
      <c r="P23" s="107">
        <v>-14.164090250699999</v>
      </c>
      <c r="Q23" s="107">
        <v>-0.4940972521</v>
      </c>
      <c r="R23" s="107" t="s">
        <v>161</v>
      </c>
      <c r="S23" s="107" t="s">
        <v>708</v>
      </c>
      <c r="T23" s="107" t="s">
        <v>1146</v>
      </c>
      <c r="U23" s="107" t="s">
        <v>1147</v>
      </c>
      <c r="V23" s="107" t="s">
        <v>1148</v>
      </c>
    </row>
    <row r="24" spans="1:22" ht="20.100000000000001" customHeight="1" thickTop="1" thickBot="1">
      <c r="A24" s="105" t="s">
        <v>541</v>
      </c>
      <c r="B24" s="106" t="s">
        <v>157</v>
      </c>
      <c r="C24" s="107" t="s">
        <v>214</v>
      </c>
      <c r="D24" s="107" t="s">
        <v>542</v>
      </c>
      <c r="E24" s="107">
        <v>60</v>
      </c>
      <c r="F24" s="107">
        <v>17000</v>
      </c>
      <c r="G24" s="107" t="s">
        <v>167</v>
      </c>
      <c r="H24" s="107">
        <v>4.37</v>
      </c>
      <c r="I24" s="107">
        <v>6.44</v>
      </c>
      <c r="J24" s="107">
        <v>7</v>
      </c>
      <c r="K24" s="107">
        <v>5.25</v>
      </c>
      <c r="L24" s="107" t="s">
        <v>167</v>
      </c>
      <c r="M24" s="108">
        <v>44984</v>
      </c>
      <c r="N24" s="107">
        <v>6.8426081119510069</v>
      </c>
      <c r="O24" s="107">
        <v>6.9417718967769853</v>
      </c>
      <c r="P24" s="107">
        <v>2.2484555436</v>
      </c>
      <c r="Q24" s="107">
        <v>0.83183004599999999</v>
      </c>
      <c r="R24" s="107" t="s">
        <v>161</v>
      </c>
      <c r="S24" s="107" t="s">
        <v>236</v>
      </c>
      <c r="T24" s="107" t="s">
        <v>1149</v>
      </c>
      <c r="U24" s="107" t="s">
        <v>1095</v>
      </c>
      <c r="V24" s="107" t="s">
        <v>1150</v>
      </c>
    </row>
    <row r="25" spans="1:22" ht="20.100000000000001" customHeight="1" thickTop="1" thickBot="1">
      <c r="A25" s="105" t="s">
        <v>490</v>
      </c>
      <c r="B25" s="109" t="s">
        <v>143</v>
      </c>
      <c r="C25" s="107" t="s">
        <v>158</v>
      </c>
      <c r="D25" s="107" t="s">
        <v>491</v>
      </c>
      <c r="E25" s="107">
        <v>60</v>
      </c>
      <c r="F25" s="107">
        <v>33340</v>
      </c>
      <c r="G25" s="107" t="s">
        <v>167</v>
      </c>
      <c r="H25" s="107">
        <v>2.2000000000000002</v>
      </c>
      <c r="I25" s="107">
        <v>3.3</v>
      </c>
      <c r="J25" s="107">
        <v>4.5999999999999996</v>
      </c>
      <c r="K25" s="107">
        <v>2.71</v>
      </c>
      <c r="L25" s="107">
        <v>2.72</v>
      </c>
      <c r="M25" s="108">
        <v>44981</v>
      </c>
      <c r="N25" s="112" t="s">
        <v>167</v>
      </c>
      <c r="O25" s="112" t="s">
        <v>167</v>
      </c>
      <c r="P25" s="112" t="s">
        <v>167</v>
      </c>
      <c r="Q25" s="112" t="s">
        <v>167</v>
      </c>
      <c r="R25" s="107" t="s">
        <v>147</v>
      </c>
      <c r="S25" s="107" t="s">
        <v>436</v>
      </c>
      <c r="T25" s="107" t="s">
        <v>1151</v>
      </c>
      <c r="U25" s="107" t="s">
        <v>1152</v>
      </c>
      <c r="V25" s="107" t="s">
        <v>1153</v>
      </c>
    </row>
    <row r="26" spans="1:22" ht="20.100000000000001" customHeight="1" thickTop="1" thickBot="1">
      <c r="A26" s="105" t="s">
        <v>639</v>
      </c>
      <c r="B26" s="106" t="s">
        <v>157</v>
      </c>
      <c r="C26" s="107" t="s">
        <v>173</v>
      </c>
      <c r="D26" s="107" t="s">
        <v>640</v>
      </c>
      <c r="E26" s="107">
        <v>72</v>
      </c>
      <c r="F26" s="107">
        <v>24389</v>
      </c>
      <c r="G26" s="107" t="s">
        <v>167</v>
      </c>
      <c r="H26" s="107">
        <v>9.25</v>
      </c>
      <c r="I26" s="107">
        <v>13.25</v>
      </c>
      <c r="J26" s="107">
        <v>13.25</v>
      </c>
      <c r="K26" s="107">
        <v>12.59</v>
      </c>
      <c r="L26" s="107">
        <v>12</v>
      </c>
      <c r="M26" s="108">
        <v>44980</v>
      </c>
      <c r="N26" s="107">
        <v>14.201376286351968</v>
      </c>
      <c r="O26" s="107">
        <v>13.275523461571181</v>
      </c>
      <c r="P26" s="107">
        <v>-7.1801983876</v>
      </c>
      <c r="Q26" s="107">
        <v>-0.1926298987</v>
      </c>
      <c r="R26" s="107" t="s">
        <v>147</v>
      </c>
      <c r="S26" s="107" t="s">
        <v>299</v>
      </c>
      <c r="T26" s="107" t="s">
        <v>1154</v>
      </c>
      <c r="U26" s="107" t="s">
        <v>1111</v>
      </c>
      <c r="V26" s="107" t="s">
        <v>1155</v>
      </c>
    </row>
    <row r="27" spans="1:22" ht="20.100000000000001" customHeight="1" thickTop="1" thickBot="1">
      <c r="A27" s="105" t="s">
        <v>267</v>
      </c>
      <c r="B27" s="111" t="s">
        <v>238</v>
      </c>
      <c r="C27" s="107" t="s">
        <v>144</v>
      </c>
      <c r="D27" s="107" t="s">
        <v>268</v>
      </c>
      <c r="E27" s="107">
        <v>36</v>
      </c>
      <c r="F27" s="107">
        <v>10267</v>
      </c>
      <c r="G27" s="107">
        <v>10228</v>
      </c>
      <c r="H27" s="107">
        <v>6.63</v>
      </c>
      <c r="I27" s="107">
        <v>8.4</v>
      </c>
      <c r="J27" s="107">
        <v>8.5</v>
      </c>
      <c r="K27" s="107">
        <v>8.4</v>
      </c>
      <c r="L27" s="107">
        <v>8.33</v>
      </c>
      <c r="M27" s="108">
        <v>44978</v>
      </c>
      <c r="N27" s="107">
        <v>10.41302058748466</v>
      </c>
      <c r="O27" s="107">
        <v>9.8473083782930395</v>
      </c>
      <c r="P27" s="107">
        <v>-22.5061245586</v>
      </c>
      <c r="Q27" s="107">
        <v>-15.8506868034</v>
      </c>
      <c r="R27" s="107" t="s">
        <v>147</v>
      </c>
      <c r="S27" s="107" t="s">
        <v>269</v>
      </c>
      <c r="T27" s="107" t="s">
        <v>1156</v>
      </c>
      <c r="U27" s="107" t="s">
        <v>1128</v>
      </c>
      <c r="V27" s="107" t="s">
        <v>1157</v>
      </c>
    </row>
    <row r="28" spans="1:22" ht="20.100000000000001" customHeight="1" thickTop="1" thickBot="1">
      <c r="A28" s="105" t="s">
        <v>492</v>
      </c>
      <c r="B28" s="106" t="s">
        <v>157</v>
      </c>
      <c r="C28" s="107" t="s">
        <v>158</v>
      </c>
      <c r="D28" s="107" t="s">
        <v>493</v>
      </c>
      <c r="E28" s="107">
        <v>60</v>
      </c>
      <c r="F28" s="107">
        <v>22500</v>
      </c>
      <c r="G28" s="107" t="s">
        <v>167</v>
      </c>
      <c r="H28" s="107">
        <v>2.38</v>
      </c>
      <c r="I28" s="107">
        <v>4.1500000000000004</v>
      </c>
      <c r="J28" s="107">
        <v>4.1500000000000004</v>
      </c>
      <c r="K28" s="107">
        <v>4.12</v>
      </c>
      <c r="L28" s="107" t="s">
        <v>167</v>
      </c>
      <c r="M28" s="108">
        <v>44971</v>
      </c>
      <c r="N28" s="107">
        <v>4.4556655251271584</v>
      </c>
      <c r="O28" s="107">
        <v>4.1140761857983428</v>
      </c>
      <c r="P28" s="107">
        <v>-7.3654343404000002</v>
      </c>
      <c r="Q28" s="107">
        <v>0.86563407709999995</v>
      </c>
      <c r="R28" s="107" t="s">
        <v>161</v>
      </c>
      <c r="S28" s="107" t="s">
        <v>494</v>
      </c>
      <c r="T28" s="107" t="s">
        <v>1158</v>
      </c>
      <c r="U28" s="107" t="s">
        <v>1092</v>
      </c>
      <c r="V28" s="107" t="s">
        <v>1159</v>
      </c>
    </row>
    <row r="29" spans="1:22" ht="20.100000000000001" customHeight="1" thickTop="1" thickBot="1">
      <c r="A29" s="105" t="s">
        <v>273</v>
      </c>
      <c r="B29" s="109" t="s">
        <v>143</v>
      </c>
      <c r="C29" s="107" t="s">
        <v>274</v>
      </c>
      <c r="D29" s="107" t="s">
        <v>275</v>
      </c>
      <c r="E29" s="107">
        <v>62</v>
      </c>
      <c r="F29" s="107">
        <v>29772</v>
      </c>
      <c r="G29" s="107" t="s">
        <v>167</v>
      </c>
      <c r="H29" s="107">
        <v>8.7799999999999994</v>
      </c>
      <c r="I29" s="107">
        <v>10.4</v>
      </c>
      <c r="J29" s="107">
        <v>10.75</v>
      </c>
      <c r="K29" s="107">
        <v>8.98</v>
      </c>
      <c r="L29" s="107">
        <v>8.9</v>
      </c>
      <c r="M29" s="108">
        <v>44959</v>
      </c>
      <c r="N29" s="107">
        <v>8.8033924774747554</v>
      </c>
      <c r="O29" s="107">
        <v>6.3908647560149143</v>
      </c>
      <c r="P29" s="107">
        <v>18.1079769537</v>
      </c>
      <c r="Q29" s="107">
        <v>40.550095292899996</v>
      </c>
      <c r="R29" s="107" t="s">
        <v>147</v>
      </c>
      <c r="S29" s="107" t="s">
        <v>276</v>
      </c>
      <c r="T29" s="107" t="s">
        <v>1160</v>
      </c>
      <c r="U29" s="107" t="s">
        <v>1161</v>
      </c>
      <c r="V29" s="107" t="s">
        <v>1162</v>
      </c>
    </row>
    <row r="30" spans="1:22" ht="20.100000000000001" customHeight="1" thickTop="1" thickBot="1">
      <c r="A30" s="105" t="s">
        <v>530</v>
      </c>
      <c r="B30" s="106" t="s">
        <v>157</v>
      </c>
      <c r="C30" s="107" t="s">
        <v>153</v>
      </c>
      <c r="D30" s="107" t="s">
        <v>531</v>
      </c>
      <c r="E30" s="107">
        <v>36</v>
      </c>
      <c r="F30" s="107">
        <v>5179</v>
      </c>
      <c r="G30" s="107" t="s">
        <v>167</v>
      </c>
      <c r="H30" s="107">
        <v>6.95</v>
      </c>
      <c r="I30" s="107">
        <v>7.97</v>
      </c>
      <c r="J30" s="107">
        <v>8.15</v>
      </c>
      <c r="K30" s="107">
        <v>8.0500000000000007</v>
      </c>
      <c r="L30" s="107">
        <v>6.15</v>
      </c>
      <c r="M30" s="108">
        <v>44958</v>
      </c>
      <c r="N30" s="107">
        <v>10.23345585986271</v>
      </c>
      <c r="O30" s="107">
        <v>9.6839540518369311</v>
      </c>
      <c r="P30" s="107">
        <v>-25.5638755811</v>
      </c>
      <c r="Q30" s="107">
        <v>-18.8215221084</v>
      </c>
      <c r="R30" s="107" t="s">
        <v>147</v>
      </c>
      <c r="S30" s="107" t="s">
        <v>288</v>
      </c>
      <c r="T30" s="107" t="s">
        <v>1163</v>
      </c>
      <c r="U30" s="107" t="s">
        <v>1108</v>
      </c>
      <c r="V30" s="107" t="s">
        <v>1164</v>
      </c>
    </row>
    <row r="31" spans="1:22" ht="20.100000000000001" customHeight="1" thickTop="1" thickBot="1">
      <c r="A31" s="105" t="s">
        <v>495</v>
      </c>
      <c r="B31" s="109" t="s">
        <v>143</v>
      </c>
      <c r="C31" s="107" t="s">
        <v>173</v>
      </c>
      <c r="D31" s="107" t="s">
        <v>496</v>
      </c>
      <c r="E31" s="107">
        <v>36</v>
      </c>
      <c r="F31" s="107">
        <v>50000</v>
      </c>
      <c r="G31" s="107" t="s">
        <v>167</v>
      </c>
      <c r="H31" s="107">
        <v>9.01</v>
      </c>
      <c r="I31" s="107">
        <v>13.5</v>
      </c>
      <c r="J31" s="107">
        <v>14.5</v>
      </c>
      <c r="K31" s="107">
        <v>12.38</v>
      </c>
      <c r="L31" s="107">
        <v>12.41</v>
      </c>
      <c r="M31" s="108">
        <v>44953</v>
      </c>
      <c r="N31" s="107">
        <v>15.053078653841041</v>
      </c>
      <c r="O31" s="107">
        <v>12.927542063867975</v>
      </c>
      <c r="P31" s="107">
        <v>-3.8143355436999999</v>
      </c>
      <c r="Q31" s="107">
        <v>10.8445374906</v>
      </c>
      <c r="R31" s="107" t="s">
        <v>147</v>
      </c>
      <c r="S31" s="107" t="s">
        <v>497</v>
      </c>
      <c r="T31" s="107" t="s">
        <v>1165</v>
      </c>
      <c r="U31" s="107" t="s">
        <v>1143</v>
      </c>
      <c r="V31" s="107" t="s">
        <v>1166</v>
      </c>
    </row>
    <row r="32" spans="1:22" ht="20.100000000000001" customHeight="1" thickTop="1" thickBot="1">
      <c r="A32" s="105" t="s">
        <v>527</v>
      </c>
      <c r="B32" s="109" t="s">
        <v>143</v>
      </c>
      <c r="C32" s="107" t="s">
        <v>158</v>
      </c>
      <c r="D32" s="107" t="s">
        <v>528</v>
      </c>
      <c r="E32" s="107">
        <v>36</v>
      </c>
      <c r="F32" s="107">
        <v>74906</v>
      </c>
      <c r="G32" s="107" t="s">
        <v>167</v>
      </c>
      <c r="H32" s="107">
        <v>3.75</v>
      </c>
      <c r="I32" s="107">
        <v>4.3499999999999996</v>
      </c>
      <c r="J32" s="107">
        <v>4.25</v>
      </c>
      <c r="K32" s="107">
        <v>4.33</v>
      </c>
      <c r="L32" s="107">
        <v>4.33</v>
      </c>
      <c r="M32" s="108">
        <v>44938</v>
      </c>
      <c r="N32" s="107">
        <v>4.4082561941510248</v>
      </c>
      <c r="O32" s="107">
        <v>4.1212921406901444</v>
      </c>
      <c r="P32" s="107">
        <v>-3.7236751565000001</v>
      </c>
      <c r="Q32" s="107">
        <v>3.0284202191</v>
      </c>
      <c r="R32" s="107" t="s">
        <v>147</v>
      </c>
      <c r="S32" s="107" t="s">
        <v>529</v>
      </c>
      <c r="T32" s="107" t="s">
        <v>1167</v>
      </c>
      <c r="U32" s="107" t="s">
        <v>1168</v>
      </c>
      <c r="V32" s="107" t="s">
        <v>1169</v>
      </c>
    </row>
    <row r="33" spans="1:22" ht="20.100000000000001" customHeight="1" thickTop="1" thickBot="1">
      <c r="A33" s="105" t="s">
        <v>574</v>
      </c>
      <c r="B33" s="109" t="s">
        <v>143</v>
      </c>
      <c r="C33" s="107" t="s">
        <v>144</v>
      </c>
      <c r="D33" s="107" t="s">
        <v>575</v>
      </c>
      <c r="E33" s="107">
        <v>87</v>
      </c>
      <c r="F33" s="107">
        <v>45263</v>
      </c>
      <c r="G33" s="107" t="s">
        <v>167</v>
      </c>
      <c r="H33" s="107"/>
      <c r="I33" s="107">
        <v>9.5</v>
      </c>
      <c r="J33" s="107">
        <v>9.15</v>
      </c>
      <c r="K33" s="107">
        <v>9.5</v>
      </c>
      <c r="L33" s="107" t="s">
        <v>167</v>
      </c>
      <c r="M33" s="108">
        <v>44930</v>
      </c>
      <c r="N33" s="107">
        <v>9.4259577813565212</v>
      </c>
      <c r="O33" s="107">
        <v>7.8703696310624691</v>
      </c>
      <c r="P33" s="107">
        <v>-3.0159320367000002</v>
      </c>
      <c r="Q33" s="107">
        <v>13.9850313545</v>
      </c>
      <c r="R33" s="107" t="s">
        <v>161</v>
      </c>
      <c r="S33" s="107" t="s">
        <v>576</v>
      </c>
      <c r="T33" s="107" t="s">
        <v>1170</v>
      </c>
      <c r="U33" s="107" t="s">
        <v>1171</v>
      </c>
      <c r="V33" s="107" t="s">
        <v>1172</v>
      </c>
    </row>
    <row r="34" spans="1:22" ht="20.100000000000001" customHeight="1" thickTop="1" thickBot="1">
      <c r="A34" s="105" t="s">
        <v>675</v>
      </c>
      <c r="B34" s="109" t="s">
        <v>143</v>
      </c>
      <c r="C34" s="107" t="s">
        <v>244</v>
      </c>
      <c r="D34" s="107" t="s">
        <v>676</v>
      </c>
      <c r="E34" s="107">
        <v>60</v>
      </c>
      <c r="F34" s="107">
        <v>50545</v>
      </c>
      <c r="G34" s="107" t="s">
        <v>167</v>
      </c>
      <c r="H34" s="107"/>
      <c r="I34" s="107">
        <v>6.5</v>
      </c>
      <c r="J34" s="107">
        <v>6.4</v>
      </c>
      <c r="K34" s="107">
        <v>5.4</v>
      </c>
      <c r="L34" s="107">
        <v>5.44</v>
      </c>
      <c r="M34" s="108">
        <v>44917</v>
      </c>
      <c r="N34" s="107">
        <v>8.5033836969961616</v>
      </c>
      <c r="O34" s="107">
        <v>7.0191106628184059</v>
      </c>
      <c r="P34" s="107">
        <v>-32.865370265599999</v>
      </c>
      <c r="Q34" s="107">
        <v>-9.6736041064999991</v>
      </c>
      <c r="R34" s="107" t="s">
        <v>147</v>
      </c>
      <c r="S34" s="107" t="s">
        <v>558</v>
      </c>
      <c r="T34" s="107" t="s">
        <v>1173</v>
      </c>
      <c r="U34" s="107" t="s">
        <v>1174</v>
      </c>
      <c r="V34" s="107" t="s">
        <v>1175</v>
      </c>
    </row>
    <row r="35" spans="1:22" ht="20.100000000000001" customHeight="1" thickTop="1" thickBot="1">
      <c r="A35" s="105" t="s">
        <v>371</v>
      </c>
      <c r="B35" s="109" t="s">
        <v>143</v>
      </c>
      <c r="C35" s="107" t="s">
        <v>173</v>
      </c>
      <c r="D35" s="107" t="s">
        <v>372</v>
      </c>
      <c r="E35" s="107">
        <v>61</v>
      </c>
      <c r="F35" s="107">
        <v>10699</v>
      </c>
      <c r="G35" s="107" t="s">
        <v>167</v>
      </c>
      <c r="H35" s="107">
        <v>10.75</v>
      </c>
      <c r="I35" s="107">
        <v>14.04</v>
      </c>
      <c r="J35" s="107">
        <v>13.5</v>
      </c>
      <c r="K35" s="107">
        <v>13.15</v>
      </c>
      <c r="L35" s="107">
        <v>13.13</v>
      </c>
      <c r="M35" s="108">
        <v>44917</v>
      </c>
      <c r="N35" s="107">
        <v>14.216640751915397</v>
      </c>
      <c r="O35" s="107">
        <v>12.752455354436846</v>
      </c>
      <c r="P35" s="107">
        <v>-5.3084500142</v>
      </c>
      <c r="Q35" s="107">
        <v>5.5373677449000001</v>
      </c>
      <c r="R35" s="107" t="s">
        <v>147</v>
      </c>
      <c r="S35" s="107" t="s">
        <v>373</v>
      </c>
      <c r="T35" s="107" t="s">
        <v>1176</v>
      </c>
      <c r="U35" s="107" t="s">
        <v>1143</v>
      </c>
      <c r="V35" s="107" t="s">
        <v>1177</v>
      </c>
    </row>
    <row r="36" spans="1:22" ht="20.100000000000001" customHeight="1" thickTop="1" thickBot="1">
      <c r="A36" s="105" t="s">
        <v>712</v>
      </c>
      <c r="B36" s="106" t="s">
        <v>157</v>
      </c>
      <c r="C36" s="107" t="s">
        <v>158</v>
      </c>
      <c r="D36" s="107" t="s">
        <v>713</v>
      </c>
      <c r="E36" s="107">
        <v>60</v>
      </c>
      <c r="F36" s="107">
        <v>18000</v>
      </c>
      <c r="G36" s="107" t="s">
        <v>167</v>
      </c>
      <c r="H36" s="107">
        <v>2.87</v>
      </c>
      <c r="I36" s="107">
        <v>4.05</v>
      </c>
      <c r="J36" s="107">
        <v>4.0999999999999996</v>
      </c>
      <c r="K36" s="107">
        <v>4.05</v>
      </c>
      <c r="L36" s="107" t="s">
        <v>167</v>
      </c>
      <c r="M36" s="108">
        <v>44915</v>
      </c>
      <c r="N36" s="107">
        <v>4.3552656765106201</v>
      </c>
      <c r="O36" s="107">
        <v>4.2246221690319263</v>
      </c>
      <c r="P36" s="107">
        <v>-6.22599211</v>
      </c>
      <c r="Q36" s="107">
        <v>-3.0395650983000002</v>
      </c>
      <c r="R36" s="107" t="s">
        <v>161</v>
      </c>
      <c r="S36" s="107" t="s">
        <v>164</v>
      </c>
      <c r="T36" s="107" t="s">
        <v>1178</v>
      </c>
      <c r="U36" s="107" t="s">
        <v>1092</v>
      </c>
      <c r="V36" s="107" t="s">
        <v>1179</v>
      </c>
    </row>
    <row r="37" spans="1:22" ht="20.100000000000001" customHeight="1" thickTop="1" thickBot="1">
      <c r="A37" s="105" t="s">
        <v>404</v>
      </c>
      <c r="B37" s="109" t="s">
        <v>143</v>
      </c>
      <c r="C37" s="107" t="s">
        <v>214</v>
      </c>
      <c r="D37" s="107" t="s">
        <v>405</v>
      </c>
      <c r="E37" s="107">
        <v>60</v>
      </c>
      <c r="F37" s="107">
        <v>8000</v>
      </c>
      <c r="G37" s="107" t="s">
        <v>167</v>
      </c>
      <c r="H37" s="107">
        <v>6</v>
      </c>
      <c r="I37" s="107">
        <v>7.21</v>
      </c>
      <c r="J37" s="107">
        <v>7.5</v>
      </c>
      <c r="K37" s="107">
        <v>5.25</v>
      </c>
      <c r="L37" s="107" t="s">
        <v>167</v>
      </c>
      <c r="M37" s="108">
        <v>44907</v>
      </c>
      <c r="N37" s="107">
        <v>7.3615742713722296</v>
      </c>
      <c r="O37" s="107">
        <v>7.2519781251107656</v>
      </c>
      <c r="P37" s="107">
        <v>1.8456763816999999</v>
      </c>
      <c r="Q37" s="107">
        <v>3.3069583319000002</v>
      </c>
      <c r="R37" s="107" t="s">
        <v>161</v>
      </c>
      <c r="S37" s="107" t="s">
        <v>236</v>
      </c>
      <c r="T37" s="107" t="s">
        <v>1180</v>
      </c>
      <c r="U37" s="107" t="s">
        <v>1095</v>
      </c>
      <c r="V37" s="107" t="s">
        <v>1181</v>
      </c>
    </row>
    <row r="38" spans="1:22" ht="20.100000000000001" customHeight="1" thickTop="1" thickBot="1">
      <c r="A38" s="105" t="s">
        <v>572</v>
      </c>
      <c r="B38" s="111" t="s">
        <v>238</v>
      </c>
      <c r="C38" s="107" t="s">
        <v>181</v>
      </c>
      <c r="D38" s="107" t="s">
        <v>573</v>
      </c>
      <c r="E38" s="107">
        <v>95</v>
      </c>
      <c r="F38" s="107">
        <v>19914</v>
      </c>
      <c r="G38" s="107" t="s">
        <v>167</v>
      </c>
      <c r="H38" s="107">
        <v>5.2</v>
      </c>
      <c r="I38" s="107">
        <v>9</v>
      </c>
      <c r="J38" s="107">
        <v>8.75</v>
      </c>
      <c r="K38" s="107">
        <v>5.3</v>
      </c>
      <c r="L38" s="107">
        <v>6.11</v>
      </c>
      <c r="M38" s="108">
        <v>44901</v>
      </c>
      <c r="N38" s="107">
        <v>10.682132671902149</v>
      </c>
      <c r="O38" s="107">
        <v>8.0715130698598792</v>
      </c>
      <c r="P38" s="107">
        <v>-22.081516250300002</v>
      </c>
      <c r="Q38" s="107">
        <v>7.7541363445</v>
      </c>
      <c r="R38" s="107" t="s">
        <v>147</v>
      </c>
      <c r="S38" s="107" t="s">
        <v>240</v>
      </c>
      <c r="T38" s="107" t="s">
        <v>1182</v>
      </c>
      <c r="U38" s="107" t="s">
        <v>1183</v>
      </c>
      <c r="V38" s="107" t="s">
        <v>1184</v>
      </c>
    </row>
    <row r="39" spans="1:22" ht="20.100000000000001" customHeight="1" thickTop="1" thickBot="1">
      <c r="A39" s="105" t="s">
        <v>552</v>
      </c>
      <c r="B39" s="106" t="s">
        <v>157</v>
      </c>
      <c r="C39" s="107" t="s">
        <v>158</v>
      </c>
      <c r="D39" s="107" t="s">
        <v>553</v>
      </c>
      <c r="E39" s="107">
        <v>36</v>
      </c>
      <c r="F39" s="107">
        <v>12025</v>
      </c>
      <c r="G39" s="107" t="s">
        <v>167</v>
      </c>
      <c r="H39" s="107">
        <v>3.05</v>
      </c>
      <c r="I39" s="107">
        <v>4.05</v>
      </c>
      <c r="J39" s="107">
        <v>4.5</v>
      </c>
      <c r="K39" s="107">
        <v>4.05</v>
      </c>
      <c r="L39" s="107" t="s">
        <v>167</v>
      </c>
      <c r="M39" s="108">
        <v>44900</v>
      </c>
      <c r="N39" s="107">
        <v>4.6158434277807281</v>
      </c>
      <c r="O39" s="107">
        <v>4.5581354436093902</v>
      </c>
      <c r="P39" s="107">
        <v>-2.5742983951</v>
      </c>
      <c r="Q39" s="107">
        <v>-1.2918987469000001</v>
      </c>
      <c r="R39" s="107" t="s">
        <v>161</v>
      </c>
      <c r="S39" s="107" t="s">
        <v>494</v>
      </c>
      <c r="T39" s="107" t="s">
        <v>1185</v>
      </c>
      <c r="U39" s="107" t="s">
        <v>1092</v>
      </c>
      <c r="V39" s="107" t="s">
        <v>1186</v>
      </c>
    </row>
    <row r="40" spans="1:22" ht="20.100000000000001" customHeight="1" thickTop="1" thickBot="1">
      <c r="A40" s="105" t="s">
        <v>603</v>
      </c>
      <c r="B40" s="113" t="s">
        <v>592</v>
      </c>
      <c r="C40" s="107" t="s">
        <v>244</v>
      </c>
      <c r="D40" s="107" t="s">
        <v>604</v>
      </c>
      <c r="E40" s="107">
        <v>60</v>
      </c>
      <c r="F40" s="107">
        <v>26126</v>
      </c>
      <c r="G40" s="107" t="s">
        <v>167</v>
      </c>
      <c r="H40" s="107">
        <v>2.77</v>
      </c>
      <c r="I40" s="107">
        <v>7.25</v>
      </c>
      <c r="J40" s="107">
        <v>7.25</v>
      </c>
      <c r="K40" s="107">
        <v>5.3</v>
      </c>
      <c r="L40" s="107">
        <v>5.21</v>
      </c>
      <c r="M40" s="108">
        <v>44896</v>
      </c>
      <c r="N40" s="107">
        <v>7.897917804574738</v>
      </c>
      <c r="O40" s="107">
        <v>6.7799145304439019</v>
      </c>
      <c r="P40" s="107">
        <v>-8.9367973045000006</v>
      </c>
      <c r="Q40" s="107">
        <v>6.4839375110999997</v>
      </c>
      <c r="R40" s="107" t="s">
        <v>147</v>
      </c>
      <c r="S40" s="107" t="s">
        <v>605</v>
      </c>
      <c r="T40" s="107" t="s">
        <v>1187</v>
      </c>
      <c r="U40" s="107" t="s">
        <v>1143</v>
      </c>
      <c r="V40" s="107" t="s">
        <v>1188</v>
      </c>
    </row>
    <row r="41" spans="1:22" ht="20.100000000000001" customHeight="1" thickTop="1" thickBot="1">
      <c r="A41" s="105" t="s">
        <v>415</v>
      </c>
      <c r="B41" s="109" t="s">
        <v>143</v>
      </c>
      <c r="C41" s="107" t="s">
        <v>207</v>
      </c>
      <c r="D41" s="107" t="s">
        <v>416</v>
      </c>
      <c r="E41" s="107">
        <v>61</v>
      </c>
      <c r="F41" s="107">
        <v>30333</v>
      </c>
      <c r="G41" s="107" t="s">
        <v>167</v>
      </c>
      <c r="H41" s="107"/>
      <c r="I41" s="107" t="s">
        <v>167</v>
      </c>
      <c r="J41" s="107">
        <v>9</v>
      </c>
      <c r="K41" s="107">
        <v>9.25</v>
      </c>
      <c r="L41" s="107" t="s">
        <v>167</v>
      </c>
      <c r="M41" s="108">
        <v>44894</v>
      </c>
      <c r="N41" s="107">
        <v>9.1506683923616752</v>
      </c>
      <c r="O41" s="107">
        <v>8.4213265156775137</v>
      </c>
      <c r="P41" s="107">
        <v>-1.6740932485</v>
      </c>
      <c r="Q41" s="107">
        <v>6.4297053813999998</v>
      </c>
      <c r="R41" s="107" t="s">
        <v>161</v>
      </c>
      <c r="S41" s="107" t="s">
        <v>417</v>
      </c>
      <c r="T41" s="107" t="s">
        <v>1189</v>
      </c>
      <c r="U41" s="107" t="s">
        <v>1190</v>
      </c>
      <c r="V41" s="107" t="s">
        <v>1191</v>
      </c>
    </row>
    <row r="42" spans="1:22" ht="20.100000000000001" customHeight="1" thickTop="1" thickBot="1">
      <c r="A42" s="105" t="s">
        <v>606</v>
      </c>
      <c r="B42" s="113" t="s">
        <v>592</v>
      </c>
      <c r="C42" s="107" t="s">
        <v>244</v>
      </c>
      <c r="D42" s="107" t="s">
        <v>607</v>
      </c>
      <c r="E42" s="107">
        <v>60</v>
      </c>
      <c r="F42" s="107">
        <v>10495</v>
      </c>
      <c r="G42" s="107" t="s">
        <v>167</v>
      </c>
      <c r="H42" s="107">
        <v>4.45</v>
      </c>
      <c r="I42" s="107">
        <v>7.5</v>
      </c>
      <c r="J42" s="107">
        <v>7.5</v>
      </c>
      <c r="K42" s="107">
        <v>6.3</v>
      </c>
      <c r="L42" s="107">
        <v>6.25</v>
      </c>
      <c r="M42" s="108">
        <v>44893</v>
      </c>
      <c r="N42" s="107">
        <v>8.6060544623615414</v>
      </c>
      <c r="O42" s="107">
        <v>7.9324559003223429</v>
      </c>
      <c r="P42" s="107">
        <v>-14.747392831499999</v>
      </c>
      <c r="Q42" s="107">
        <v>-5.7660786709999998</v>
      </c>
      <c r="R42" s="107" t="s">
        <v>147</v>
      </c>
      <c r="S42" s="107" t="s">
        <v>389</v>
      </c>
      <c r="T42" s="107" t="s">
        <v>1192</v>
      </c>
      <c r="U42" s="107" t="s">
        <v>1143</v>
      </c>
      <c r="V42" s="107" t="s">
        <v>1193</v>
      </c>
    </row>
    <row r="43" spans="1:22" ht="20.100000000000001" customHeight="1" thickTop="1" thickBot="1">
      <c r="A43" s="105" t="s">
        <v>289</v>
      </c>
      <c r="B43" s="109" t="s">
        <v>143</v>
      </c>
      <c r="C43" s="107" t="s">
        <v>144</v>
      </c>
      <c r="D43" s="107" t="s">
        <v>292</v>
      </c>
      <c r="E43" s="107">
        <v>88</v>
      </c>
      <c r="F43" s="107">
        <v>46156</v>
      </c>
      <c r="G43" s="107" t="s">
        <v>167</v>
      </c>
      <c r="H43" s="107">
        <v>5</v>
      </c>
      <c r="I43" s="107">
        <v>5.25</v>
      </c>
      <c r="J43" s="107">
        <v>5.25</v>
      </c>
      <c r="K43" s="107">
        <v>4.5</v>
      </c>
      <c r="L43" s="107" t="s">
        <v>167</v>
      </c>
      <c r="M43" s="108">
        <v>44880</v>
      </c>
      <c r="N43" s="107">
        <v>6.8359571466586271</v>
      </c>
      <c r="O43" s="107">
        <v>6.2439375240785067</v>
      </c>
      <c r="P43" s="107">
        <v>-30.2087075554</v>
      </c>
      <c r="Q43" s="107">
        <v>-18.932143315800001</v>
      </c>
      <c r="R43" s="107" t="s">
        <v>161</v>
      </c>
      <c r="S43" s="107" t="s">
        <v>293</v>
      </c>
      <c r="T43" s="107" t="s">
        <v>1194</v>
      </c>
      <c r="U43" s="107" t="s">
        <v>1195</v>
      </c>
      <c r="V43" s="107" t="s">
        <v>1196</v>
      </c>
    </row>
    <row r="44" spans="1:22" ht="20.100000000000001" customHeight="1" thickTop="1" thickBot="1">
      <c r="A44" s="105" t="s">
        <v>334</v>
      </c>
      <c r="B44" s="109" t="s">
        <v>143</v>
      </c>
      <c r="C44" s="107" t="s">
        <v>144</v>
      </c>
      <c r="D44" s="107" t="s">
        <v>336</v>
      </c>
      <c r="E44" s="107">
        <v>62</v>
      </c>
      <c r="F44" s="107">
        <v>9250</v>
      </c>
      <c r="G44" s="107" t="s">
        <v>167</v>
      </c>
      <c r="H44" s="107"/>
      <c r="I44" s="107" t="s">
        <v>167</v>
      </c>
      <c r="J44" s="107">
        <v>8</v>
      </c>
      <c r="K44" s="107">
        <v>7</v>
      </c>
      <c r="L44" s="107" t="s">
        <v>167</v>
      </c>
      <c r="M44" s="108">
        <v>44874</v>
      </c>
      <c r="N44" s="107">
        <v>9.8076999636364874</v>
      </c>
      <c r="O44" s="112" t="s">
        <v>167</v>
      </c>
      <c r="P44" s="107">
        <v>-22.596249545500001</v>
      </c>
      <c r="Q44" s="112" t="s">
        <v>167</v>
      </c>
      <c r="R44" s="107" t="s">
        <v>161</v>
      </c>
      <c r="S44" s="107" t="s">
        <v>337</v>
      </c>
      <c r="T44" s="107" t="s">
        <v>1197</v>
      </c>
      <c r="U44" s="107" t="s">
        <v>1198</v>
      </c>
      <c r="V44" s="107" t="s">
        <v>1199</v>
      </c>
    </row>
    <row r="45" spans="1:22" ht="20.100000000000001" customHeight="1" thickTop="1" thickBot="1">
      <c r="A45" s="105" t="s">
        <v>420</v>
      </c>
      <c r="B45" s="109" t="s">
        <v>143</v>
      </c>
      <c r="C45" s="107" t="s">
        <v>153</v>
      </c>
      <c r="D45" s="107" t="s">
        <v>421</v>
      </c>
      <c r="E45" s="107">
        <v>124</v>
      </c>
      <c r="F45" s="107">
        <v>48000</v>
      </c>
      <c r="G45" s="107" t="s">
        <v>167</v>
      </c>
      <c r="H45" s="107">
        <v>7</v>
      </c>
      <c r="I45" s="107">
        <v>7.04</v>
      </c>
      <c r="J45" s="107">
        <v>8.5</v>
      </c>
      <c r="K45" s="107">
        <v>7.13</v>
      </c>
      <c r="L45" s="107">
        <v>7.1</v>
      </c>
      <c r="M45" s="108">
        <v>44859</v>
      </c>
      <c r="N45" s="107">
        <v>9.1930316258590867</v>
      </c>
      <c r="O45" s="107">
        <v>7.3270742604322638</v>
      </c>
      <c r="P45" s="107">
        <v>-8.1533132453999997</v>
      </c>
      <c r="Q45" s="107">
        <v>13.7991263479</v>
      </c>
      <c r="R45" s="107" t="s">
        <v>147</v>
      </c>
      <c r="S45" s="107" t="s">
        <v>422</v>
      </c>
      <c r="T45" s="107" t="s">
        <v>1200</v>
      </c>
      <c r="U45" s="107" t="s">
        <v>1201</v>
      </c>
      <c r="V45" s="107" t="s">
        <v>1202</v>
      </c>
    </row>
    <row r="46" spans="1:22" ht="20.100000000000001" customHeight="1" thickTop="1" thickBot="1">
      <c r="A46" s="105" t="s">
        <v>237</v>
      </c>
      <c r="B46" s="111" t="s">
        <v>238</v>
      </c>
      <c r="C46" s="107" t="s">
        <v>181</v>
      </c>
      <c r="D46" s="107" t="s">
        <v>239</v>
      </c>
      <c r="E46" s="107">
        <v>60</v>
      </c>
      <c r="F46" s="107">
        <v>20086</v>
      </c>
      <c r="G46" s="107" t="s">
        <v>167</v>
      </c>
      <c r="H46" s="107">
        <v>3.89</v>
      </c>
      <c r="I46" s="107">
        <v>9</v>
      </c>
      <c r="J46" s="107">
        <v>9</v>
      </c>
      <c r="K46" s="107">
        <v>5.75</v>
      </c>
      <c r="L46" s="107">
        <v>5.81</v>
      </c>
      <c r="M46" s="108">
        <v>44859</v>
      </c>
      <c r="N46" s="107">
        <v>10.823834413003958</v>
      </c>
      <c r="O46" s="107">
        <v>8.0047825244996158</v>
      </c>
      <c r="P46" s="107">
        <v>-20.264826811199999</v>
      </c>
      <c r="Q46" s="107">
        <v>11.057971950000001</v>
      </c>
      <c r="R46" s="107" t="s">
        <v>147</v>
      </c>
      <c r="S46" s="107" t="s">
        <v>240</v>
      </c>
      <c r="T46" s="107" t="s">
        <v>1203</v>
      </c>
      <c r="U46" s="107" t="s">
        <v>1183</v>
      </c>
      <c r="V46" s="107" t="s">
        <v>1204</v>
      </c>
    </row>
    <row r="47" spans="1:22" ht="20.100000000000001" customHeight="1" thickTop="1" thickBot="1">
      <c r="A47" s="105" t="s">
        <v>286</v>
      </c>
      <c r="B47" s="109" t="s">
        <v>143</v>
      </c>
      <c r="C47" s="107" t="s">
        <v>153</v>
      </c>
      <c r="D47" s="107" t="s">
        <v>287</v>
      </c>
      <c r="E47" s="107">
        <v>60</v>
      </c>
      <c r="F47" s="107">
        <v>2323</v>
      </c>
      <c r="G47" s="107" t="s">
        <v>167</v>
      </c>
      <c r="H47" s="107">
        <v>6.19</v>
      </c>
      <c r="I47" s="107">
        <v>8.7899999999999991</v>
      </c>
      <c r="J47" s="107">
        <v>8.7899999999999991</v>
      </c>
      <c r="K47" s="107">
        <v>6.1</v>
      </c>
      <c r="L47" s="107">
        <v>6.09</v>
      </c>
      <c r="M47" s="108">
        <v>44851</v>
      </c>
      <c r="N47" s="107">
        <v>11.598960602665128</v>
      </c>
      <c r="O47" s="107">
        <v>11.053813741794468</v>
      </c>
      <c r="P47" s="107">
        <v>-31.956320849400001</v>
      </c>
      <c r="Q47" s="107">
        <v>-25.754422546000001</v>
      </c>
      <c r="R47" s="107" t="s">
        <v>147</v>
      </c>
      <c r="S47" s="107" t="s">
        <v>288</v>
      </c>
      <c r="T47" s="107" t="s">
        <v>1205</v>
      </c>
      <c r="U47" s="107" t="s">
        <v>1108</v>
      </c>
      <c r="V47" s="107" t="s">
        <v>1206</v>
      </c>
    </row>
    <row r="48" spans="1:22" ht="20.100000000000001" customHeight="1" thickTop="1" thickBot="1">
      <c r="A48" s="105" t="s">
        <v>654</v>
      </c>
      <c r="B48" s="113" t="s">
        <v>592</v>
      </c>
      <c r="C48" s="107" t="s">
        <v>244</v>
      </c>
      <c r="D48" s="107" t="s">
        <v>655</v>
      </c>
      <c r="E48" s="107">
        <v>120</v>
      </c>
      <c r="F48" s="107">
        <v>182500</v>
      </c>
      <c r="G48" s="107" t="s">
        <v>167</v>
      </c>
      <c r="H48" s="107">
        <v>5.04</v>
      </c>
      <c r="I48" s="107">
        <v>6.5</v>
      </c>
      <c r="J48" s="107">
        <v>6.65</v>
      </c>
      <c r="K48" s="107">
        <v>6.54</v>
      </c>
      <c r="L48" s="107">
        <v>6.48</v>
      </c>
      <c r="M48" s="108">
        <v>44840</v>
      </c>
      <c r="N48" s="107">
        <v>9.1006960543746835</v>
      </c>
      <c r="O48" s="107">
        <v>6.870030747580496</v>
      </c>
      <c r="P48" s="107">
        <v>-36.852572246199998</v>
      </c>
      <c r="Q48" s="107">
        <v>-3.3087330463</v>
      </c>
      <c r="R48" s="107" t="s">
        <v>147</v>
      </c>
      <c r="S48" s="107" t="s">
        <v>656</v>
      </c>
      <c r="T48" s="107" t="s">
        <v>1207</v>
      </c>
      <c r="U48" s="107" t="s">
        <v>1208</v>
      </c>
      <c r="V48" s="107" t="s">
        <v>1209</v>
      </c>
    </row>
    <row r="49" spans="1:22" ht="20.100000000000001" customHeight="1" thickTop="1" thickBot="1">
      <c r="A49" s="105" t="s">
        <v>612</v>
      </c>
      <c r="B49" s="106" t="s">
        <v>157</v>
      </c>
      <c r="C49" s="107" t="s">
        <v>274</v>
      </c>
      <c r="D49" s="107" t="s">
        <v>613</v>
      </c>
      <c r="E49" s="107">
        <v>48</v>
      </c>
      <c r="F49" s="107">
        <v>40394</v>
      </c>
      <c r="G49" s="107" t="s">
        <v>167</v>
      </c>
      <c r="H49" s="107">
        <v>4.88</v>
      </c>
      <c r="I49" s="107">
        <v>7</v>
      </c>
      <c r="J49" s="107">
        <v>7</v>
      </c>
      <c r="K49" s="107">
        <v>5.9</v>
      </c>
      <c r="L49" s="107">
        <v>5.89</v>
      </c>
      <c r="M49" s="108">
        <v>44838</v>
      </c>
      <c r="N49" s="107">
        <v>6.9647697787081473</v>
      </c>
      <c r="O49" s="107">
        <v>5.8353040595258951</v>
      </c>
      <c r="P49" s="107">
        <v>0.50328887560000002</v>
      </c>
      <c r="Q49" s="107">
        <v>16.638513435299998</v>
      </c>
      <c r="R49" s="107" t="s">
        <v>147</v>
      </c>
      <c r="S49" s="107" t="s">
        <v>614</v>
      </c>
      <c r="T49" s="107" t="s">
        <v>1210</v>
      </c>
      <c r="U49" s="107" t="s">
        <v>1211</v>
      </c>
      <c r="V49" s="107" t="s">
        <v>1212</v>
      </c>
    </row>
    <row r="50" spans="1:22" ht="20.100000000000001" customHeight="1" thickTop="1" thickBot="1">
      <c r="A50" s="105" t="s">
        <v>323</v>
      </c>
      <c r="B50" s="111" t="s">
        <v>238</v>
      </c>
      <c r="C50" s="107" t="s">
        <v>173</v>
      </c>
      <c r="D50" s="107" t="s">
        <v>324</v>
      </c>
      <c r="E50" s="107">
        <v>36</v>
      </c>
      <c r="F50" s="107">
        <v>22500</v>
      </c>
      <c r="G50" s="107" t="s">
        <v>167</v>
      </c>
      <c r="H50" s="107">
        <v>8.58</v>
      </c>
      <c r="I50" s="107">
        <v>13.5</v>
      </c>
      <c r="J50" s="107">
        <v>13.5</v>
      </c>
      <c r="K50" s="107">
        <v>13.06</v>
      </c>
      <c r="L50" s="107">
        <v>13.09</v>
      </c>
      <c r="M50" s="108">
        <v>44837</v>
      </c>
      <c r="N50" s="107">
        <v>13.164537903621239</v>
      </c>
      <c r="O50" s="107">
        <v>12.456966921506917</v>
      </c>
      <c r="P50" s="107">
        <v>2.4849044176000001</v>
      </c>
      <c r="Q50" s="107">
        <v>7.7261709518000004</v>
      </c>
      <c r="R50" s="107" t="s">
        <v>147</v>
      </c>
      <c r="S50" s="107" t="s">
        <v>325</v>
      </c>
      <c r="T50" s="107" t="s">
        <v>1213</v>
      </c>
      <c r="U50" s="107" t="s">
        <v>1143</v>
      </c>
      <c r="V50" s="107" t="s">
        <v>1214</v>
      </c>
    </row>
    <row r="51" spans="1:22" ht="20.100000000000001" customHeight="1" thickTop="1" thickBot="1">
      <c r="A51" s="105" t="s">
        <v>624</v>
      </c>
      <c r="B51" s="109" t="s">
        <v>143</v>
      </c>
      <c r="C51" s="107" t="s">
        <v>181</v>
      </c>
      <c r="D51" s="107" t="s">
        <v>625</v>
      </c>
      <c r="E51" s="107">
        <v>120</v>
      </c>
      <c r="F51" s="107">
        <v>47268</v>
      </c>
      <c r="G51" s="107">
        <v>47268</v>
      </c>
      <c r="H51" s="107"/>
      <c r="I51" s="107">
        <v>9</v>
      </c>
      <c r="J51" s="107">
        <v>14</v>
      </c>
      <c r="K51" s="107">
        <v>8.5</v>
      </c>
      <c r="L51" s="107" t="s">
        <v>167</v>
      </c>
      <c r="M51" s="108">
        <v>45099</v>
      </c>
      <c r="N51" s="119">
        <v>10.877222458606951</v>
      </c>
      <c r="O51" s="119">
        <v>9.5954609027027846</v>
      </c>
      <c r="P51" s="119">
        <v>22.305553867099999</v>
      </c>
      <c r="Q51" s="119">
        <v>31.4609935521</v>
      </c>
      <c r="R51" s="107" t="s">
        <v>161</v>
      </c>
      <c r="S51" s="107" t="s">
        <v>1215</v>
      </c>
      <c r="T51" s="107" t="s">
        <v>1216</v>
      </c>
      <c r="U51" s="107" t="s">
        <v>1217</v>
      </c>
      <c r="V51" s="107" t="s">
        <v>1218</v>
      </c>
    </row>
    <row r="52" spans="1:22" ht="20.100000000000001" customHeight="1" thickTop="1" thickBot="1">
      <c r="A52" s="105" t="s">
        <v>697</v>
      </c>
      <c r="B52" s="109" t="s">
        <v>143</v>
      </c>
      <c r="C52" s="107" t="s">
        <v>181</v>
      </c>
      <c r="D52" s="107" t="s">
        <v>698</v>
      </c>
      <c r="E52" s="107">
        <v>24</v>
      </c>
      <c r="F52" s="107">
        <v>3555</v>
      </c>
      <c r="G52" s="107" t="s">
        <v>167</v>
      </c>
      <c r="H52" s="107"/>
      <c r="I52" s="107" t="s">
        <v>167</v>
      </c>
      <c r="J52" s="107">
        <v>8</v>
      </c>
      <c r="K52" s="107">
        <v>7.21</v>
      </c>
      <c r="L52" s="107">
        <v>7.3</v>
      </c>
      <c r="M52" s="108">
        <v>44833</v>
      </c>
      <c r="N52" s="107">
        <v>11.123232449557337</v>
      </c>
      <c r="O52" s="107">
        <v>11.104913355238834</v>
      </c>
      <c r="P52" s="107">
        <v>-39.0404056195</v>
      </c>
      <c r="Q52" s="107">
        <v>-38.811416940500003</v>
      </c>
      <c r="R52" s="107" t="s">
        <v>147</v>
      </c>
      <c r="S52" s="107" t="s">
        <v>561</v>
      </c>
      <c r="T52" s="107" t="s">
        <v>1219</v>
      </c>
      <c r="U52" s="107" t="s">
        <v>1220</v>
      </c>
      <c r="V52" s="107" t="s">
        <v>1221</v>
      </c>
    </row>
    <row r="53" spans="1:22" ht="20.100000000000001" customHeight="1" thickTop="1" thickBot="1">
      <c r="A53" s="105" t="s">
        <v>727</v>
      </c>
      <c r="B53" s="110" t="s">
        <v>252</v>
      </c>
      <c r="C53" s="107" t="s">
        <v>177</v>
      </c>
      <c r="D53" s="107" t="s">
        <v>1222</v>
      </c>
      <c r="E53" s="107">
        <v>36</v>
      </c>
      <c r="F53" s="107">
        <v>9070</v>
      </c>
      <c r="G53" s="107" t="s">
        <v>167</v>
      </c>
      <c r="H53" s="107">
        <v>4.3899999999999997</v>
      </c>
      <c r="I53" s="107" t="s">
        <v>167</v>
      </c>
      <c r="J53" s="107">
        <v>4.7300000000000004</v>
      </c>
      <c r="K53" s="107">
        <v>4.3899999999999997</v>
      </c>
      <c r="L53" s="107">
        <v>9.9700000000000006</v>
      </c>
      <c r="M53" s="108">
        <v>44833</v>
      </c>
      <c r="N53" s="107">
        <v>10.274945878347275</v>
      </c>
      <c r="O53" s="107">
        <v>10.417335844381997</v>
      </c>
      <c r="P53" s="107">
        <v>-117.2292997536</v>
      </c>
      <c r="Q53" s="107">
        <v>-120.23965844360001</v>
      </c>
      <c r="R53" s="107" t="s">
        <v>147</v>
      </c>
      <c r="S53" s="107" t="s">
        <v>179</v>
      </c>
      <c r="T53" s="107" t="s">
        <v>1223</v>
      </c>
      <c r="U53" s="107" t="s">
        <v>1224</v>
      </c>
      <c r="V53" s="107" t="s">
        <v>1225</v>
      </c>
    </row>
    <row r="54" spans="1:22" ht="20.100000000000001" customHeight="1" thickTop="1" thickBot="1">
      <c r="A54" s="105" t="s">
        <v>502</v>
      </c>
      <c r="B54" s="106" t="s">
        <v>157</v>
      </c>
      <c r="C54" s="107" t="s">
        <v>158</v>
      </c>
      <c r="D54" s="107" t="s">
        <v>503</v>
      </c>
      <c r="E54" s="107">
        <v>24</v>
      </c>
      <c r="F54" s="107">
        <v>30000</v>
      </c>
      <c r="G54" s="107" t="s">
        <v>167</v>
      </c>
      <c r="H54" s="107">
        <v>2.93</v>
      </c>
      <c r="I54" s="107" t="s">
        <v>167</v>
      </c>
      <c r="J54" s="107">
        <v>4.3499999999999996</v>
      </c>
      <c r="K54" s="107">
        <v>4.05</v>
      </c>
      <c r="L54" s="107" t="s">
        <v>167</v>
      </c>
      <c r="M54" s="108">
        <v>44832</v>
      </c>
      <c r="N54" s="107">
        <v>5.1962950548263249</v>
      </c>
      <c r="O54" s="107">
        <v>5.0698770017245351</v>
      </c>
      <c r="P54" s="107">
        <v>-19.455058731600001</v>
      </c>
      <c r="Q54" s="107">
        <v>-16.548896591399998</v>
      </c>
      <c r="R54" s="107" t="s">
        <v>161</v>
      </c>
      <c r="S54" s="107" t="s">
        <v>260</v>
      </c>
      <c r="T54" s="107" t="s">
        <v>1226</v>
      </c>
      <c r="U54" s="107" t="s">
        <v>1092</v>
      </c>
      <c r="V54" s="107" t="s">
        <v>1227</v>
      </c>
    </row>
    <row r="55" spans="1:22" ht="20.100000000000001" customHeight="1" thickTop="1" thickBot="1">
      <c r="A55" s="105" t="s">
        <v>510</v>
      </c>
      <c r="B55" s="106" t="s">
        <v>157</v>
      </c>
      <c r="C55" s="107" t="s">
        <v>158</v>
      </c>
      <c r="D55" s="107" t="s">
        <v>511</v>
      </c>
      <c r="E55" s="107">
        <v>60</v>
      </c>
      <c r="F55" s="107">
        <v>24000</v>
      </c>
      <c r="G55" s="107" t="s">
        <v>167</v>
      </c>
      <c r="H55" s="107">
        <v>2.59</v>
      </c>
      <c r="I55" s="107" t="s">
        <v>167</v>
      </c>
      <c r="J55" s="107">
        <v>4</v>
      </c>
      <c r="K55" s="107">
        <v>3.95</v>
      </c>
      <c r="L55" s="107" t="s">
        <v>167</v>
      </c>
      <c r="M55" s="108">
        <v>44832</v>
      </c>
      <c r="N55" s="107">
        <v>4.2874242796566406</v>
      </c>
      <c r="O55" s="107">
        <v>3.9704441881714554</v>
      </c>
      <c r="P55" s="107">
        <v>-7.1856069914000003</v>
      </c>
      <c r="Q55" s="107">
        <v>0.73889529570000001</v>
      </c>
      <c r="R55" s="107" t="s">
        <v>161</v>
      </c>
      <c r="S55" s="107" t="s">
        <v>164</v>
      </c>
      <c r="T55" s="107" t="s">
        <v>1228</v>
      </c>
      <c r="U55" s="107" t="s">
        <v>1092</v>
      </c>
      <c r="V55" s="107" t="s">
        <v>1229</v>
      </c>
    </row>
    <row r="56" spans="1:22" ht="20.100000000000001" customHeight="1" thickTop="1" thickBot="1">
      <c r="A56" s="105" t="s">
        <v>585</v>
      </c>
      <c r="B56" s="106" t="s">
        <v>157</v>
      </c>
      <c r="C56" s="107" t="s">
        <v>185</v>
      </c>
      <c r="D56" s="107" t="s">
        <v>586</v>
      </c>
      <c r="E56" s="107">
        <v>60</v>
      </c>
      <c r="F56" s="107">
        <v>80000</v>
      </c>
      <c r="G56" s="107" t="s">
        <v>167</v>
      </c>
      <c r="H56" s="107">
        <v>3.46</v>
      </c>
      <c r="I56" s="107" t="s">
        <v>167</v>
      </c>
      <c r="J56" s="107">
        <v>4.5</v>
      </c>
      <c r="K56" s="107">
        <v>3.71</v>
      </c>
      <c r="L56" s="107">
        <v>3.63</v>
      </c>
      <c r="M56" s="108">
        <v>44832</v>
      </c>
      <c r="N56" s="107">
        <v>6.0335814570703725</v>
      </c>
      <c r="O56" s="107">
        <v>4.699680381676191</v>
      </c>
      <c r="P56" s="107">
        <v>-34.079587934899997</v>
      </c>
      <c r="Q56" s="107">
        <v>-4.4373418149999999</v>
      </c>
      <c r="R56" s="107" t="s">
        <v>147</v>
      </c>
      <c r="S56" s="107" t="s">
        <v>587</v>
      </c>
      <c r="T56" s="107" t="s">
        <v>1230</v>
      </c>
      <c r="U56" s="107" t="s">
        <v>1231</v>
      </c>
      <c r="V56" s="107" t="s">
        <v>1232</v>
      </c>
    </row>
    <row r="57" spans="1:22" ht="20.100000000000001" customHeight="1" thickTop="1" thickBot="1">
      <c r="A57" s="105" t="s">
        <v>473</v>
      </c>
      <c r="B57" s="109" t="s">
        <v>143</v>
      </c>
      <c r="C57" s="107" t="s">
        <v>474</v>
      </c>
      <c r="D57" s="107" t="s">
        <v>475</v>
      </c>
      <c r="E57" s="107">
        <v>99</v>
      </c>
      <c r="F57" s="107">
        <v>39972</v>
      </c>
      <c r="G57" s="107" t="s">
        <v>167</v>
      </c>
      <c r="H57" s="107"/>
      <c r="I57" s="107" t="s">
        <v>167</v>
      </c>
      <c r="J57" s="107">
        <v>13</v>
      </c>
      <c r="K57" s="107">
        <v>12.25</v>
      </c>
      <c r="L57" s="107" t="s">
        <v>167</v>
      </c>
      <c r="M57" s="108">
        <v>44824</v>
      </c>
      <c r="N57" s="107">
        <v>13.115530310751769</v>
      </c>
      <c r="O57" s="107">
        <v>10.979131054660634</v>
      </c>
      <c r="P57" s="107">
        <v>-0.88869469810000001</v>
      </c>
      <c r="Q57" s="107">
        <v>15.5451457334</v>
      </c>
      <c r="R57" s="107" t="s">
        <v>161</v>
      </c>
      <c r="S57" s="107" t="s">
        <v>476</v>
      </c>
      <c r="T57" s="107" t="s">
        <v>1233</v>
      </c>
      <c r="U57" s="107" t="s">
        <v>1117</v>
      </c>
      <c r="V57" s="107" t="s">
        <v>1234</v>
      </c>
    </row>
    <row r="58" spans="1:22" ht="20.100000000000001" customHeight="1" thickTop="1" thickBot="1">
      <c r="A58" s="105" t="s">
        <v>580</v>
      </c>
      <c r="B58" s="106" t="s">
        <v>157</v>
      </c>
      <c r="C58" s="107" t="s">
        <v>144</v>
      </c>
      <c r="D58" s="107" t="s">
        <v>581</v>
      </c>
      <c r="E58" s="107">
        <v>36</v>
      </c>
      <c r="F58" s="107">
        <v>20000</v>
      </c>
      <c r="G58" s="107" t="s">
        <v>167</v>
      </c>
      <c r="H58" s="107">
        <v>8.06</v>
      </c>
      <c r="I58" s="107" t="s">
        <v>167</v>
      </c>
      <c r="J58" s="107">
        <v>8.25</v>
      </c>
      <c r="K58" s="107">
        <v>8.1219999999999999</v>
      </c>
      <c r="L58" s="107">
        <v>7.66</v>
      </c>
      <c r="M58" s="108">
        <v>44819</v>
      </c>
      <c r="N58" s="107">
        <v>8.7385015800627173</v>
      </c>
      <c r="O58" s="107">
        <v>8.4626631243833934</v>
      </c>
      <c r="P58" s="107">
        <v>-5.9212312735000001</v>
      </c>
      <c r="Q58" s="107">
        <v>-2.5777348409999998</v>
      </c>
      <c r="R58" s="107" t="s">
        <v>147</v>
      </c>
      <c r="S58" s="107" t="s">
        <v>582</v>
      </c>
      <c r="T58" s="107" t="s">
        <v>1235</v>
      </c>
      <c r="U58" s="107" t="s">
        <v>1236</v>
      </c>
      <c r="V58" s="107" t="s">
        <v>1237</v>
      </c>
    </row>
    <row r="59" spans="1:22" ht="20.100000000000001" customHeight="1" thickTop="1" thickBot="1">
      <c r="A59" s="105" t="s">
        <v>426</v>
      </c>
      <c r="B59" s="109" t="s">
        <v>143</v>
      </c>
      <c r="C59" s="107" t="s">
        <v>144</v>
      </c>
      <c r="D59" s="107" t="s">
        <v>427</v>
      </c>
      <c r="E59" s="107">
        <v>36</v>
      </c>
      <c r="F59" s="107">
        <v>5382</v>
      </c>
      <c r="G59" s="107" t="s">
        <v>167</v>
      </c>
      <c r="H59" s="107">
        <v>6.18</v>
      </c>
      <c r="I59" s="107" t="s">
        <v>167</v>
      </c>
      <c r="J59" s="107">
        <v>9.25</v>
      </c>
      <c r="K59" s="107">
        <v>8</v>
      </c>
      <c r="L59" s="107">
        <v>8.15</v>
      </c>
      <c r="M59" s="108">
        <v>44815</v>
      </c>
      <c r="N59" s="107">
        <v>10.776818795351232</v>
      </c>
      <c r="O59" s="107">
        <v>10.534941871656395</v>
      </c>
      <c r="P59" s="107">
        <v>-16.5061491389</v>
      </c>
      <c r="Q59" s="107">
        <v>-13.891263477400001</v>
      </c>
      <c r="R59" s="107" t="s">
        <v>147</v>
      </c>
      <c r="S59" s="107" t="s">
        <v>296</v>
      </c>
      <c r="T59" s="107" t="s">
        <v>1238</v>
      </c>
      <c r="U59" s="107" t="s">
        <v>1128</v>
      </c>
      <c r="V59" s="107" t="s">
        <v>1239</v>
      </c>
    </row>
    <row r="60" spans="1:22" ht="20.100000000000001" customHeight="1" thickTop="1" thickBot="1">
      <c r="A60" s="105" t="s">
        <v>583</v>
      </c>
      <c r="B60" s="109" t="s">
        <v>143</v>
      </c>
      <c r="C60" s="107" t="s">
        <v>177</v>
      </c>
      <c r="D60" s="107" t="s">
        <v>584</v>
      </c>
      <c r="E60" s="107">
        <v>60</v>
      </c>
      <c r="F60" s="107">
        <v>6832</v>
      </c>
      <c r="G60" s="107" t="s">
        <v>167</v>
      </c>
      <c r="H60" s="107">
        <v>10.95</v>
      </c>
      <c r="I60" s="107" t="s">
        <v>167</v>
      </c>
      <c r="J60" s="107">
        <v>11.85</v>
      </c>
      <c r="K60" s="107">
        <v>10.95</v>
      </c>
      <c r="L60" s="107">
        <v>8.41</v>
      </c>
      <c r="M60" s="108">
        <v>44813</v>
      </c>
      <c r="N60" s="107">
        <v>11.332836136674636</v>
      </c>
      <c r="O60" s="107">
        <v>10.870484207571202</v>
      </c>
      <c r="P60" s="107">
        <v>4.3642520111999996</v>
      </c>
      <c r="Q60" s="107">
        <v>8.2659560543000001</v>
      </c>
      <c r="R60" s="107" t="s">
        <v>147</v>
      </c>
      <c r="S60" s="107" t="s">
        <v>179</v>
      </c>
      <c r="T60" s="107" t="s">
        <v>1240</v>
      </c>
      <c r="U60" s="107" t="s">
        <v>1224</v>
      </c>
      <c r="V60" s="107" t="s">
        <v>1241</v>
      </c>
    </row>
    <row r="61" spans="1:22" ht="20.100000000000001" customHeight="1" thickTop="1" thickBot="1">
      <c r="A61" s="105" t="s">
        <v>662</v>
      </c>
      <c r="B61" s="109" t="s">
        <v>143</v>
      </c>
      <c r="C61" s="107" t="s">
        <v>153</v>
      </c>
      <c r="D61" s="107" t="s">
        <v>663</v>
      </c>
      <c r="E61" s="107">
        <v>60</v>
      </c>
      <c r="F61" s="107">
        <v>47532</v>
      </c>
      <c r="G61" s="107" t="s">
        <v>167</v>
      </c>
      <c r="H61" s="107"/>
      <c r="I61" s="107" t="s">
        <v>167</v>
      </c>
      <c r="J61" s="107">
        <v>6.6</v>
      </c>
      <c r="K61" s="107">
        <v>6.55</v>
      </c>
      <c r="L61" s="107">
        <v>6.54</v>
      </c>
      <c r="M61" s="108">
        <v>44805</v>
      </c>
      <c r="N61" s="107">
        <v>8.5261921386565032</v>
      </c>
      <c r="O61" s="107">
        <v>7.1061849055661321</v>
      </c>
      <c r="P61" s="107">
        <v>-29.1847293736</v>
      </c>
      <c r="Q61" s="107">
        <v>-7.6694682662</v>
      </c>
      <c r="R61" s="107" t="s">
        <v>147</v>
      </c>
      <c r="S61" s="107" t="s">
        <v>664</v>
      </c>
      <c r="T61" s="107" t="s">
        <v>1242</v>
      </c>
      <c r="U61" s="107" t="s">
        <v>1243</v>
      </c>
      <c r="V61" s="107" t="s">
        <v>1244</v>
      </c>
    </row>
    <row r="62" spans="1:22" ht="20.100000000000001" customHeight="1" thickTop="1" thickBot="1">
      <c r="A62" s="105" t="s">
        <v>591</v>
      </c>
      <c r="B62" s="113" t="s">
        <v>592</v>
      </c>
      <c r="C62" s="107" t="s">
        <v>244</v>
      </c>
      <c r="D62" s="107" t="s">
        <v>593</v>
      </c>
      <c r="E62" s="107">
        <v>60</v>
      </c>
      <c r="F62" s="107">
        <v>27290</v>
      </c>
      <c r="G62" s="107" t="s">
        <v>167</v>
      </c>
      <c r="H62" s="107">
        <v>5.726</v>
      </c>
      <c r="I62" s="107" t="s">
        <v>167</v>
      </c>
      <c r="J62" s="107">
        <v>7.25</v>
      </c>
      <c r="K62" s="107">
        <v>7</v>
      </c>
      <c r="L62" s="107">
        <v>6.96</v>
      </c>
      <c r="M62" s="108">
        <v>44805</v>
      </c>
      <c r="N62" s="107">
        <v>8.1509178503586917</v>
      </c>
      <c r="O62" s="107">
        <v>7.0117044846984706</v>
      </c>
      <c r="P62" s="107">
        <v>-12.426453108400001</v>
      </c>
      <c r="Q62" s="107">
        <v>3.2868346937999999</v>
      </c>
      <c r="R62" s="107" t="s">
        <v>147</v>
      </c>
      <c r="S62" s="107" t="s">
        <v>594</v>
      </c>
      <c r="T62" s="107" t="s">
        <v>1245</v>
      </c>
      <c r="U62" s="107" t="s">
        <v>1246</v>
      </c>
      <c r="V62" s="107" t="s">
        <v>1247</v>
      </c>
    </row>
    <row r="63" spans="1:22" ht="20.100000000000001" customHeight="1" thickTop="1" thickBot="1">
      <c r="A63" s="105" t="s">
        <v>686</v>
      </c>
      <c r="B63" s="110" t="s">
        <v>252</v>
      </c>
      <c r="C63" s="107" t="s">
        <v>181</v>
      </c>
      <c r="D63" s="107" t="s">
        <v>560</v>
      </c>
      <c r="E63" s="107">
        <v>60</v>
      </c>
      <c r="F63" s="107">
        <v>25651</v>
      </c>
      <c r="G63" s="107" t="s">
        <v>167</v>
      </c>
      <c r="H63" s="107">
        <v>4.8499999999999996</v>
      </c>
      <c r="I63" s="107" t="s">
        <v>167</v>
      </c>
      <c r="J63" s="107">
        <v>5.57</v>
      </c>
      <c r="K63" s="107">
        <v>5.33</v>
      </c>
      <c r="L63" s="107">
        <v>5.71</v>
      </c>
      <c r="M63" s="108">
        <v>44792</v>
      </c>
      <c r="N63" s="107">
        <v>10.192351133965202</v>
      </c>
      <c r="O63" s="107">
        <v>9.2033437053214104</v>
      </c>
      <c r="P63" s="107">
        <v>-82.986555367400001</v>
      </c>
      <c r="Q63" s="107">
        <v>-65.230587169100005</v>
      </c>
      <c r="R63" s="107" t="s">
        <v>147</v>
      </c>
      <c r="S63" s="107" t="s">
        <v>561</v>
      </c>
      <c r="T63" s="107" t="s">
        <v>1248</v>
      </c>
      <c r="U63" s="107" t="s">
        <v>1220</v>
      </c>
      <c r="V63" s="107" t="s">
        <v>1249</v>
      </c>
    </row>
    <row r="64" spans="1:22" ht="20.100000000000001" customHeight="1" thickTop="1" thickBot="1">
      <c r="A64" s="105" t="s">
        <v>507</v>
      </c>
      <c r="B64" s="106" t="s">
        <v>157</v>
      </c>
      <c r="C64" s="107" t="s">
        <v>474</v>
      </c>
      <c r="D64" s="107" t="s">
        <v>508</v>
      </c>
      <c r="E64" s="107">
        <v>36</v>
      </c>
      <c r="F64" s="107">
        <v>25327</v>
      </c>
      <c r="G64" s="107" t="s">
        <v>167</v>
      </c>
      <c r="H64" s="107">
        <v>8.5</v>
      </c>
      <c r="I64" s="107" t="s">
        <v>167</v>
      </c>
      <c r="J64" s="107">
        <v>9.9499999999999993</v>
      </c>
      <c r="K64" s="107">
        <v>9.18</v>
      </c>
      <c r="L64" s="107" t="s">
        <v>167</v>
      </c>
      <c r="M64" s="108">
        <v>44791</v>
      </c>
      <c r="N64" s="107">
        <v>13.883568500172286</v>
      </c>
      <c r="O64" s="107">
        <v>12.568415033125397</v>
      </c>
      <c r="P64" s="107">
        <v>-39.533351760499997</v>
      </c>
      <c r="Q64" s="107">
        <v>-26.315728976100001</v>
      </c>
      <c r="R64" s="107" t="s">
        <v>161</v>
      </c>
      <c r="S64" s="107" t="s">
        <v>509</v>
      </c>
      <c r="T64" s="107" t="s">
        <v>1250</v>
      </c>
      <c r="U64" s="107" t="s">
        <v>1251</v>
      </c>
      <c r="V64" s="107" t="s">
        <v>1252</v>
      </c>
    </row>
    <row r="65" spans="1:22" ht="20.100000000000001" customHeight="1" thickTop="1" thickBot="1">
      <c r="A65" s="105" t="s">
        <v>726</v>
      </c>
      <c r="B65" s="110" t="s">
        <v>252</v>
      </c>
      <c r="C65" s="107" t="s">
        <v>244</v>
      </c>
      <c r="D65" s="107" t="s">
        <v>362</v>
      </c>
      <c r="E65" s="107">
        <v>24</v>
      </c>
      <c r="F65" s="107">
        <v>5000</v>
      </c>
      <c r="G65" s="107" t="s">
        <v>167</v>
      </c>
      <c r="H65" s="107">
        <v>4.63</v>
      </c>
      <c r="I65" s="107" t="s">
        <v>167</v>
      </c>
      <c r="J65" s="107">
        <v>5.1100000000000003</v>
      </c>
      <c r="K65" s="107">
        <v>5.1100000000000003</v>
      </c>
      <c r="L65" s="107" t="s">
        <v>1253</v>
      </c>
      <c r="M65" s="108">
        <v>44775</v>
      </c>
      <c r="N65" s="107">
        <v>9.6606605989737844</v>
      </c>
      <c r="O65" s="107">
        <v>9.6657029080974315</v>
      </c>
      <c r="P65" s="107">
        <v>-89.054023463299998</v>
      </c>
      <c r="Q65" s="107">
        <v>-89.152698788600006</v>
      </c>
      <c r="R65" s="107" t="s">
        <v>147</v>
      </c>
      <c r="S65" s="107" t="s">
        <v>285</v>
      </c>
      <c r="T65" s="107" t="s">
        <v>1254</v>
      </c>
      <c r="U65" s="107" t="s">
        <v>1102</v>
      </c>
      <c r="V65" s="107" t="s">
        <v>1255</v>
      </c>
    </row>
    <row r="66" spans="1:22" ht="20.100000000000001" customHeight="1" thickTop="1" thickBot="1">
      <c r="A66" s="105" t="s">
        <v>369</v>
      </c>
      <c r="B66" s="109" t="s">
        <v>143</v>
      </c>
      <c r="C66" s="107" t="s">
        <v>144</v>
      </c>
      <c r="D66" s="107" t="s">
        <v>370</v>
      </c>
      <c r="E66" s="107">
        <v>62</v>
      </c>
      <c r="F66" s="107">
        <v>12905</v>
      </c>
      <c r="G66" s="107" t="s">
        <v>167</v>
      </c>
      <c r="H66" s="107">
        <v>7.12</v>
      </c>
      <c r="I66" s="107" t="s">
        <v>167</v>
      </c>
      <c r="J66" s="107">
        <v>9</v>
      </c>
      <c r="K66" s="107">
        <v>8</v>
      </c>
      <c r="L66" s="107" t="s">
        <v>167</v>
      </c>
      <c r="M66" s="108">
        <v>44769</v>
      </c>
      <c r="N66" s="107">
        <v>9.8740417376553484</v>
      </c>
      <c r="O66" s="107">
        <v>9.4217512159392474</v>
      </c>
      <c r="P66" s="107">
        <v>-9.7115748627999992</v>
      </c>
      <c r="Q66" s="107">
        <v>-4.6861246215000003</v>
      </c>
      <c r="R66" s="107" t="s">
        <v>147</v>
      </c>
      <c r="S66" s="107" t="s">
        <v>279</v>
      </c>
      <c r="T66" s="107" t="s">
        <v>1256</v>
      </c>
      <c r="U66" s="107" t="s">
        <v>1257</v>
      </c>
      <c r="V66" s="107" t="s">
        <v>1258</v>
      </c>
    </row>
    <row r="67" spans="1:22" ht="20.100000000000001" customHeight="1" thickTop="1" thickBot="1">
      <c r="A67" s="105" t="s">
        <v>381</v>
      </c>
      <c r="B67" s="109" t="s">
        <v>143</v>
      </c>
      <c r="C67" s="107" t="s">
        <v>153</v>
      </c>
      <c r="D67" s="107" t="s">
        <v>382</v>
      </c>
      <c r="E67" s="107">
        <v>62</v>
      </c>
      <c r="F67" s="107">
        <v>20030</v>
      </c>
      <c r="G67" s="107" t="s">
        <v>167</v>
      </c>
      <c r="H67" s="107">
        <v>4.49</v>
      </c>
      <c r="I67" s="107" t="s">
        <v>167</v>
      </c>
      <c r="J67" s="107">
        <v>10.45</v>
      </c>
      <c r="K67" s="107">
        <v>10.45</v>
      </c>
      <c r="L67" s="107">
        <v>10.51</v>
      </c>
      <c r="M67" s="108">
        <v>44764</v>
      </c>
      <c r="N67" s="107">
        <v>9.4476430071638351</v>
      </c>
      <c r="O67" s="107">
        <v>7.3876106789689029</v>
      </c>
      <c r="P67" s="107">
        <v>9.5919329458</v>
      </c>
      <c r="Q67" s="107">
        <v>29.305160966799999</v>
      </c>
      <c r="R67" s="107" t="s">
        <v>147</v>
      </c>
      <c r="S67" s="107" t="s">
        <v>383</v>
      </c>
      <c r="T67" s="107" t="s">
        <v>1259</v>
      </c>
      <c r="U67" s="107" t="s">
        <v>1257</v>
      </c>
      <c r="V67" s="107" t="s">
        <v>1260</v>
      </c>
    </row>
    <row r="68" spans="1:22" ht="20.100000000000001" customHeight="1" thickTop="1" thickBot="1">
      <c r="A68" s="105" t="s">
        <v>618</v>
      </c>
      <c r="B68" s="109" t="s">
        <v>143</v>
      </c>
      <c r="C68" s="107" t="s">
        <v>181</v>
      </c>
      <c r="D68" s="107" t="s">
        <v>619</v>
      </c>
      <c r="E68" s="107">
        <v>84</v>
      </c>
      <c r="F68" s="107">
        <v>45375</v>
      </c>
      <c r="G68" s="107" t="s">
        <v>167</v>
      </c>
      <c r="H68" s="107">
        <v>5.83</v>
      </c>
      <c r="I68" s="107" t="s">
        <v>167</v>
      </c>
      <c r="J68" s="107">
        <v>8</v>
      </c>
      <c r="K68" s="107">
        <v>6.82</v>
      </c>
      <c r="L68" s="107">
        <v>6.7</v>
      </c>
      <c r="M68" s="108">
        <v>44748</v>
      </c>
      <c r="N68" s="107">
        <v>10.367495783898304</v>
      </c>
      <c r="O68" s="107">
        <v>8.5776935058961836</v>
      </c>
      <c r="P68" s="107">
        <v>-29.5936972987</v>
      </c>
      <c r="Q68" s="107">
        <v>-7.2211688237000002</v>
      </c>
      <c r="R68" s="107" t="s">
        <v>147</v>
      </c>
      <c r="S68" s="107" t="s">
        <v>620</v>
      </c>
      <c r="T68" s="107" t="s">
        <v>1261</v>
      </c>
      <c r="U68" s="107" t="s">
        <v>1262</v>
      </c>
      <c r="V68" s="107" t="s">
        <v>1263</v>
      </c>
    </row>
    <row r="69" spans="1:22" ht="20.100000000000001" customHeight="1" thickTop="1" thickBot="1">
      <c r="A69" s="105" t="s">
        <v>297</v>
      </c>
      <c r="B69" s="109" t="s">
        <v>143</v>
      </c>
      <c r="C69" s="107" t="s">
        <v>173</v>
      </c>
      <c r="D69" s="107" t="s">
        <v>298</v>
      </c>
      <c r="E69" s="107">
        <v>84</v>
      </c>
      <c r="F69" s="107">
        <v>11396</v>
      </c>
      <c r="G69" s="107" t="s">
        <v>167</v>
      </c>
      <c r="H69" s="107"/>
      <c r="I69" s="107" t="s">
        <v>167</v>
      </c>
      <c r="J69" s="107">
        <v>12.5</v>
      </c>
      <c r="K69" s="107">
        <v>12</v>
      </c>
      <c r="L69" s="107">
        <v>12.05</v>
      </c>
      <c r="M69" s="108">
        <v>44747</v>
      </c>
      <c r="N69" s="107">
        <v>14.096124091160245</v>
      </c>
      <c r="O69" s="107">
        <v>12.449988576223102</v>
      </c>
      <c r="P69" s="107">
        <v>-12.768992729300001</v>
      </c>
      <c r="Q69" s="107">
        <v>0.40009139020000001</v>
      </c>
      <c r="R69" s="107" t="s">
        <v>147</v>
      </c>
      <c r="S69" s="107" t="s">
        <v>299</v>
      </c>
      <c r="T69" s="107" t="s">
        <v>1264</v>
      </c>
      <c r="U69" s="107" t="s">
        <v>1111</v>
      </c>
      <c r="V69" s="107" t="s">
        <v>1265</v>
      </c>
    </row>
    <row r="70" spans="1:22" ht="20.100000000000001" customHeight="1" thickTop="1" thickBot="1">
      <c r="A70" s="105" t="s">
        <v>641</v>
      </c>
      <c r="B70" s="109" t="s">
        <v>143</v>
      </c>
      <c r="C70" s="107" t="s">
        <v>214</v>
      </c>
      <c r="D70" s="107" t="s">
        <v>642</v>
      </c>
      <c r="E70" s="107">
        <v>61</v>
      </c>
      <c r="F70" s="107">
        <v>5620</v>
      </c>
      <c r="G70" s="107" t="s">
        <v>167</v>
      </c>
      <c r="H70" s="107">
        <v>6.6</v>
      </c>
      <c r="I70" s="107" t="s">
        <v>167</v>
      </c>
      <c r="J70" s="107">
        <v>8.25</v>
      </c>
      <c r="K70" s="107">
        <v>6.7</v>
      </c>
      <c r="L70" s="107" t="s">
        <v>167</v>
      </c>
      <c r="M70" s="108">
        <v>44741</v>
      </c>
      <c r="N70" s="107">
        <v>7.9342663948900691</v>
      </c>
      <c r="O70" s="107">
        <v>7.5526074496457003</v>
      </c>
      <c r="P70" s="107">
        <v>3.8270740013000002</v>
      </c>
      <c r="Q70" s="107">
        <v>8.4532430345999998</v>
      </c>
      <c r="R70" s="107" t="s">
        <v>147</v>
      </c>
      <c r="S70" s="107" t="s">
        <v>638</v>
      </c>
      <c r="T70" s="107" t="s">
        <v>1266</v>
      </c>
      <c r="U70" s="107" t="s">
        <v>1143</v>
      </c>
      <c r="V70" s="107" t="s">
        <v>1267</v>
      </c>
    </row>
    <row r="71" spans="1:22" ht="20.100000000000001" customHeight="1" thickTop="1" thickBot="1">
      <c r="A71" s="105" t="s">
        <v>667</v>
      </c>
      <c r="B71" s="113" t="s">
        <v>592</v>
      </c>
      <c r="C71" s="107" t="s">
        <v>144</v>
      </c>
      <c r="D71" s="107" t="s">
        <v>668</v>
      </c>
      <c r="E71" s="107">
        <v>30</v>
      </c>
      <c r="F71" s="107">
        <v>78882</v>
      </c>
      <c r="G71" s="107" t="s">
        <v>167</v>
      </c>
      <c r="H71" s="107">
        <v>7.65</v>
      </c>
      <c r="I71" s="107" t="s">
        <v>167</v>
      </c>
      <c r="J71" s="107">
        <v>7.88</v>
      </c>
      <c r="K71" s="107">
        <v>6.89</v>
      </c>
      <c r="L71" s="107">
        <v>6.6</v>
      </c>
      <c r="M71" s="108">
        <v>44719</v>
      </c>
      <c r="N71" s="107">
        <v>6.6756529746058888</v>
      </c>
      <c r="O71" s="107">
        <v>6.7567027226231202</v>
      </c>
      <c r="P71" s="107">
        <v>15.2835916928</v>
      </c>
      <c r="Q71" s="107">
        <v>14.255041591099999</v>
      </c>
      <c r="R71" s="107" t="s">
        <v>147</v>
      </c>
      <c r="S71" s="107" t="s">
        <v>669</v>
      </c>
      <c r="T71" s="107" t="s">
        <v>1268</v>
      </c>
      <c r="U71" s="107" t="s">
        <v>1269</v>
      </c>
      <c r="V71" s="107" t="s">
        <v>1270</v>
      </c>
    </row>
    <row r="72" spans="1:22" ht="20.100000000000001" customHeight="1" thickTop="1" thickBot="1">
      <c r="A72" s="105" t="s">
        <v>670</v>
      </c>
      <c r="B72" s="113" t="s">
        <v>592</v>
      </c>
      <c r="C72" s="107" t="s">
        <v>144</v>
      </c>
      <c r="D72" s="107" t="s">
        <v>668</v>
      </c>
      <c r="E72" s="107">
        <v>30</v>
      </c>
      <c r="F72" s="107">
        <v>26927</v>
      </c>
      <c r="G72" s="107" t="s">
        <v>167</v>
      </c>
      <c r="H72" s="107">
        <v>8.41</v>
      </c>
      <c r="I72" s="107" t="s">
        <v>167</v>
      </c>
      <c r="J72" s="107">
        <v>8.6669999999999998</v>
      </c>
      <c r="K72" s="107">
        <v>5.83</v>
      </c>
      <c r="L72" s="107">
        <v>5.58</v>
      </c>
      <c r="M72" s="108">
        <v>44719</v>
      </c>
      <c r="N72" s="107">
        <v>7.93889409999694</v>
      </c>
      <c r="O72" s="107">
        <v>8.0151577052366587</v>
      </c>
      <c r="P72" s="107">
        <v>8.4008988115999994</v>
      </c>
      <c r="Q72" s="107">
        <v>7.5209679792999999</v>
      </c>
      <c r="R72" s="107" t="s">
        <v>147</v>
      </c>
      <c r="S72" s="107" t="s">
        <v>671</v>
      </c>
      <c r="T72" s="107" t="s">
        <v>1271</v>
      </c>
      <c r="U72" s="107" t="s">
        <v>1269</v>
      </c>
      <c r="V72" s="107" t="s">
        <v>1272</v>
      </c>
    </row>
    <row r="73" spans="1:22" ht="20.100000000000001" customHeight="1" thickTop="1" thickBot="1">
      <c r="A73" s="105" t="s">
        <v>1273</v>
      </c>
      <c r="B73" s="110" t="s">
        <v>252</v>
      </c>
      <c r="C73" s="107" t="s">
        <v>144</v>
      </c>
      <c r="D73" s="107" t="s">
        <v>666</v>
      </c>
      <c r="E73" s="107">
        <v>24</v>
      </c>
      <c r="F73" s="107">
        <v>22001</v>
      </c>
      <c r="G73" s="107" t="s">
        <v>167</v>
      </c>
      <c r="H73" s="107">
        <v>7.16</v>
      </c>
      <c r="I73" s="107" t="s">
        <v>167</v>
      </c>
      <c r="J73" s="107">
        <v>7.38</v>
      </c>
      <c r="K73" s="107">
        <v>6.75</v>
      </c>
      <c r="L73" s="107">
        <v>6.92</v>
      </c>
      <c r="M73" s="108">
        <v>44715</v>
      </c>
      <c r="N73" s="107">
        <v>8.2650416560018645</v>
      </c>
      <c r="O73" s="107">
        <v>8.0180543821231129</v>
      </c>
      <c r="P73" s="107">
        <v>-11.992434363199999</v>
      </c>
      <c r="Q73" s="107">
        <v>-8.6457233349999996</v>
      </c>
      <c r="R73" s="107" t="s">
        <v>147</v>
      </c>
      <c r="S73" s="107" t="s">
        <v>425</v>
      </c>
      <c r="T73" s="107" t="s">
        <v>1274</v>
      </c>
      <c r="U73" s="107" t="s">
        <v>1275</v>
      </c>
      <c r="V73" s="107" t="s">
        <v>1276</v>
      </c>
    </row>
    <row r="74" spans="1:22" ht="20.100000000000001" customHeight="1" thickTop="1" thickBot="1">
      <c r="A74" s="105" t="s">
        <v>461</v>
      </c>
      <c r="B74" s="109" t="s">
        <v>143</v>
      </c>
      <c r="C74" s="107" t="s">
        <v>181</v>
      </c>
      <c r="D74" s="107" t="s">
        <v>462</v>
      </c>
      <c r="E74" s="107">
        <v>60</v>
      </c>
      <c r="F74" s="107">
        <v>8510</v>
      </c>
      <c r="G74" s="107" t="s">
        <v>167</v>
      </c>
      <c r="H74" s="107">
        <v>8.07</v>
      </c>
      <c r="I74" s="107" t="s">
        <v>167</v>
      </c>
      <c r="J74" s="107">
        <v>10</v>
      </c>
      <c r="K74" s="107">
        <v>7.5</v>
      </c>
      <c r="L74" s="107">
        <v>7.73</v>
      </c>
      <c r="M74" s="108">
        <v>44713</v>
      </c>
      <c r="N74" s="107">
        <v>12.470248826425088</v>
      </c>
      <c r="O74" s="112" t="s">
        <v>167</v>
      </c>
      <c r="P74" s="107">
        <v>-24.702488264300001</v>
      </c>
      <c r="Q74" s="112" t="s">
        <v>167</v>
      </c>
      <c r="R74" s="107" t="s">
        <v>147</v>
      </c>
      <c r="S74" s="107" t="s">
        <v>463</v>
      </c>
      <c r="T74" s="107" t="s">
        <v>1277</v>
      </c>
      <c r="U74" s="107" t="s">
        <v>1278</v>
      </c>
      <c r="V74" s="107" t="s">
        <v>1279</v>
      </c>
    </row>
    <row r="75" spans="1:22" ht="20.100000000000001" customHeight="1" thickTop="1" thickBot="1">
      <c r="A75" s="105" t="s">
        <v>467</v>
      </c>
      <c r="B75" s="106" t="s">
        <v>157</v>
      </c>
      <c r="C75" s="107" t="s">
        <v>181</v>
      </c>
      <c r="D75" s="107" t="s">
        <v>468</v>
      </c>
      <c r="E75" s="107">
        <v>36</v>
      </c>
      <c r="F75" s="107">
        <v>189746</v>
      </c>
      <c r="G75" s="107" t="s">
        <v>167</v>
      </c>
      <c r="H75" s="107">
        <v>3.5</v>
      </c>
      <c r="I75" s="107" t="s">
        <v>167</v>
      </c>
      <c r="J75" s="107">
        <v>6.25</v>
      </c>
      <c r="K75" s="107">
        <v>6.24</v>
      </c>
      <c r="L75" s="107">
        <v>6.09</v>
      </c>
      <c r="M75" s="108">
        <v>44713</v>
      </c>
      <c r="N75" s="107">
        <v>7.7860960692693872</v>
      </c>
      <c r="O75" s="107">
        <v>7.3478511715956669</v>
      </c>
      <c r="P75" s="107">
        <v>-24.5775371083</v>
      </c>
      <c r="Q75" s="107">
        <v>-17.5656187455</v>
      </c>
      <c r="R75" s="107" t="s">
        <v>147</v>
      </c>
      <c r="S75" s="107" t="s">
        <v>469</v>
      </c>
      <c r="T75" s="107" t="s">
        <v>1280</v>
      </c>
      <c r="U75" s="107" t="s">
        <v>1281</v>
      </c>
      <c r="V75" s="107" t="s">
        <v>1282</v>
      </c>
    </row>
    <row r="76" spans="1:22" ht="20.100000000000001" customHeight="1" thickTop="1" thickBot="1">
      <c r="A76" s="105" t="s">
        <v>537</v>
      </c>
      <c r="B76" s="106" t="s">
        <v>157</v>
      </c>
      <c r="C76" s="107" t="s">
        <v>153</v>
      </c>
      <c r="D76" s="107" t="s">
        <v>538</v>
      </c>
      <c r="E76" s="107">
        <v>36</v>
      </c>
      <c r="F76" s="107">
        <v>12530</v>
      </c>
      <c r="G76" s="107" t="s">
        <v>167</v>
      </c>
      <c r="H76" s="107">
        <v>2.77</v>
      </c>
      <c r="I76" s="107" t="s">
        <v>167</v>
      </c>
      <c r="J76" s="107">
        <v>6.25</v>
      </c>
      <c r="K76" s="107">
        <v>5.27</v>
      </c>
      <c r="L76" s="107">
        <v>5.28</v>
      </c>
      <c r="M76" s="108">
        <v>44712</v>
      </c>
      <c r="N76" s="107">
        <v>6.4104588736306836</v>
      </c>
      <c r="O76" s="107">
        <v>6.178263627860197</v>
      </c>
      <c r="P76" s="107">
        <v>-2.5673419781</v>
      </c>
      <c r="Q76" s="107">
        <v>1.1477819542000001</v>
      </c>
      <c r="R76" s="107" t="s">
        <v>147</v>
      </c>
      <c r="S76" s="107" t="s">
        <v>199</v>
      </c>
      <c r="T76" s="107" t="s">
        <v>1283</v>
      </c>
      <c r="U76" s="107" t="s">
        <v>1284</v>
      </c>
      <c r="V76" s="107" t="s">
        <v>1285</v>
      </c>
    </row>
    <row r="77" spans="1:22" ht="20.100000000000001" customHeight="1" thickTop="1" thickBot="1">
      <c r="A77" s="105" t="s">
        <v>550</v>
      </c>
      <c r="B77" s="109" t="s">
        <v>143</v>
      </c>
      <c r="C77" s="107" t="s">
        <v>153</v>
      </c>
      <c r="D77" s="107" t="s">
        <v>551</v>
      </c>
      <c r="E77" s="107">
        <v>63</v>
      </c>
      <c r="F77" s="107">
        <v>15477</v>
      </c>
      <c r="G77" s="107" t="s">
        <v>167</v>
      </c>
      <c r="H77" s="107">
        <v>5.34</v>
      </c>
      <c r="I77" s="107" t="s">
        <v>167</v>
      </c>
      <c r="J77" s="107">
        <v>8</v>
      </c>
      <c r="K77" s="107">
        <v>5.87</v>
      </c>
      <c r="L77" s="107" t="s">
        <v>1286</v>
      </c>
      <c r="M77" s="108">
        <v>44701</v>
      </c>
      <c r="N77" s="107">
        <v>9.2657422234103457</v>
      </c>
      <c r="O77" s="107">
        <v>8.4296990546657238</v>
      </c>
      <c r="P77" s="107">
        <v>-15.821777792600001</v>
      </c>
      <c r="Q77" s="107">
        <v>-5.3712381833</v>
      </c>
      <c r="R77" s="107" t="s">
        <v>147</v>
      </c>
      <c r="S77" s="107" t="s">
        <v>288</v>
      </c>
      <c r="T77" s="107" t="s">
        <v>1287</v>
      </c>
      <c r="U77" s="107" t="s">
        <v>1108</v>
      </c>
      <c r="V77" s="107" t="s">
        <v>1288</v>
      </c>
    </row>
    <row r="78" spans="1:22" ht="20.100000000000001" customHeight="1" thickTop="1" thickBot="1">
      <c r="A78" s="105" t="s">
        <v>485</v>
      </c>
      <c r="B78" s="110" t="s">
        <v>252</v>
      </c>
      <c r="C78" s="107" t="s">
        <v>173</v>
      </c>
      <c r="D78" s="107" t="s">
        <v>486</v>
      </c>
      <c r="E78" s="107">
        <v>60</v>
      </c>
      <c r="F78" s="107">
        <v>10341</v>
      </c>
      <c r="G78" s="107" t="s">
        <v>167</v>
      </c>
      <c r="H78" s="107">
        <v>8.16</v>
      </c>
      <c r="I78" s="107" t="s">
        <v>167</v>
      </c>
      <c r="J78" s="107">
        <v>13.5</v>
      </c>
      <c r="K78" s="107">
        <v>12.5</v>
      </c>
      <c r="L78" s="107">
        <v>12.76</v>
      </c>
      <c r="M78" s="108">
        <v>44699</v>
      </c>
      <c r="N78" s="107">
        <v>13.793992404512242</v>
      </c>
      <c r="O78" s="107">
        <v>12.133993054343144</v>
      </c>
      <c r="P78" s="107">
        <v>-2.1777215149</v>
      </c>
      <c r="Q78" s="107">
        <v>10.118569967799999</v>
      </c>
      <c r="R78" s="107" t="s">
        <v>147</v>
      </c>
      <c r="S78" s="107" t="s">
        <v>373</v>
      </c>
      <c r="T78" s="107" t="s">
        <v>1289</v>
      </c>
      <c r="U78" s="107" t="s">
        <v>1143</v>
      </c>
      <c r="V78" s="107" t="s">
        <v>1290</v>
      </c>
    </row>
    <row r="79" spans="1:22" ht="20.100000000000001" customHeight="1" thickTop="1" thickBot="1">
      <c r="A79" s="105" t="s">
        <v>723</v>
      </c>
      <c r="B79" s="110" t="s">
        <v>252</v>
      </c>
      <c r="C79" s="107" t="s">
        <v>173</v>
      </c>
      <c r="D79" s="107" t="s">
        <v>724</v>
      </c>
      <c r="E79" s="107">
        <v>60</v>
      </c>
      <c r="F79" s="107">
        <v>60994</v>
      </c>
      <c r="G79" s="107" t="s">
        <v>167</v>
      </c>
      <c r="H79" s="107">
        <v>8.2200000000000006</v>
      </c>
      <c r="I79" s="107" t="s">
        <v>167</v>
      </c>
      <c r="J79" s="107">
        <v>17.5</v>
      </c>
      <c r="K79" s="107">
        <v>17.5</v>
      </c>
      <c r="L79" s="107">
        <v>17.71</v>
      </c>
      <c r="M79" s="108">
        <v>44694</v>
      </c>
      <c r="N79" s="107">
        <v>14.193518663110545</v>
      </c>
      <c r="O79" s="107">
        <v>12.583325676258481</v>
      </c>
      <c r="P79" s="107">
        <v>18.894179067900001</v>
      </c>
      <c r="Q79" s="107">
        <v>28.095281849999999</v>
      </c>
      <c r="R79" s="107" t="s">
        <v>147</v>
      </c>
      <c r="S79" s="107" t="s">
        <v>725</v>
      </c>
      <c r="T79" s="107" t="s">
        <v>1291</v>
      </c>
      <c r="U79" s="107" t="s">
        <v>1143</v>
      </c>
      <c r="V79" s="107" t="s">
        <v>1292</v>
      </c>
    </row>
    <row r="80" spans="1:22" ht="20.100000000000001" customHeight="1" thickTop="1" thickBot="1">
      <c r="A80" s="105" t="s">
        <v>308</v>
      </c>
      <c r="B80" s="111" t="s">
        <v>238</v>
      </c>
      <c r="C80" s="107" t="s">
        <v>181</v>
      </c>
      <c r="D80" s="107" t="s">
        <v>309</v>
      </c>
      <c r="E80" s="107">
        <v>60</v>
      </c>
      <c r="F80" s="107">
        <v>34205</v>
      </c>
      <c r="G80" s="107" t="s">
        <v>167</v>
      </c>
      <c r="H80" s="107">
        <v>3.44</v>
      </c>
      <c r="I80" s="107" t="s">
        <v>167</v>
      </c>
      <c r="J80" s="107">
        <v>8.25</v>
      </c>
      <c r="K80" s="107">
        <v>5.37</v>
      </c>
      <c r="L80" s="107">
        <v>5.45</v>
      </c>
      <c r="M80" s="108">
        <v>44693</v>
      </c>
      <c r="N80" s="107">
        <v>9.0576621323468558</v>
      </c>
      <c r="O80" s="107">
        <v>7.4899884511239918</v>
      </c>
      <c r="P80" s="107">
        <v>-9.7898440283999992</v>
      </c>
      <c r="Q80" s="107">
        <v>9.2122611985000002</v>
      </c>
      <c r="R80" s="107" t="s">
        <v>147</v>
      </c>
      <c r="S80" s="107" t="s">
        <v>310</v>
      </c>
      <c r="T80" s="107" t="s">
        <v>1293</v>
      </c>
      <c r="U80" s="107" t="s">
        <v>1183</v>
      </c>
      <c r="V80" s="107" t="s">
        <v>1294</v>
      </c>
    </row>
    <row r="81" spans="1:22" ht="20.100000000000001" customHeight="1" thickTop="1" thickBot="1">
      <c r="A81" s="105" t="s">
        <v>547</v>
      </c>
      <c r="B81" s="109" t="s">
        <v>143</v>
      </c>
      <c r="C81" s="107" t="s">
        <v>144</v>
      </c>
      <c r="D81" s="107" t="s">
        <v>548</v>
      </c>
      <c r="E81" s="107">
        <v>36</v>
      </c>
      <c r="F81" s="107">
        <v>43519</v>
      </c>
      <c r="G81" s="107" t="s">
        <v>167</v>
      </c>
      <c r="H81" s="107"/>
      <c r="I81" s="107" t="s">
        <v>167</v>
      </c>
      <c r="J81" s="107">
        <v>6.5</v>
      </c>
      <c r="K81" s="107">
        <v>5.75</v>
      </c>
      <c r="L81" s="107">
        <v>5.82</v>
      </c>
      <c r="M81" s="108">
        <v>44692</v>
      </c>
      <c r="N81" s="107">
        <v>8.1312210846122603</v>
      </c>
      <c r="O81" s="107">
        <v>7.5138286003083383</v>
      </c>
      <c r="P81" s="107">
        <v>-25.095708993999999</v>
      </c>
      <c r="Q81" s="107">
        <v>-15.597363081699999</v>
      </c>
      <c r="R81" s="107" t="s">
        <v>147</v>
      </c>
      <c r="S81" s="107" t="s">
        <v>549</v>
      </c>
      <c r="T81" s="107" t="s">
        <v>1295</v>
      </c>
      <c r="U81" s="107" t="s">
        <v>1296</v>
      </c>
      <c r="V81" s="107" t="s">
        <v>1297</v>
      </c>
    </row>
    <row r="82" spans="1:22" ht="20.100000000000001" customHeight="1" thickTop="1" thickBot="1">
      <c r="A82" s="105" t="s">
        <v>338</v>
      </c>
      <c r="B82" s="111" t="s">
        <v>238</v>
      </c>
      <c r="C82" s="107" t="s">
        <v>181</v>
      </c>
      <c r="D82" s="107" t="s">
        <v>339</v>
      </c>
      <c r="E82" s="107">
        <v>120</v>
      </c>
      <c r="F82" s="107">
        <v>42560</v>
      </c>
      <c r="G82" s="107" t="s">
        <v>167</v>
      </c>
      <c r="H82" s="107">
        <v>3.44</v>
      </c>
      <c r="I82" s="107" t="s">
        <v>167</v>
      </c>
      <c r="J82" s="107">
        <v>8</v>
      </c>
      <c r="K82" s="107">
        <v>5.125</v>
      </c>
      <c r="L82" s="107">
        <v>5.19</v>
      </c>
      <c r="M82" s="108">
        <v>44691</v>
      </c>
      <c r="N82" s="107">
        <v>9.5213420710758498</v>
      </c>
      <c r="O82" s="107">
        <v>7.5364244077041596</v>
      </c>
      <c r="P82" s="107">
        <v>-19.016775888400002</v>
      </c>
      <c r="Q82" s="107">
        <v>5.7946949037</v>
      </c>
      <c r="R82" s="107" t="s">
        <v>147</v>
      </c>
      <c r="S82" s="107" t="s">
        <v>340</v>
      </c>
      <c r="T82" s="107" t="s">
        <v>1298</v>
      </c>
      <c r="U82" s="107" t="s">
        <v>1183</v>
      </c>
      <c r="V82" s="107" t="s">
        <v>1299</v>
      </c>
    </row>
    <row r="83" spans="1:22" ht="20.100000000000001" customHeight="1" thickTop="1" thickBot="1">
      <c r="A83" s="105" t="s">
        <v>672</v>
      </c>
      <c r="B83" s="106" t="s">
        <v>157</v>
      </c>
      <c r="C83" s="107" t="s">
        <v>144</v>
      </c>
      <c r="D83" s="107" t="s">
        <v>424</v>
      </c>
      <c r="E83" s="107">
        <v>38</v>
      </c>
      <c r="F83" s="107">
        <v>30402</v>
      </c>
      <c r="G83" s="107" t="s">
        <v>167</v>
      </c>
      <c r="H83" s="107">
        <v>8.08</v>
      </c>
      <c r="I83" s="107" t="s">
        <v>167</v>
      </c>
      <c r="J83" s="107">
        <v>8.33</v>
      </c>
      <c r="K83" s="107">
        <v>7.16</v>
      </c>
      <c r="L83" s="107" t="s">
        <v>1300</v>
      </c>
      <c r="M83" s="108">
        <v>44687</v>
      </c>
      <c r="N83" s="107">
        <v>7.7558478893464695</v>
      </c>
      <c r="O83" s="107">
        <v>7.7117411250012671</v>
      </c>
      <c r="P83" s="107">
        <v>6.8925823607999996</v>
      </c>
      <c r="Q83" s="107">
        <v>7.4220753301000002</v>
      </c>
      <c r="R83" s="107" t="s">
        <v>147</v>
      </c>
      <c r="S83" s="107" t="s">
        <v>425</v>
      </c>
      <c r="T83" s="107" t="s">
        <v>1301</v>
      </c>
      <c r="U83" s="107" t="s">
        <v>1275</v>
      </c>
      <c r="V83" s="107" t="s">
        <v>1302</v>
      </c>
    </row>
    <row r="84" spans="1:22" ht="20.100000000000001" customHeight="1" thickTop="1" thickBot="1">
      <c r="A84" s="105" t="s">
        <v>366</v>
      </c>
      <c r="B84" s="109" t="s">
        <v>143</v>
      </c>
      <c r="C84" s="107" t="s">
        <v>153</v>
      </c>
      <c r="D84" s="107" t="s">
        <v>367</v>
      </c>
      <c r="E84" s="107">
        <v>122</v>
      </c>
      <c r="F84" s="107">
        <v>82460</v>
      </c>
      <c r="G84" s="107" t="s">
        <v>167</v>
      </c>
      <c r="H84" s="107">
        <v>5.75</v>
      </c>
      <c r="I84" s="107" t="s">
        <v>167</v>
      </c>
      <c r="J84" s="107">
        <v>5.75</v>
      </c>
      <c r="K84" s="107">
        <v>5.35</v>
      </c>
      <c r="L84" s="107">
        <v>5.37</v>
      </c>
      <c r="M84" s="108">
        <v>44684</v>
      </c>
      <c r="N84" s="107">
        <v>10.762139327497323</v>
      </c>
      <c r="O84" s="107">
        <v>8.2380926395485599</v>
      </c>
      <c r="P84" s="107">
        <v>-87.167640478199999</v>
      </c>
      <c r="Q84" s="107">
        <v>-43.271176339999997</v>
      </c>
      <c r="R84" s="107" t="s">
        <v>147</v>
      </c>
      <c r="S84" s="107" t="s">
        <v>368</v>
      </c>
      <c r="T84" s="107" t="s">
        <v>1303</v>
      </c>
      <c r="U84" s="107" t="s">
        <v>1304</v>
      </c>
      <c r="V84" s="107" t="s">
        <v>1305</v>
      </c>
    </row>
    <row r="85" spans="1:22" ht="20.100000000000001" customHeight="1" thickTop="1" thickBot="1">
      <c r="A85" s="105" t="s">
        <v>643</v>
      </c>
      <c r="B85" s="110" t="s">
        <v>252</v>
      </c>
      <c r="C85" s="107" t="s">
        <v>153</v>
      </c>
      <c r="D85" s="107" t="s">
        <v>644</v>
      </c>
      <c r="E85" s="107">
        <v>78</v>
      </c>
      <c r="F85" s="107">
        <v>10979</v>
      </c>
      <c r="G85" s="107">
        <v>87604</v>
      </c>
      <c r="H85" s="107">
        <v>4.8600000000000003</v>
      </c>
      <c r="I85" s="107" t="s">
        <v>167</v>
      </c>
      <c r="J85" s="107">
        <v>6.9</v>
      </c>
      <c r="K85" s="107">
        <v>7.44</v>
      </c>
      <c r="L85" s="107">
        <v>7.26</v>
      </c>
      <c r="M85" s="108">
        <v>44680</v>
      </c>
      <c r="N85" s="107">
        <v>9.8465957607333987</v>
      </c>
      <c r="O85" s="107">
        <v>8.8052366555396002</v>
      </c>
      <c r="P85" s="107">
        <v>-42.704286387400003</v>
      </c>
      <c r="Q85" s="107">
        <v>-27.6121254426</v>
      </c>
      <c r="R85" s="107" t="s">
        <v>147</v>
      </c>
      <c r="S85" s="107" t="s">
        <v>489</v>
      </c>
      <c r="T85" s="107" t="s">
        <v>1306</v>
      </c>
      <c r="U85" s="107" t="s">
        <v>1120</v>
      </c>
      <c r="V85" s="107" t="s">
        <v>1307</v>
      </c>
    </row>
    <row r="86" spans="1:22" ht="20.100000000000001" customHeight="1" thickTop="1" thickBot="1">
      <c r="A86" s="105" t="s">
        <v>477</v>
      </c>
      <c r="B86" s="109" t="s">
        <v>143</v>
      </c>
      <c r="C86" s="107" t="s">
        <v>181</v>
      </c>
      <c r="D86" s="107" t="s">
        <v>478</v>
      </c>
      <c r="E86" s="107">
        <v>61</v>
      </c>
      <c r="F86" s="107">
        <v>20721</v>
      </c>
      <c r="G86" s="107" t="s">
        <v>167</v>
      </c>
      <c r="H86" s="107">
        <v>2.17</v>
      </c>
      <c r="I86" s="107" t="s">
        <v>167</v>
      </c>
      <c r="J86" s="107">
        <v>7.3</v>
      </c>
      <c r="K86" s="107">
        <v>4.5</v>
      </c>
      <c r="L86" s="107">
        <v>4.6399999999999997</v>
      </c>
      <c r="M86" s="108">
        <v>44680</v>
      </c>
      <c r="N86" s="107">
        <v>9.172458490592696</v>
      </c>
      <c r="O86" s="107">
        <v>8.6201150492817469</v>
      </c>
      <c r="P86" s="107">
        <v>-25.6501163095</v>
      </c>
      <c r="Q86" s="107">
        <v>-18.0837677984</v>
      </c>
      <c r="R86" s="107" t="s">
        <v>147</v>
      </c>
      <c r="S86" s="107" t="s">
        <v>479</v>
      </c>
      <c r="T86" s="107" t="s">
        <v>1308</v>
      </c>
      <c r="U86" s="107" t="s">
        <v>1309</v>
      </c>
      <c r="V86" s="107" t="s">
        <v>1310</v>
      </c>
    </row>
    <row r="87" spans="1:22" ht="20.100000000000001" customHeight="1" thickTop="1" thickBot="1">
      <c r="A87" s="105" t="s">
        <v>636</v>
      </c>
      <c r="B87" s="109" t="s">
        <v>143</v>
      </c>
      <c r="C87" s="107" t="s">
        <v>214</v>
      </c>
      <c r="D87" s="107" t="s">
        <v>637</v>
      </c>
      <c r="E87" s="107">
        <v>37</v>
      </c>
      <c r="F87" s="107">
        <v>5980</v>
      </c>
      <c r="G87" s="107" t="s">
        <v>167</v>
      </c>
      <c r="H87" s="107">
        <v>6.6</v>
      </c>
      <c r="I87" s="107" t="s">
        <v>167</v>
      </c>
      <c r="J87" s="107">
        <v>8.25</v>
      </c>
      <c r="K87" s="107">
        <v>6.7</v>
      </c>
      <c r="L87" s="107" t="s">
        <v>167</v>
      </c>
      <c r="M87" s="108">
        <v>44677</v>
      </c>
      <c r="N87" s="107">
        <v>7.7436586996125678</v>
      </c>
      <c r="O87" s="107">
        <v>7.358837651624663</v>
      </c>
      <c r="P87" s="107">
        <v>6.1374703077000001</v>
      </c>
      <c r="Q87" s="107">
        <v>10.801967859099999</v>
      </c>
      <c r="R87" s="107" t="s">
        <v>147</v>
      </c>
      <c r="S87" s="107" t="s">
        <v>638</v>
      </c>
      <c r="T87" s="107" t="s">
        <v>1311</v>
      </c>
      <c r="U87" s="107" t="s">
        <v>1143</v>
      </c>
      <c r="V87" s="107" t="s">
        <v>1312</v>
      </c>
    </row>
    <row r="88" spans="1:22" ht="20.100000000000001" customHeight="1" thickTop="1" thickBot="1">
      <c r="A88" s="105" t="s">
        <v>399</v>
      </c>
      <c r="B88" s="109" t="s">
        <v>143</v>
      </c>
      <c r="C88" s="107" t="s">
        <v>177</v>
      </c>
      <c r="D88" s="107" t="s">
        <v>400</v>
      </c>
      <c r="E88" s="107">
        <v>36</v>
      </c>
      <c r="F88" s="107">
        <v>8956</v>
      </c>
      <c r="G88" s="107" t="s">
        <v>167</v>
      </c>
      <c r="H88" s="107"/>
      <c r="I88" s="107" t="s">
        <v>167</v>
      </c>
      <c r="J88" s="107">
        <v>10.95</v>
      </c>
      <c r="K88" s="107">
        <v>9.75</v>
      </c>
      <c r="L88" s="107">
        <v>9.8000000000000007</v>
      </c>
      <c r="M88" s="108">
        <v>44676</v>
      </c>
      <c r="N88" s="107">
        <v>10.199988418712486</v>
      </c>
      <c r="O88" s="107">
        <v>9.7314175342985401</v>
      </c>
      <c r="P88" s="107">
        <v>6.8494208337</v>
      </c>
      <c r="Q88" s="107">
        <v>11.1286069927</v>
      </c>
      <c r="R88" s="107" t="s">
        <v>147</v>
      </c>
      <c r="S88" s="107" t="s">
        <v>179</v>
      </c>
      <c r="T88" s="107" t="s">
        <v>1313</v>
      </c>
      <c r="U88" s="107" t="s">
        <v>1224</v>
      </c>
      <c r="V88" s="107" t="s">
        <v>1314</v>
      </c>
    </row>
    <row r="89" spans="1:22" ht="20.100000000000001" customHeight="1" thickTop="1" thickBot="1">
      <c r="A89" s="105" t="s">
        <v>657</v>
      </c>
      <c r="B89" s="109" t="s">
        <v>143</v>
      </c>
      <c r="C89" s="107" t="s">
        <v>214</v>
      </c>
      <c r="D89" s="107" t="s">
        <v>658</v>
      </c>
      <c r="E89" s="107">
        <v>61</v>
      </c>
      <c r="F89" s="107">
        <v>6330</v>
      </c>
      <c r="G89" s="107" t="s">
        <v>167</v>
      </c>
      <c r="H89" s="107">
        <v>6.6</v>
      </c>
      <c r="I89" s="107" t="s">
        <v>167</v>
      </c>
      <c r="J89" s="107">
        <v>8</v>
      </c>
      <c r="K89" s="107">
        <v>6.7</v>
      </c>
      <c r="L89" s="107">
        <v>6.56</v>
      </c>
      <c r="M89" s="108">
        <v>44670</v>
      </c>
      <c r="N89" s="107">
        <v>7.7703759163480148</v>
      </c>
      <c r="O89" s="107">
        <v>7.288238213294969</v>
      </c>
      <c r="P89" s="107">
        <v>2.8703010456000002</v>
      </c>
      <c r="Q89" s="107">
        <v>8.8970223338000007</v>
      </c>
      <c r="R89" s="107" t="s">
        <v>147</v>
      </c>
      <c r="S89" s="107" t="s">
        <v>638</v>
      </c>
      <c r="T89" s="107" t="s">
        <v>1315</v>
      </c>
      <c r="U89" s="107" t="s">
        <v>1143</v>
      </c>
      <c r="V89" s="107" t="s">
        <v>1316</v>
      </c>
    </row>
    <row r="90" spans="1:22" ht="20.100000000000001" customHeight="1" thickTop="1" thickBot="1">
      <c r="A90" s="105" t="s">
        <v>314</v>
      </c>
      <c r="B90" s="111" t="s">
        <v>238</v>
      </c>
      <c r="C90" s="107" t="s">
        <v>181</v>
      </c>
      <c r="D90" s="107" t="s">
        <v>315</v>
      </c>
      <c r="E90" s="107">
        <v>60</v>
      </c>
      <c r="F90" s="107">
        <v>20000</v>
      </c>
      <c r="G90" s="107" t="s">
        <v>167</v>
      </c>
      <c r="H90" s="107">
        <v>3.75</v>
      </c>
      <c r="I90" s="107" t="s">
        <v>167</v>
      </c>
      <c r="J90" s="107">
        <v>7.5</v>
      </c>
      <c r="K90" s="107">
        <v>5</v>
      </c>
      <c r="L90" s="107">
        <v>5.18</v>
      </c>
      <c r="M90" s="108">
        <v>44666</v>
      </c>
      <c r="N90" s="107">
        <v>9.1790700417838682</v>
      </c>
      <c r="O90" s="107">
        <v>7.4270445994070302</v>
      </c>
      <c r="P90" s="107">
        <v>-22.387600557100001</v>
      </c>
      <c r="Q90" s="107">
        <v>0.97273867459999996</v>
      </c>
      <c r="R90" s="107" t="s">
        <v>147</v>
      </c>
      <c r="S90" s="107" t="s">
        <v>316</v>
      </c>
      <c r="T90" s="107" t="s">
        <v>1317</v>
      </c>
      <c r="U90" s="107" t="s">
        <v>1183</v>
      </c>
      <c r="V90" s="107" t="s">
        <v>1318</v>
      </c>
    </row>
    <row r="91" spans="1:22" ht="20.100000000000001" customHeight="1" thickTop="1" thickBot="1">
      <c r="A91" s="105" t="s">
        <v>543</v>
      </c>
      <c r="B91" s="106" t="s">
        <v>157</v>
      </c>
      <c r="C91" s="107" t="s">
        <v>153</v>
      </c>
      <c r="D91" s="107" t="s">
        <v>544</v>
      </c>
      <c r="E91" s="107">
        <v>36</v>
      </c>
      <c r="F91" s="107">
        <v>10000</v>
      </c>
      <c r="G91" s="107" t="s">
        <v>167</v>
      </c>
      <c r="H91" s="107">
        <v>3.35</v>
      </c>
      <c r="I91" s="107" t="s">
        <v>167</v>
      </c>
      <c r="J91" s="107">
        <v>6</v>
      </c>
      <c r="K91" s="107">
        <v>5.25</v>
      </c>
      <c r="L91" s="107">
        <v>5.24</v>
      </c>
      <c r="M91" s="108">
        <v>44652</v>
      </c>
      <c r="N91" s="107">
        <v>6.5423407153634949</v>
      </c>
      <c r="O91" s="107">
        <v>6.0292950349791683</v>
      </c>
      <c r="P91" s="107">
        <v>-9.0390119227000003</v>
      </c>
      <c r="Q91" s="107">
        <v>-0.48825058300000002</v>
      </c>
      <c r="R91" s="107" t="s">
        <v>147</v>
      </c>
      <c r="S91" s="107" t="s">
        <v>199</v>
      </c>
      <c r="T91" s="107" t="s">
        <v>1319</v>
      </c>
      <c r="U91" s="107" t="s">
        <v>1284</v>
      </c>
      <c r="V91" s="107" t="s">
        <v>1320</v>
      </c>
    </row>
    <row r="92" spans="1:22" ht="20.100000000000001" customHeight="1" thickTop="1" thickBot="1">
      <c r="A92" s="105" t="s">
        <v>464</v>
      </c>
      <c r="B92" s="106" t="s">
        <v>157</v>
      </c>
      <c r="C92" s="107" t="s">
        <v>173</v>
      </c>
      <c r="D92" s="107" t="s">
        <v>465</v>
      </c>
      <c r="E92" s="107">
        <v>36</v>
      </c>
      <c r="F92" s="107">
        <v>12215</v>
      </c>
      <c r="G92" s="107" t="s">
        <v>167</v>
      </c>
      <c r="H92" s="107">
        <v>13.47</v>
      </c>
      <c r="I92" s="107" t="s">
        <v>167</v>
      </c>
      <c r="J92" s="107">
        <v>14.15</v>
      </c>
      <c r="K92" s="107">
        <v>11</v>
      </c>
      <c r="L92" s="107">
        <v>11.13</v>
      </c>
      <c r="M92" s="108">
        <v>44636</v>
      </c>
      <c r="N92" s="107">
        <v>14.24739771865675</v>
      </c>
      <c r="O92" s="107">
        <v>13.654414097891129</v>
      </c>
      <c r="P92" s="107">
        <v>-0.68832309999999997</v>
      </c>
      <c r="Q92" s="107">
        <v>3.5023738665000002</v>
      </c>
      <c r="R92" s="107" t="s">
        <v>147</v>
      </c>
      <c r="S92" s="107" t="s">
        <v>466</v>
      </c>
      <c r="T92" s="107" t="s">
        <v>1321</v>
      </c>
      <c r="U92" s="107" t="s">
        <v>1143</v>
      </c>
      <c r="V92" s="107" t="s">
        <v>1322</v>
      </c>
    </row>
    <row r="93" spans="1:22" ht="20.100000000000001" customHeight="1" thickTop="1" thickBot="1">
      <c r="A93" s="105" t="s">
        <v>261</v>
      </c>
      <c r="B93" s="109" t="s">
        <v>143</v>
      </c>
      <c r="C93" s="107" t="s">
        <v>153</v>
      </c>
      <c r="D93" s="107" t="s">
        <v>262</v>
      </c>
      <c r="E93" s="107">
        <v>61</v>
      </c>
      <c r="F93" s="107">
        <v>38164</v>
      </c>
      <c r="G93" s="107" t="s">
        <v>167</v>
      </c>
      <c r="H93" s="107">
        <v>4.5</v>
      </c>
      <c r="I93" s="107" t="s">
        <v>167</v>
      </c>
      <c r="J93" s="107">
        <v>4.75</v>
      </c>
      <c r="K93" s="107">
        <v>3.58</v>
      </c>
      <c r="L93" s="107">
        <v>3.56</v>
      </c>
      <c r="M93" s="108">
        <v>44630</v>
      </c>
      <c r="N93" s="107">
        <v>5.6205995538280042</v>
      </c>
      <c r="O93" s="107">
        <v>4.9245056614414997</v>
      </c>
      <c r="P93" s="107">
        <v>-18.328411659499999</v>
      </c>
      <c r="Q93" s="107">
        <v>-3.6738033988000001</v>
      </c>
      <c r="R93" s="107" t="s">
        <v>147</v>
      </c>
      <c r="S93" s="107" t="s">
        <v>263</v>
      </c>
      <c r="T93" s="107" t="s">
        <v>1323</v>
      </c>
      <c r="U93" s="107" t="s">
        <v>1324</v>
      </c>
      <c r="V93" s="107" t="s">
        <v>1325</v>
      </c>
    </row>
    <row r="94" spans="1:22" ht="20.100000000000001" customHeight="1" thickTop="1" thickBot="1">
      <c r="A94" s="105" t="s">
        <v>556</v>
      </c>
      <c r="B94" s="109" t="s">
        <v>143</v>
      </c>
      <c r="C94" s="107" t="s">
        <v>244</v>
      </c>
      <c r="D94" s="107" t="s">
        <v>557</v>
      </c>
      <c r="E94" s="107">
        <v>36</v>
      </c>
      <c r="F94" s="107">
        <v>15780</v>
      </c>
      <c r="G94" s="107" t="s">
        <v>167</v>
      </c>
      <c r="H94" s="107"/>
      <c r="I94" s="107" t="s">
        <v>167</v>
      </c>
      <c r="J94" s="107">
        <v>7.5</v>
      </c>
      <c r="K94" s="107">
        <v>6</v>
      </c>
      <c r="L94" s="107">
        <v>6.11</v>
      </c>
      <c r="M94" s="108">
        <v>44624</v>
      </c>
      <c r="N94" s="107">
        <v>7.3675971593298168</v>
      </c>
      <c r="O94" s="107">
        <v>7.2153646337706867</v>
      </c>
      <c r="P94" s="107">
        <v>1.7653712089</v>
      </c>
      <c r="Q94" s="107">
        <v>3.7951382163999998</v>
      </c>
      <c r="R94" s="107" t="s">
        <v>147</v>
      </c>
      <c r="S94" s="107" t="s">
        <v>558</v>
      </c>
      <c r="T94" s="107" t="s">
        <v>1326</v>
      </c>
      <c r="U94" s="107" t="s">
        <v>1174</v>
      </c>
      <c r="V94" s="107" t="s">
        <v>1327</v>
      </c>
    </row>
    <row r="95" spans="1:22" ht="20.100000000000001" customHeight="1" thickTop="1" thickBot="1">
      <c r="A95" s="105" t="s">
        <v>554</v>
      </c>
      <c r="B95" s="109" t="s">
        <v>143</v>
      </c>
      <c r="C95" s="107" t="s">
        <v>144</v>
      </c>
      <c r="D95" s="107" t="s">
        <v>555</v>
      </c>
      <c r="E95" s="107">
        <v>36</v>
      </c>
      <c r="F95" s="107">
        <v>21741</v>
      </c>
      <c r="G95" s="107" t="s">
        <v>167</v>
      </c>
      <c r="H95" s="107">
        <v>4.84</v>
      </c>
      <c r="I95" s="107" t="s">
        <v>167</v>
      </c>
      <c r="J95" s="107">
        <v>6.5</v>
      </c>
      <c r="K95" s="107">
        <v>4.84</v>
      </c>
      <c r="L95" s="107">
        <v>5.39</v>
      </c>
      <c r="M95" s="108">
        <v>44624</v>
      </c>
      <c r="N95" s="107">
        <v>7.7581023799928532</v>
      </c>
      <c r="O95" s="107">
        <v>7.705789616311753</v>
      </c>
      <c r="P95" s="107">
        <v>-19.355421230699999</v>
      </c>
      <c r="Q95" s="107">
        <v>-18.5506094817</v>
      </c>
      <c r="R95" s="107" t="s">
        <v>147</v>
      </c>
      <c r="S95" s="107" t="s">
        <v>151</v>
      </c>
      <c r="T95" s="107" t="s">
        <v>1328</v>
      </c>
      <c r="U95" s="107" t="s">
        <v>1329</v>
      </c>
      <c r="V95" s="107" t="s">
        <v>1330</v>
      </c>
    </row>
    <row r="96" spans="1:22" ht="20.100000000000001" customHeight="1" thickTop="1" thickBot="1">
      <c r="A96" s="105" t="s">
        <v>523</v>
      </c>
      <c r="B96" s="111" t="s">
        <v>238</v>
      </c>
      <c r="C96" s="107" t="s">
        <v>144</v>
      </c>
      <c r="D96" s="107" t="s">
        <v>524</v>
      </c>
      <c r="E96" s="107">
        <v>36</v>
      </c>
      <c r="F96" s="107">
        <v>41455</v>
      </c>
      <c r="G96" s="107" t="s">
        <v>167</v>
      </c>
      <c r="H96" s="107"/>
      <c r="I96" s="107" t="s">
        <v>167</v>
      </c>
      <c r="J96" s="107">
        <v>5.65</v>
      </c>
      <c r="K96" s="107">
        <v>5.25</v>
      </c>
      <c r="L96" s="107">
        <v>5.28</v>
      </c>
      <c r="M96" s="108">
        <v>44607</v>
      </c>
      <c r="N96" s="107">
        <v>7.5466120194667603</v>
      </c>
      <c r="O96" s="107">
        <v>7.2125612991222763</v>
      </c>
      <c r="P96" s="107">
        <v>-33.568354326799998</v>
      </c>
      <c r="Q96" s="107">
        <v>-27.6559521969</v>
      </c>
      <c r="R96" s="107" t="s">
        <v>147</v>
      </c>
      <c r="S96" s="107" t="s">
        <v>151</v>
      </c>
      <c r="T96" s="107" t="s">
        <v>1331</v>
      </c>
      <c r="U96" s="107" t="s">
        <v>1329</v>
      </c>
      <c r="V96" s="107" t="s">
        <v>1332</v>
      </c>
    </row>
    <row r="97" spans="1:22" ht="20.100000000000001" customHeight="1" thickTop="1" thickBot="1">
      <c r="A97" s="105" t="s">
        <v>303</v>
      </c>
      <c r="B97" s="109" t="s">
        <v>143</v>
      </c>
      <c r="C97" s="107" t="s">
        <v>185</v>
      </c>
      <c r="D97" s="107" t="s">
        <v>304</v>
      </c>
      <c r="E97" s="107">
        <v>87</v>
      </c>
      <c r="F97" s="107">
        <v>114027</v>
      </c>
      <c r="G97" s="107" t="s">
        <v>167</v>
      </c>
      <c r="H97" s="107">
        <v>4.32</v>
      </c>
      <c r="I97" s="107" t="s">
        <v>167</v>
      </c>
      <c r="J97" s="107">
        <v>3.5</v>
      </c>
      <c r="K97" s="107">
        <v>3.61</v>
      </c>
      <c r="L97" s="107">
        <v>3.58</v>
      </c>
      <c r="M97" s="108">
        <v>44593</v>
      </c>
      <c r="N97" s="107">
        <v>4.6548446040827107</v>
      </c>
      <c r="O97" s="107">
        <v>4.1182824321032703</v>
      </c>
      <c r="P97" s="107">
        <v>-32.995560116599997</v>
      </c>
      <c r="Q97" s="107">
        <v>-17.665212345800001</v>
      </c>
      <c r="R97" s="107" t="s">
        <v>147</v>
      </c>
      <c r="S97" s="107" t="s">
        <v>187</v>
      </c>
      <c r="T97" s="107" t="s">
        <v>1333</v>
      </c>
      <c r="U97" s="107" t="s">
        <v>1334</v>
      </c>
      <c r="V97" s="107" t="s">
        <v>1335</v>
      </c>
    </row>
    <row r="98" spans="1:22" ht="20.100000000000001" customHeight="1" thickTop="1" thickBot="1">
      <c r="A98" s="105" t="s">
        <v>719</v>
      </c>
      <c r="B98" s="110" t="s">
        <v>252</v>
      </c>
      <c r="C98" s="107" t="s">
        <v>244</v>
      </c>
      <c r="D98" s="107" t="s">
        <v>720</v>
      </c>
      <c r="E98" s="107">
        <v>36</v>
      </c>
      <c r="F98" s="107">
        <v>8060</v>
      </c>
      <c r="G98" s="107" t="s">
        <v>167</v>
      </c>
      <c r="H98" s="107">
        <v>1.85</v>
      </c>
      <c r="I98" s="107" t="s">
        <v>167</v>
      </c>
      <c r="J98" s="107">
        <v>2.33</v>
      </c>
      <c r="K98" s="107">
        <v>2.33</v>
      </c>
      <c r="L98" s="107">
        <v>7</v>
      </c>
      <c r="M98" s="108">
        <v>44592</v>
      </c>
      <c r="N98" s="107">
        <v>7.8964447294565714</v>
      </c>
      <c r="O98" s="112" t="s">
        <v>167</v>
      </c>
      <c r="P98" s="107">
        <v>-238.90320727279999</v>
      </c>
      <c r="Q98" s="112" t="s">
        <v>167</v>
      </c>
      <c r="R98" s="107" t="s">
        <v>147</v>
      </c>
      <c r="S98" s="107" t="s">
        <v>246</v>
      </c>
      <c r="T98" s="107" t="s">
        <v>1336</v>
      </c>
      <c r="U98" s="107" t="s">
        <v>1105</v>
      </c>
      <c r="V98" s="107" t="s">
        <v>1337</v>
      </c>
    </row>
    <row r="99" spans="1:22" ht="20.100000000000001" customHeight="1" thickTop="1" thickBot="1">
      <c r="A99" s="105" t="s">
        <v>329</v>
      </c>
      <c r="B99" s="109" t="s">
        <v>143</v>
      </c>
      <c r="C99" s="107" t="s">
        <v>158</v>
      </c>
      <c r="D99" s="107" t="s">
        <v>330</v>
      </c>
      <c r="E99" s="107">
        <v>36</v>
      </c>
      <c r="F99" s="107">
        <v>25137</v>
      </c>
      <c r="G99" s="107" t="s">
        <v>167</v>
      </c>
      <c r="H99" s="107">
        <v>2.5299999999999998</v>
      </c>
      <c r="I99" s="107" t="s">
        <v>167</v>
      </c>
      <c r="J99" s="107">
        <v>3.5</v>
      </c>
      <c r="K99" s="107">
        <v>2.4700000000000002</v>
      </c>
      <c r="L99" s="107">
        <v>2.5299999999999998</v>
      </c>
      <c r="M99" s="108">
        <v>44578</v>
      </c>
      <c r="N99" s="107">
        <v>3.4153334256415953</v>
      </c>
      <c r="O99" s="107">
        <v>3.5127708378979512</v>
      </c>
      <c r="P99" s="107">
        <v>2.4190449816999999</v>
      </c>
      <c r="Q99" s="107">
        <v>-0.36488108279999998</v>
      </c>
      <c r="R99" s="107" t="s">
        <v>147</v>
      </c>
      <c r="S99" s="107" t="s">
        <v>331</v>
      </c>
      <c r="T99" s="107" t="s">
        <v>1338</v>
      </c>
      <c r="U99" s="107" t="s">
        <v>1339</v>
      </c>
      <c r="V99" s="107" t="s">
        <v>1340</v>
      </c>
    </row>
    <row r="100" spans="1:22" ht="20.100000000000001" customHeight="1" thickTop="1" thickBot="1">
      <c r="A100" s="105" t="s">
        <v>434</v>
      </c>
      <c r="B100" s="109" t="s">
        <v>143</v>
      </c>
      <c r="C100" s="107" t="s">
        <v>158</v>
      </c>
      <c r="D100" s="107" t="s">
        <v>435</v>
      </c>
      <c r="E100" s="107">
        <v>84</v>
      </c>
      <c r="F100" s="107">
        <v>45820</v>
      </c>
      <c r="G100" s="107" t="s">
        <v>167</v>
      </c>
      <c r="H100" s="107">
        <v>2.33</v>
      </c>
      <c r="I100" s="107" t="s">
        <v>167</v>
      </c>
      <c r="J100" s="107">
        <v>3.25</v>
      </c>
      <c r="K100" s="107">
        <v>2.6</v>
      </c>
      <c r="L100" s="107">
        <v>2.63</v>
      </c>
      <c r="M100" s="108">
        <v>44551</v>
      </c>
      <c r="N100" s="112" t="s">
        <v>167</v>
      </c>
      <c r="O100" s="112" t="s">
        <v>167</v>
      </c>
      <c r="P100" s="112" t="s">
        <v>167</v>
      </c>
      <c r="Q100" s="112" t="s">
        <v>167</v>
      </c>
      <c r="R100" s="107" t="s">
        <v>147</v>
      </c>
      <c r="S100" s="107" t="s">
        <v>436</v>
      </c>
      <c r="T100" s="107" t="s">
        <v>1341</v>
      </c>
      <c r="U100" s="107" t="s">
        <v>1152</v>
      </c>
      <c r="V100" s="107" t="s">
        <v>1342</v>
      </c>
    </row>
    <row r="101" spans="1:22" ht="20.100000000000001" customHeight="1" thickTop="1" thickBot="1">
      <c r="A101" s="105" t="s">
        <v>599</v>
      </c>
      <c r="B101" s="109" t="s">
        <v>143</v>
      </c>
      <c r="C101" s="107" t="s">
        <v>600</v>
      </c>
      <c r="D101" s="107" t="s">
        <v>601</v>
      </c>
      <c r="E101" s="107">
        <v>60</v>
      </c>
      <c r="F101" s="107">
        <v>26448</v>
      </c>
      <c r="G101" s="107" t="s">
        <v>167</v>
      </c>
      <c r="H101" s="107"/>
      <c r="I101" s="107" t="s">
        <v>167</v>
      </c>
      <c r="J101" s="107">
        <v>8.2799999999999994</v>
      </c>
      <c r="K101" s="107">
        <v>7.8</v>
      </c>
      <c r="L101" s="107">
        <v>7.85</v>
      </c>
      <c r="M101" s="108">
        <v>44530</v>
      </c>
      <c r="N101" s="107">
        <v>6.3368017693751009</v>
      </c>
      <c r="O101" s="107">
        <v>5.9814758623006545</v>
      </c>
      <c r="P101" s="107">
        <v>23.468577664600001</v>
      </c>
      <c r="Q101" s="107">
        <v>27.759953353899999</v>
      </c>
      <c r="R101" s="107" t="s">
        <v>147</v>
      </c>
      <c r="S101" s="107" t="s">
        <v>602</v>
      </c>
      <c r="T101" s="107" t="s">
        <v>1343</v>
      </c>
      <c r="U101" s="107" t="s">
        <v>1344</v>
      </c>
      <c r="V101" s="107" t="s">
        <v>1345</v>
      </c>
    </row>
    <row r="102" spans="1:22" ht="20.100000000000001" customHeight="1" thickTop="1" thickBot="1">
      <c r="A102" s="105" t="s">
        <v>498</v>
      </c>
      <c r="B102" s="109" t="s">
        <v>143</v>
      </c>
      <c r="C102" s="107" t="s">
        <v>158</v>
      </c>
      <c r="D102" s="107" t="s">
        <v>499</v>
      </c>
      <c r="E102" s="107">
        <v>36</v>
      </c>
      <c r="F102" s="107">
        <v>41496</v>
      </c>
      <c r="G102" s="107" t="s">
        <v>167</v>
      </c>
      <c r="H102" s="107">
        <v>2.41</v>
      </c>
      <c r="I102" s="107" t="s">
        <v>167</v>
      </c>
      <c r="J102" s="107">
        <v>3.5</v>
      </c>
      <c r="K102" s="107">
        <v>3.35</v>
      </c>
      <c r="L102" s="107">
        <v>2.44</v>
      </c>
      <c r="M102" s="108">
        <v>44524</v>
      </c>
      <c r="N102" s="107">
        <v>3.5033369381401243</v>
      </c>
      <c r="O102" s="107">
        <v>3.3481978617840658</v>
      </c>
      <c r="P102" s="107">
        <v>-9.5341089700000006E-2</v>
      </c>
      <c r="Q102" s="107">
        <v>4.3372039490000001</v>
      </c>
      <c r="R102" s="107" t="s">
        <v>147</v>
      </c>
      <c r="S102" s="107" t="s">
        <v>331</v>
      </c>
      <c r="T102" s="107" t="s">
        <v>1346</v>
      </c>
      <c r="U102" s="107" t="s">
        <v>1339</v>
      </c>
      <c r="V102" s="107" t="s">
        <v>1347</v>
      </c>
    </row>
    <row r="103" spans="1:22" ht="20.100000000000001" customHeight="1" thickTop="1" thickBot="1">
      <c r="A103" s="105" t="s">
        <v>597</v>
      </c>
      <c r="B103" s="109" t="s">
        <v>143</v>
      </c>
      <c r="C103" s="107" t="s">
        <v>274</v>
      </c>
      <c r="D103" s="107" t="s">
        <v>598</v>
      </c>
      <c r="E103" s="107">
        <v>36</v>
      </c>
      <c r="F103" s="107">
        <v>8730</v>
      </c>
      <c r="G103" s="107" t="s">
        <v>167</v>
      </c>
      <c r="H103" s="107">
        <v>6.9</v>
      </c>
      <c r="I103" s="107" t="s">
        <v>167</v>
      </c>
      <c r="J103" s="107">
        <v>7.2</v>
      </c>
      <c r="K103" s="107">
        <v>6.96</v>
      </c>
      <c r="L103" s="107">
        <v>7.03</v>
      </c>
      <c r="M103" s="108">
        <v>44508</v>
      </c>
      <c r="N103" s="107">
        <v>7.5536181718763791</v>
      </c>
      <c r="O103" s="107">
        <v>7.4650859905318567</v>
      </c>
      <c r="P103" s="107">
        <v>-4.9113634983000001</v>
      </c>
      <c r="Q103" s="107">
        <v>-3.6817498684999999</v>
      </c>
      <c r="R103" s="107" t="s">
        <v>147</v>
      </c>
      <c r="S103" s="107" t="s">
        <v>430</v>
      </c>
      <c r="T103" s="107" t="s">
        <v>1348</v>
      </c>
      <c r="U103" s="107" t="s">
        <v>1349</v>
      </c>
      <c r="V103" s="107" t="s">
        <v>1350</v>
      </c>
    </row>
    <row r="104" spans="1:22" ht="20.100000000000001" customHeight="1" thickTop="1" thickBot="1">
      <c r="A104" s="105" t="s">
        <v>320</v>
      </c>
      <c r="B104" s="109" t="s">
        <v>143</v>
      </c>
      <c r="C104" s="107" t="s">
        <v>244</v>
      </c>
      <c r="D104" s="107" t="s">
        <v>321</v>
      </c>
      <c r="E104" s="107">
        <v>60</v>
      </c>
      <c r="F104" s="107">
        <v>115200</v>
      </c>
      <c r="G104" s="107" t="s">
        <v>167</v>
      </c>
      <c r="H104" s="107">
        <v>3.49</v>
      </c>
      <c r="I104" s="107" t="s">
        <v>167</v>
      </c>
      <c r="J104" s="107">
        <v>3.8</v>
      </c>
      <c r="K104" s="107">
        <v>3.7</v>
      </c>
      <c r="L104" s="107">
        <v>3.97</v>
      </c>
      <c r="M104" s="108">
        <v>44424</v>
      </c>
      <c r="N104" s="107">
        <v>4.5915746762733569</v>
      </c>
      <c r="O104" s="107">
        <v>4.4134496292026482</v>
      </c>
      <c r="P104" s="107">
        <v>-20.830912533500001</v>
      </c>
      <c r="Q104" s="107">
        <v>-16.1434112948</v>
      </c>
      <c r="R104" s="107" t="s">
        <v>147</v>
      </c>
      <c r="S104" s="107" t="s">
        <v>322</v>
      </c>
      <c r="T104" s="107" t="s">
        <v>1351</v>
      </c>
      <c r="U104" s="107" t="s">
        <v>1352</v>
      </c>
      <c r="V104" s="107" t="s">
        <v>1353</v>
      </c>
    </row>
    <row r="105" spans="1:22" ht="20.100000000000001" customHeight="1" thickTop="1" thickBot="1">
      <c r="A105" s="105" t="s">
        <v>680</v>
      </c>
      <c r="B105" s="106" t="s">
        <v>157</v>
      </c>
      <c r="C105" s="107" t="s">
        <v>181</v>
      </c>
      <c r="D105" s="107" t="s">
        <v>681</v>
      </c>
      <c r="E105" s="107">
        <v>48</v>
      </c>
      <c r="F105" s="107">
        <v>20000</v>
      </c>
      <c r="G105" s="107" t="s">
        <v>167</v>
      </c>
      <c r="H105" s="107">
        <v>4.3499999999999996</v>
      </c>
      <c r="I105" s="107" t="s">
        <v>167</v>
      </c>
      <c r="J105" s="107">
        <v>4.7</v>
      </c>
      <c r="K105" s="107">
        <v>5</v>
      </c>
      <c r="L105" s="107">
        <v>5.03</v>
      </c>
      <c r="M105" s="108">
        <v>44392</v>
      </c>
      <c r="N105" s="107">
        <v>7.414199441366117</v>
      </c>
      <c r="O105" s="107">
        <v>6.8846162012029017</v>
      </c>
      <c r="P105" s="107">
        <v>-57.748924284399997</v>
      </c>
      <c r="Q105" s="107">
        <v>-46.481195770299998</v>
      </c>
      <c r="R105" s="107" t="s">
        <v>147</v>
      </c>
      <c r="S105" s="107" t="s">
        <v>316</v>
      </c>
      <c r="T105" s="107" t="s">
        <v>1354</v>
      </c>
      <c r="U105" s="107" t="s">
        <v>1183</v>
      </c>
      <c r="V105" s="107" t="s">
        <v>1355</v>
      </c>
    </row>
    <row r="106" spans="1:22" ht="20.100000000000001" customHeight="1" thickTop="1" thickBot="1">
      <c r="A106" s="105" t="s">
        <v>332</v>
      </c>
      <c r="B106" s="109" t="s">
        <v>143</v>
      </c>
      <c r="C106" s="107" t="s">
        <v>185</v>
      </c>
      <c r="D106" s="107" t="s">
        <v>333</v>
      </c>
      <c r="E106" s="107">
        <v>38</v>
      </c>
      <c r="F106" s="107">
        <v>47107</v>
      </c>
      <c r="G106" s="107" t="s">
        <v>167</v>
      </c>
      <c r="H106" s="107"/>
      <c r="I106" s="107" t="s">
        <v>167</v>
      </c>
      <c r="J106" s="107">
        <v>3.25</v>
      </c>
      <c r="K106" s="107">
        <v>3</v>
      </c>
      <c r="L106" s="107">
        <v>3.01</v>
      </c>
      <c r="M106" s="108">
        <v>44355</v>
      </c>
      <c r="N106" s="107">
        <v>3.8632741460924844</v>
      </c>
      <c r="O106" s="107">
        <v>4.1091870939553958</v>
      </c>
      <c r="P106" s="107">
        <v>-18.8699737259</v>
      </c>
      <c r="Q106" s="107">
        <v>-26.4365259679</v>
      </c>
      <c r="R106" s="107" t="s">
        <v>147</v>
      </c>
      <c r="S106" s="107" t="s">
        <v>187</v>
      </c>
      <c r="T106" s="107" t="s">
        <v>1356</v>
      </c>
      <c r="U106" s="107" t="s">
        <v>1334</v>
      </c>
      <c r="V106" s="107" t="s">
        <v>1357</v>
      </c>
    </row>
    <row r="107" spans="1:22" ht="20.100000000000001" customHeight="1" thickTop="1" thickBot="1">
      <c r="A107" s="105" t="s">
        <v>247</v>
      </c>
      <c r="B107" s="111" t="s">
        <v>238</v>
      </c>
      <c r="C107" s="107" t="s">
        <v>185</v>
      </c>
      <c r="D107" s="107" t="s">
        <v>186</v>
      </c>
      <c r="E107" s="107">
        <v>47</v>
      </c>
      <c r="F107" s="107">
        <v>111087</v>
      </c>
      <c r="G107" s="107" t="s">
        <v>167</v>
      </c>
      <c r="H107" s="107"/>
      <c r="I107" s="107" t="s">
        <v>167</v>
      </c>
      <c r="J107" s="107">
        <v>3.35</v>
      </c>
      <c r="K107" s="107">
        <v>3.25</v>
      </c>
      <c r="L107" s="107">
        <v>3.25</v>
      </c>
      <c r="M107" s="108">
        <v>44287</v>
      </c>
      <c r="N107" s="107">
        <v>4.1391051180243048</v>
      </c>
      <c r="O107" s="112" t="s">
        <v>167</v>
      </c>
      <c r="P107" s="107">
        <v>-23.5553766574</v>
      </c>
      <c r="Q107" s="112" t="s">
        <v>167</v>
      </c>
      <c r="R107" s="107" t="s">
        <v>147</v>
      </c>
      <c r="S107" s="107" t="s">
        <v>187</v>
      </c>
      <c r="T107" s="107" t="s">
        <v>1358</v>
      </c>
      <c r="U107" s="107" t="s">
        <v>1334</v>
      </c>
      <c r="V107" s="107" t="s">
        <v>1359</v>
      </c>
    </row>
    <row r="108" spans="1:22" ht="20.100000000000001" customHeight="1" thickTop="1" thickBot="1">
      <c r="A108" s="105" t="s">
        <v>648</v>
      </c>
      <c r="B108" s="106" t="s">
        <v>157</v>
      </c>
      <c r="C108" s="107" t="s">
        <v>158</v>
      </c>
      <c r="D108" s="107" t="s">
        <v>649</v>
      </c>
      <c r="E108" s="107">
        <v>36</v>
      </c>
      <c r="F108" s="107">
        <v>22743</v>
      </c>
      <c r="G108" s="107" t="s">
        <v>167</v>
      </c>
      <c r="H108" s="107">
        <v>2.5099999999999998</v>
      </c>
      <c r="I108" s="107">
        <v>3.65</v>
      </c>
      <c r="J108" s="107">
        <v>4.1500000000000004</v>
      </c>
      <c r="K108" s="107">
        <v>2.67</v>
      </c>
      <c r="L108" s="107">
        <v>2.67</v>
      </c>
      <c r="M108" s="108">
        <v>45107</v>
      </c>
      <c r="N108" s="119">
        <v>4.3160357920267103</v>
      </c>
      <c r="O108" s="119">
        <v>3.7355740982825352</v>
      </c>
      <c r="P108" s="119">
        <v>-4.0008624585000003</v>
      </c>
      <c r="Q108" s="119">
        <v>9.9861663063999995</v>
      </c>
      <c r="R108" s="107" t="s">
        <v>147</v>
      </c>
      <c r="S108" s="107" t="s">
        <v>331</v>
      </c>
      <c r="T108" s="107" t="s">
        <v>1360</v>
      </c>
      <c r="U108" s="107" t="s">
        <v>1339</v>
      </c>
      <c r="V108" s="107" t="s">
        <v>1361</v>
      </c>
    </row>
    <row r="109" spans="1:22" ht="20.100000000000001" customHeight="1" thickTop="1" thickBot="1">
      <c r="A109" s="105" t="s">
        <v>628</v>
      </c>
      <c r="B109" s="106" t="s">
        <v>157</v>
      </c>
      <c r="C109" s="107" t="s">
        <v>158</v>
      </c>
      <c r="D109" s="107" t="s">
        <v>629</v>
      </c>
      <c r="E109" s="107">
        <v>36</v>
      </c>
      <c r="F109" s="107">
        <v>48000</v>
      </c>
      <c r="G109" s="107" t="s">
        <v>167</v>
      </c>
      <c r="H109" s="107">
        <v>3.09</v>
      </c>
      <c r="I109" s="107">
        <v>4.5999999999999996</v>
      </c>
      <c r="J109" s="107">
        <v>4.5</v>
      </c>
      <c r="K109" s="107">
        <v>3.95</v>
      </c>
      <c r="L109" s="107" t="s">
        <v>167</v>
      </c>
      <c r="M109" s="108">
        <v>45107</v>
      </c>
      <c r="N109" s="119">
        <v>4.0788930869792726</v>
      </c>
      <c r="O109" s="119">
        <v>4.1879491982559545</v>
      </c>
      <c r="P109" s="119">
        <v>9.3579314005000001</v>
      </c>
      <c r="Q109" s="119">
        <v>6.9344622610000002</v>
      </c>
      <c r="R109" s="107" t="s">
        <v>161</v>
      </c>
      <c r="S109" s="107" t="s">
        <v>164</v>
      </c>
      <c r="T109" s="107"/>
      <c r="U109" s="107" t="s">
        <v>1092</v>
      </c>
      <c r="V109" s="107" t="s">
        <v>1362</v>
      </c>
    </row>
    <row r="110" spans="1:22" ht="20.100000000000001" customHeight="1" thickTop="1" thickBot="1">
      <c r="A110" s="105" t="s">
        <v>677</v>
      </c>
      <c r="B110" s="106" t="s">
        <v>157</v>
      </c>
      <c r="C110" s="107" t="s">
        <v>144</v>
      </c>
      <c r="D110" s="107" t="s">
        <v>678</v>
      </c>
      <c r="E110" s="107">
        <v>25</v>
      </c>
      <c r="F110" s="107">
        <v>5850</v>
      </c>
      <c r="G110" s="107" t="s">
        <v>167</v>
      </c>
      <c r="H110" s="107">
        <v>7.72</v>
      </c>
      <c r="I110" s="107">
        <v>8</v>
      </c>
      <c r="J110" s="107">
        <v>9</v>
      </c>
      <c r="K110" s="107">
        <v>8.4</v>
      </c>
      <c r="L110" s="107">
        <v>8.4</v>
      </c>
      <c r="M110" s="108">
        <v>45043</v>
      </c>
      <c r="N110" s="119">
        <v>11.250406856148953</v>
      </c>
      <c r="O110" s="119">
        <v>11.296262571443897</v>
      </c>
      <c r="P110" s="119">
        <v>-25.0045206239</v>
      </c>
      <c r="Q110" s="119">
        <v>-25.514028571600001</v>
      </c>
      <c r="R110" s="107" t="s">
        <v>147</v>
      </c>
      <c r="S110" s="107" t="s">
        <v>679</v>
      </c>
      <c r="T110" s="107" t="s">
        <v>1363</v>
      </c>
      <c r="U110" s="107" t="s">
        <v>1128</v>
      </c>
      <c r="V110" s="107" t="s">
        <v>1364</v>
      </c>
    </row>
    <row r="111" spans="1:22" ht="20.100000000000001" customHeight="1" thickTop="1" thickBot="1">
      <c r="A111" s="105" t="s">
        <v>645</v>
      </c>
      <c r="B111" s="106" t="s">
        <v>157</v>
      </c>
      <c r="C111" s="107" t="s">
        <v>144</v>
      </c>
      <c r="D111" s="107" t="s">
        <v>646</v>
      </c>
      <c r="E111" s="107">
        <v>61</v>
      </c>
      <c r="F111" s="107">
        <v>19963</v>
      </c>
      <c r="G111" s="107" t="s">
        <v>167</v>
      </c>
      <c r="H111" s="107">
        <v>6.16</v>
      </c>
      <c r="I111" s="107">
        <v>6.5</v>
      </c>
      <c r="J111" s="107">
        <v>8</v>
      </c>
      <c r="K111" s="107">
        <v>0</v>
      </c>
      <c r="L111" s="107">
        <v>6.82</v>
      </c>
      <c r="M111" s="108">
        <v>45033</v>
      </c>
      <c r="N111" s="119">
        <v>10.07468824188051</v>
      </c>
      <c r="O111" s="119">
        <v>9.3359075401387042</v>
      </c>
      <c r="P111" s="119">
        <v>-25.933603023500002</v>
      </c>
      <c r="Q111" s="119">
        <v>-16.698844251699999</v>
      </c>
      <c r="R111" s="107" t="s">
        <v>147</v>
      </c>
      <c r="S111" s="107" t="s">
        <v>647</v>
      </c>
      <c r="T111" s="107" t="s">
        <v>1365</v>
      </c>
      <c r="U111" s="107" t="s">
        <v>1366</v>
      </c>
      <c r="V111" s="107" t="s">
        <v>1367</v>
      </c>
    </row>
    <row r="112" spans="1:22" ht="20.100000000000001" customHeight="1" thickTop="1" thickBot="1">
      <c r="A112" s="105" t="s">
        <v>564</v>
      </c>
      <c r="B112" s="106" t="s">
        <v>157</v>
      </c>
      <c r="C112" s="107" t="s">
        <v>144</v>
      </c>
      <c r="D112" s="107" t="s">
        <v>565</v>
      </c>
      <c r="E112" s="107">
        <v>37</v>
      </c>
      <c r="F112" s="107">
        <v>5399</v>
      </c>
      <c r="G112" s="107" t="s">
        <v>167</v>
      </c>
      <c r="H112" s="107">
        <v>6.66</v>
      </c>
      <c r="I112" s="107">
        <v>8</v>
      </c>
      <c r="J112" s="107">
        <v>9.5</v>
      </c>
      <c r="K112" s="107" t="s">
        <v>167</v>
      </c>
      <c r="L112" s="107">
        <v>8.39</v>
      </c>
      <c r="M112" s="108">
        <v>45033</v>
      </c>
      <c r="N112" s="119">
        <v>11.13099234756959</v>
      </c>
      <c r="O112" s="119">
        <v>10.631064869018074</v>
      </c>
      <c r="P112" s="119">
        <v>-17.168340500700001</v>
      </c>
      <c r="Q112" s="119">
        <v>-11.905945989699999</v>
      </c>
      <c r="R112" s="107" t="s">
        <v>147</v>
      </c>
      <c r="S112" s="107" t="s">
        <v>269</v>
      </c>
      <c r="T112" s="107" t="s">
        <v>1368</v>
      </c>
      <c r="U112" s="107" t="s">
        <v>1128</v>
      </c>
      <c r="V112" s="107" t="s">
        <v>1369</v>
      </c>
    </row>
    <row r="113" spans="1:22" ht="20.100000000000001" customHeight="1" thickTop="1" thickBot="1">
      <c r="A113" s="105" t="s">
        <v>277</v>
      </c>
      <c r="B113" s="109" t="s">
        <v>143</v>
      </c>
      <c r="C113" s="107" t="s">
        <v>144</v>
      </c>
      <c r="D113" s="107" t="s">
        <v>278</v>
      </c>
      <c r="E113" s="107">
        <v>62</v>
      </c>
      <c r="F113" s="107">
        <v>12905</v>
      </c>
      <c r="G113" s="107" t="s">
        <v>167</v>
      </c>
      <c r="H113" s="107">
        <v>9</v>
      </c>
      <c r="I113" s="107">
        <v>8</v>
      </c>
      <c r="J113" s="107">
        <v>9.75</v>
      </c>
      <c r="K113" s="107" t="s">
        <v>167</v>
      </c>
      <c r="L113" s="107">
        <v>8.32</v>
      </c>
      <c r="M113" s="108">
        <v>45019</v>
      </c>
      <c r="N113" s="119">
        <v>10.521217854592377</v>
      </c>
      <c r="O113" s="119">
        <v>10.015400384571583</v>
      </c>
      <c r="P113" s="119">
        <v>-7.9099267138</v>
      </c>
      <c r="Q113" s="119">
        <v>-2.7220552264000002</v>
      </c>
      <c r="R113" s="107" t="s">
        <v>147</v>
      </c>
      <c r="S113" s="107" t="s">
        <v>279</v>
      </c>
      <c r="T113" s="107"/>
      <c r="U113" s="107" t="s">
        <v>1257</v>
      </c>
      <c r="V113" s="107" t="s">
        <v>1370</v>
      </c>
    </row>
    <row r="114" spans="1:22" ht="14.45" hidden="1" thickTop="1">
      <c r="P114" s="115"/>
      <c r="Q114" s="115"/>
    </row>
    <row r="115" spans="1:22" ht="14.45" thickTop="1">
      <c r="H115" s="114">
        <f>SUMPRODUCT(H4:H113,F4:F113)/SUMIF(H4:H113,"&gt;0",F4:F113)</f>
        <v>4.984419826349284</v>
      </c>
      <c r="J115" s="114">
        <f>SUMPRODUCT(J4:J113,$F$4:$F$113)/SUM($F$4:$F$113)</f>
        <v>6.9320464575334775</v>
      </c>
      <c r="N115" s="114">
        <f>SUMPRODUCT(N4:N113,$F$4:$F$113)/SUM($F$4:$F$113)</f>
        <v>7.8648762301135235</v>
      </c>
      <c r="O115" s="114">
        <f>SUMPRODUCT(O4:O113,$F$4:$F$113)/SUM($F$4:$F$113)</f>
        <v>6.8738742758770561</v>
      </c>
      <c r="P115" s="120">
        <f>AVERAGE(P4:P113)</f>
        <v>-17.827891361840742</v>
      </c>
      <c r="Q115" s="120">
        <f>AVERAGE(Q4:Q113)</f>
        <v>-6.6452073429057688</v>
      </c>
    </row>
    <row r="116" spans="1:22">
      <c r="O116" t="s">
        <v>1371</v>
      </c>
      <c r="P116" s="77">
        <f>(COUNT(P4:P113)-((COUNTIF(P4:P113,"&gt;10")+COUNTIF(P4:P113,"&lt;-10"))))/COUNT(P4:P113)</f>
        <v>0.43518518518518517</v>
      </c>
      <c r="Q116" s="77">
        <f>(COUNT(Q4:Q113)-((COUNTIF(Q4:Q113,"&gt;10")+COUNTIF(Q4:Q113,"&lt;-10"))))/COUNT(Q4:Q113)</f>
        <v>0.53846153846153844</v>
      </c>
    </row>
  </sheetData>
  <autoFilter ref="A3:V113" xr:uid="{6C863619-7B6D-4516-B87A-D197C8285B58}"/>
  <conditionalFormatting sqref="P4:Q113">
    <cfRule type="cellIs" dxfId="1" priority="1" operator="lessThan">
      <formula>-10</formula>
    </cfRule>
    <cfRule type="cellIs" dxfId="0" priority="2" operator="greaterThan">
      <formula>10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B8D4E-CA4F-4220-917C-F9D66DB73BAD}">
  <sheetPr codeName="Sheet3">
    <tabColor theme="9"/>
  </sheetPr>
  <dimension ref="A3:L23"/>
  <sheetViews>
    <sheetView zoomScale="85" zoomScaleNormal="85" workbookViewId="0">
      <selection activeCell="L27" sqref="L27"/>
    </sheetView>
  </sheetViews>
  <sheetFormatPr defaultColWidth="8.875" defaultRowHeight="13.9"/>
  <cols>
    <col min="1" max="1" width="14" bestFit="1" customWidth="1"/>
    <col min="2" max="2" width="9" bestFit="1" customWidth="1"/>
    <col min="3" max="4" width="10.625" bestFit="1" customWidth="1"/>
    <col min="5" max="5" width="14.125" bestFit="1" customWidth="1"/>
    <col min="6" max="6" width="12.625" bestFit="1" customWidth="1"/>
    <col min="7" max="7" width="12.5" bestFit="1" customWidth="1"/>
    <col min="8" max="8" width="14.625" bestFit="1" customWidth="1"/>
    <col min="9" max="9" width="14.125" customWidth="1"/>
    <col min="10" max="10" width="16.5" customWidth="1"/>
    <col min="11" max="11" width="15" customWidth="1"/>
  </cols>
  <sheetData>
    <row r="3" spans="1:12" ht="59.85" customHeight="1">
      <c r="A3" s="49" t="s">
        <v>1000</v>
      </c>
      <c r="B3" s="50" t="s">
        <v>1372</v>
      </c>
      <c r="C3" s="51" t="s">
        <v>732</v>
      </c>
      <c r="D3" s="51" t="s">
        <v>1373</v>
      </c>
      <c r="E3" s="50" t="s">
        <v>1374</v>
      </c>
      <c r="F3" s="51" t="s">
        <v>1375</v>
      </c>
      <c r="G3" s="51" t="s">
        <v>1376</v>
      </c>
      <c r="H3" s="51" t="s">
        <v>1377</v>
      </c>
    </row>
    <row r="4" spans="1:12">
      <c r="A4" s="2" t="s">
        <v>1378</v>
      </c>
      <c r="B4" s="3">
        <v>95074</v>
      </c>
      <c r="C4" s="4">
        <v>137056</v>
      </c>
      <c r="D4" s="4">
        <v>1008969.53</v>
      </c>
      <c r="E4" s="4">
        <v>449844.79046112439</v>
      </c>
      <c r="F4" s="4">
        <v>882113.23</v>
      </c>
      <c r="G4" s="10">
        <v>0.13277403729716639</v>
      </c>
      <c r="H4" s="3">
        <v>12</v>
      </c>
    </row>
    <row r="5" spans="1:12">
      <c r="A5" s="2" t="s">
        <v>1379</v>
      </c>
      <c r="B5" s="3"/>
      <c r="C5" s="4">
        <v>82460</v>
      </c>
      <c r="D5" s="4">
        <v>474145</v>
      </c>
      <c r="E5" s="3">
        <v>0</v>
      </c>
      <c r="F5" s="4">
        <v>432915</v>
      </c>
      <c r="G5" s="10">
        <v>7.9883749091789774E-2</v>
      </c>
      <c r="H5" s="3">
        <v>1</v>
      </c>
    </row>
    <row r="6" spans="1:12">
      <c r="A6" s="2" t="s">
        <v>1380</v>
      </c>
      <c r="B6" s="3">
        <v>63840</v>
      </c>
      <c r="C6" s="4">
        <v>140465</v>
      </c>
      <c r="D6" s="4">
        <v>752152.5</v>
      </c>
      <c r="E6" s="3">
        <v>166002.97176820206</v>
      </c>
      <c r="F6" s="4">
        <v>706702.5</v>
      </c>
      <c r="G6" s="10">
        <v>0.13607653184790505</v>
      </c>
      <c r="H6" s="3">
        <v>2</v>
      </c>
    </row>
    <row r="7" spans="1:12">
      <c r="A7" s="2" t="s">
        <v>1381</v>
      </c>
      <c r="B7" s="3">
        <v>174378</v>
      </c>
      <c r="C7" s="4">
        <v>221485</v>
      </c>
      <c r="D7" s="4">
        <v>914977.34</v>
      </c>
      <c r="E7" s="3">
        <v>587632.5292111109</v>
      </c>
      <c r="F7" s="4">
        <v>809027.75</v>
      </c>
      <c r="G7" s="10">
        <v>0.21456527004117221</v>
      </c>
      <c r="H7" s="3">
        <v>5</v>
      </c>
    </row>
    <row r="8" spans="1:12">
      <c r="A8" s="2" t="s">
        <v>1382</v>
      </c>
      <c r="B8" s="3">
        <v>84022</v>
      </c>
      <c r="C8" s="4">
        <v>110470</v>
      </c>
      <c r="D8" s="4">
        <v>639511.24</v>
      </c>
      <c r="E8" s="3">
        <v>280448.00263385009</v>
      </c>
      <c r="F8" s="4">
        <v>497491.13</v>
      </c>
      <c r="G8" s="10">
        <v>0.10701864858319206</v>
      </c>
      <c r="H8" s="3">
        <v>4</v>
      </c>
    </row>
    <row r="9" spans="1:12">
      <c r="A9" s="2" t="s">
        <v>1383</v>
      </c>
      <c r="B9" s="3">
        <v>115200</v>
      </c>
      <c r="C9" s="4">
        <v>340314</v>
      </c>
      <c r="D9" s="4">
        <v>1208995.95</v>
      </c>
      <c r="E9" s="3">
        <v>402723.09107635694</v>
      </c>
      <c r="F9" s="4">
        <v>1186367.25</v>
      </c>
      <c r="G9" s="10">
        <v>0.32968176313877451</v>
      </c>
      <c r="H9" s="3">
        <v>3</v>
      </c>
    </row>
    <row r="10" spans="1:12">
      <c r="A10" s="2" t="s">
        <v>1012</v>
      </c>
      <c r="B10" s="3">
        <v>532514</v>
      </c>
      <c r="C10" s="4">
        <v>1032250</v>
      </c>
      <c r="D10" s="4">
        <v>4998751.5600000005</v>
      </c>
      <c r="E10" s="3">
        <v>1886651.3851506445</v>
      </c>
      <c r="F10" s="4">
        <v>4514616.8599999994</v>
      </c>
      <c r="G10" s="10">
        <v>1</v>
      </c>
      <c r="H10" s="3">
        <v>27</v>
      </c>
    </row>
    <row r="11" spans="1:12" ht="36" customHeight="1">
      <c r="I11" s="9" t="s">
        <v>1384</v>
      </c>
      <c r="J11" s="9" t="s">
        <v>1385</v>
      </c>
      <c r="K11" s="9" t="s">
        <v>1386</v>
      </c>
    </row>
    <row r="12" spans="1:12">
      <c r="A12" s="13" t="str">
        <f>A4</f>
        <v>Upto 20K</v>
      </c>
      <c r="B12" s="5">
        <f t="shared" ref="B12" si="0">B4</f>
        <v>95074</v>
      </c>
      <c r="C12" s="5">
        <f t="shared" ref="C12:F12" si="1">C4</f>
        <v>137056</v>
      </c>
      <c r="D12" s="5">
        <f t="shared" si="1"/>
        <v>1008969.53</v>
      </c>
      <c r="E12" s="5">
        <f t="shared" si="1"/>
        <v>449844.79046112439</v>
      </c>
      <c r="F12" s="5">
        <f t="shared" si="1"/>
        <v>882113.23</v>
      </c>
      <c r="I12" s="14">
        <f>D12/C12</f>
        <v>7.3617319197992064</v>
      </c>
      <c r="J12" s="14">
        <f>E12/B12</f>
        <v>4.7315227134771272</v>
      </c>
      <c r="K12" s="15">
        <f>F12/C12</f>
        <v>6.4361518649311229</v>
      </c>
      <c r="L12" s="73" t="s">
        <v>1387</v>
      </c>
    </row>
    <row r="13" spans="1:12">
      <c r="A13" s="13" t="str">
        <f t="shared" ref="A13:B13" si="2">A5</f>
        <v>80-100K</v>
      </c>
      <c r="B13" s="5">
        <f t="shared" si="2"/>
        <v>0</v>
      </c>
      <c r="C13" s="5">
        <f t="shared" ref="C13:F13" si="3">C5</f>
        <v>82460</v>
      </c>
      <c r="D13" s="5">
        <f t="shared" si="3"/>
        <v>474145</v>
      </c>
      <c r="E13" s="5">
        <f t="shared" si="3"/>
        <v>0</v>
      </c>
      <c r="F13" s="5">
        <f t="shared" si="3"/>
        <v>432915</v>
      </c>
      <c r="I13" s="14">
        <f t="shared" ref="I13:I18" si="4">D13/C13</f>
        <v>5.75</v>
      </c>
      <c r="J13" s="52" t="s">
        <v>1388</v>
      </c>
      <c r="K13" s="15">
        <f t="shared" ref="K13:K18" si="5">F13/C13</f>
        <v>5.25</v>
      </c>
    </row>
    <row r="14" spans="1:12">
      <c r="A14" s="13" t="str">
        <f t="shared" ref="A14:B14" si="6">A6</f>
        <v>60-80K</v>
      </c>
      <c r="B14" s="5">
        <f t="shared" si="6"/>
        <v>63840</v>
      </c>
      <c r="C14" s="5">
        <f t="shared" ref="C14:F14" si="7">C6</f>
        <v>140465</v>
      </c>
      <c r="D14" s="5">
        <f t="shared" si="7"/>
        <v>752152.5</v>
      </c>
      <c r="E14" s="5">
        <f t="shared" si="7"/>
        <v>166002.97176820206</v>
      </c>
      <c r="F14" s="5">
        <f t="shared" si="7"/>
        <v>706702.5</v>
      </c>
      <c r="I14" s="14">
        <f t="shared" si="4"/>
        <v>5.3547324956394835</v>
      </c>
      <c r="J14" s="14">
        <f t="shared" ref="J14:J18" si="8">E14/B14</f>
        <v>2.6002971768202077</v>
      </c>
      <c r="K14" s="15">
        <f t="shared" si="5"/>
        <v>5.0311643469903533</v>
      </c>
    </row>
    <row r="15" spans="1:12">
      <c r="A15" s="13" t="str">
        <f t="shared" ref="A15:B15" si="9">A7</f>
        <v>40-60K</v>
      </c>
      <c r="B15" s="5">
        <f t="shared" si="9"/>
        <v>174378</v>
      </c>
      <c r="C15" s="5">
        <f t="shared" ref="C15:F15" si="10">C7</f>
        <v>221485</v>
      </c>
      <c r="D15" s="5">
        <f t="shared" si="10"/>
        <v>914977.34</v>
      </c>
      <c r="E15" s="5">
        <f t="shared" si="10"/>
        <v>587632.5292111109</v>
      </c>
      <c r="F15" s="5">
        <f t="shared" si="10"/>
        <v>809027.75</v>
      </c>
      <c r="I15" s="14">
        <f t="shared" si="4"/>
        <v>4.1311029640833468</v>
      </c>
      <c r="J15" s="14">
        <f t="shared" si="8"/>
        <v>3.3698776749997759</v>
      </c>
      <c r="K15" s="15">
        <f t="shared" si="5"/>
        <v>3.6527428494028942</v>
      </c>
    </row>
    <row r="16" spans="1:12">
      <c r="A16" s="13" t="str">
        <f t="shared" ref="A16:B16" si="11">A8</f>
        <v>20-40K</v>
      </c>
      <c r="B16" s="5">
        <f t="shared" si="11"/>
        <v>84022</v>
      </c>
      <c r="C16" s="5">
        <f t="shared" ref="C16:F16" si="12">C8</f>
        <v>110470</v>
      </c>
      <c r="D16" s="5">
        <f t="shared" si="12"/>
        <v>639511.24</v>
      </c>
      <c r="E16" s="5">
        <f t="shared" si="12"/>
        <v>280448.00263385009</v>
      </c>
      <c r="F16" s="5">
        <f t="shared" si="12"/>
        <v>497491.13</v>
      </c>
      <c r="I16" s="14">
        <f t="shared" si="4"/>
        <v>5.789003711414864</v>
      </c>
      <c r="J16" s="14">
        <f t="shared" si="8"/>
        <v>3.3377925142682878</v>
      </c>
      <c r="K16" s="15">
        <f t="shared" si="5"/>
        <v>4.5034048157870918</v>
      </c>
    </row>
    <row r="17" spans="1:11">
      <c r="A17" s="13" t="str">
        <f t="shared" ref="A17:B17" si="13">A9</f>
        <v>100-200K</v>
      </c>
      <c r="B17" s="5">
        <f t="shared" si="13"/>
        <v>115200</v>
      </c>
      <c r="C17" s="5">
        <f t="shared" ref="C17:F17" si="14">C9</f>
        <v>340314</v>
      </c>
      <c r="D17" s="5">
        <f t="shared" si="14"/>
        <v>1208995.95</v>
      </c>
      <c r="E17" s="5">
        <f t="shared" si="14"/>
        <v>402723.09107635694</v>
      </c>
      <c r="F17" s="5">
        <f t="shared" si="14"/>
        <v>1186367.25</v>
      </c>
      <c r="I17" s="14">
        <f t="shared" si="4"/>
        <v>3.5525895202665771</v>
      </c>
      <c r="J17" s="14">
        <f t="shared" si="8"/>
        <v>3.4958601655933763</v>
      </c>
      <c r="K17" s="15">
        <f t="shared" si="5"/>
        <v>3.4860959290537563</v>
      </c>
    </row>
    <row r="18" spans="1:11">
      <c r="A18" s="6" t="str">
        <f t="shared" ref="A18:B18" si="15">A10</f>
        <v>Grand Total</v>
      </c>
      <c r="B18" s="11">
        <f t="shared" si="15"/>
        <v>532514</v>
      </c>
      <c r="C18" s="11">
        <f t="shared" ref="C18:F18" si="16">C10</f>
        <v>1032250</v>
      </c>
      <c r="D18" s="11">
        <f t="shared" si="16"/>
        <v>4998751.5600000005</v>
      </c>
      <c r="E18" s="11">
        <f t="shared" si="16"/>
        <v>1886651.3851506445</v>
      </c>
      <c r="F18" s="11">
        <f t="shared" si="16"/>
        <v>4514616.8599999994</v>
      </c>
      <c r="I18" s="7">
        <f t="shared" si="4"/>
        <v>4.8425784063938009</v>
      </c>
      <c r="J18" s="7">
        <f t="shared" si="8"/>
        <v>3.5429141490188885</v>
      </c>
      <c r="K18" s="8">
        <f t="shared" si="5"/>
        <v>4.3735692516347777</v>
      </c>
    </row>
    <row r="20" spans="1:11">
      <c r="I20" t="s">
        <v>1389</v>
      </c>
    </row>
    <row r="21" spans="1:11">
      <c r="I21" t="s">
        <v>1390</v>
      </c>
      <c r="J21" t="s">
        <v>1391</v>
      </c>
      <c r="K21" t="s">
        <v>1392</v>
      </c>
    </row>
    <row r="22" spans="1:11">
      <c r="I22" t="s">
        <v>1390</v>
      </c>
      <c r="J22" t="s">
        <v>1393</v>
      </c>
      <c r="K22" t="s">
        <v>1394</v>
      </c>
    </row>
    <row r="23" spans="1:11">
      <c r="I23" t="s">
        <v>244</v>
      </c>
      <c r="J23" t="s">
        <v>1395</v>
      </c>
      <c r="K23" t="s">
        <v>1396</v>
      </c>
    </row>
  </sheetData>
  <pageMargins left="0.7" right="0.7" top="0.75" bottom="0.75" header="0.3" footer="0.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8F2C-FCF0-45E3-954E-833B8A0B75ED}">
  <sheetPr codeName="Sheet10">
    <tabColor theme="5" tint="-0.249977111117893"/>
  </sheetPr>
  <dimension ref="B2:K42"/>
  <sheetViews>
    <sheetView topLeftCell="A10" zoomScale="85" zoomScaleNormal="85" workbookViewId="0">
      <selection activeCell="B42" sqref="B42"/>
    </sheetView>
  </sheetViews>
  <sheetFormatPr defaultColWidth="8.625" defaultRowHeight="15.6"/>
  <cols>
    <col min="1" max="1" width="8.625" style="16"/>
    <col min="2" max="2" width="35.125" style="16" bestFit="1" customWidth="1"/>
    <col min="3" max="3" width="15.625" style="16" bestFit="1" customWidth="1"/>
    <col min="4" max="7" width="14.625" style="16" bestFit="1" customWidth="1"/>
    <col min="8" max="9" width="13.125" style="16" bestFit="1" customWidth="1"/>
    <col min="10" max="10" width="15.625" style="16" bestFit="1" customWidth="1"/>
    <col min="11" max="16384" width="8.625" style="16"/>
  </cols>
  <sheetData>
    <row r="2" spans="2:10">
      <c r="B2" s="54" t="s">
        <v>1397</v>
      </c>
      <c r="D2" s="28" t="s">
        <v>1398</v>
      </c>
      <c r="I2" s="16" t="s">
        <v>1399</v>
      </c>
      <c r="J2" s="16" t="s">
        <v>1400</v>
      </c>
    </row>
    <row r="3" spans="2:10">
      <c r="B3" s="54" t="s">
        <v>1401</v>
      </c>
      <c r="D3" s="28" t="s">
        <v>1402</v>
      </c>
      <c r="I3" s="16" t="s">
        <v>1403</v>
      </c>
      <c r="J3" s="16" t="s">
        <v>1404</v>
      </c>
    </row>
    <row r="6" spans="2:10">
      <c r="B6" s="19" t="s">
        <v>1405</v>
      </c>
      <c r="C6" s="27">
        <f>COUNT('Capex Items'!J2:P246)</f>
        <v>366</v>
      </c>
      <c r="F6" s="16" t="s">
        <v>1406</v>
      </c>
    </row>
    <row r="7" spans="2:10">
      <c r="B7" s="19" t="s">
        <v>1407</v>
      </c>
      <c r="C7" s="26">
        <f>SUM('Capex Items'!J2:P246)</f>
        <v>27952821</v>
      </c>
    </row>
    <row r="9" spans="2:10" ht="16.149999999999999" thickBot="1">
      <c r="B9" s="19" t="s">
        <v>1408</v>
      </c>
    </row>
    <row r="10" spans="2:10" ht="16.149999999999999" thickBot="1">
      <c r="B10" s="20"/>
      <c r="C10" s="20">
        <v>2022</v>
      </c>
      <c r="D10" s="20">
        <v>2023</v>
      </c>
      <c r="E10" s="20">
        <v>2024</v>
      </c>
      <c r="F10" s="20">
        <v>2025</v>
      </c>
      <c r="G10" s="20">
        <v>2026</v>
      </c>
      <c r="H10" s="20">
        <v>2027</v>
      </c>
      <c r="I10" s="20">
        <v>2028</v>
      </c>
      <c r="J10" s="20" t="s">
        <v>1409</v>
      </c>
    </row>
    <row r="11" spans="2:10">
      <c r="B11" s="16" t="s">
        <v>153</v>
      </c>
      <c r="C11" s="24">
        <f>SUM('Capex Items'!J2:J77)</f>
        <v>1600199</v>
      </c>
      <c r="D11" s="24">
        <f>SUM('Capex Items'!K2:K77)</f>
        <v>1555371</v>
      </c>
      <c r="E11" s="24">
        <f>SUM('Capex Items'!L2:L77)</f>
        <v>985226</v>
      </c>
      <c r="F11" s="24">
        <f>SUM('Capex Items'!M2:M77)</f>
        <v>1199540</v>
      </c>
      <c r="G11" s="24">
        <f>SUM('Capex Items'!N2:N77)</f>
        <v>337500</v>
      </c>
      <c r="H11" s="24">
        <f>SUM('Capex Items'!O2:O77)</f>
        <v>0</v>
      </c>
      <c r="I11" s="24">
        <f>SUM('Capex Items'!P2:P77)</f>
        <v>0</v>
      </c>
      <c r="J11" s="24">
        <f t="shared" ref="J11:J18" si="0">SUM(C11:I11)</f>
        <v>5677836</v>
      </c>
    </row>
    <row r="12" spans="2:10">
      <c r="B12" s="16" t="s">
        <v>1410</v>
      </c>
      <c r="C12" s="24">
        <f>SUM('Capex Items'!J103:J112)</f>
        <v>36500</v>
      </c>
      <c r="D12" s="24">
        <f>SUM('Capex Items'!K103:K112)</f>
        <v>533900</v>
      </c>
      <c r="E12" s="24">
        <f>SUM('Capex Items'!L103:L112)</f>
        <v>1902763</v>
      </c>
      <c r="F12" s="24">
        <f>SUM('Capex Items'!M103:M112)</f>
        <v>77675</v>
      </c>
      <c r="G12" s="24">
        <f>SUM('Capex Items'!N103:N112)</f>
        <v>220469</v>
      </c>
      <c r="H12" s="24">
        <f>SUM('Capex Items'!O103:O112)</f>
        <v>0</v>
      </c>
      <c r="I12" s="24">
        <f>SUM('Capex Items'!P103:P112)</f>
        <v>0</v>
      </c>
      <c r="J12" s="24">
        <f t="shared" si="0"/>
        <v>2771307</v>
      </c>
    </row>
    <row r="13" spans="2:10">
      <c r="B13" s="16" t="s">
        <v>144</v>
      </c>
      <c r="C13" s="24">
        <f>SUM('Capex Items'!J79:J97)</f>
        <v>763750</v>
      </c>
      <c r="D13" s="24">
        <f>SUM('Capex Items'!K79:K97)</f>
        <v>940000</v>
      </c>
      <c r="E13" s="24">
        <f>SUM('Capex Items'!L79:L97)</f>
        <v>114000</v>
      </c>
      <c r="F13" s="24">
        <f>SUM('Capex Items'!M79:M97)</f>
        <v>340000</v>
      </c>
      <c r="G13" s="24">
        <f>SUM('Capex Items'!N79:N97)</f>
        <v>275850</v>
      </c>
      <c r="H13" s="24">
        <f>SUM('Capex Items'!O79:O97)</f>
        <v>0</v>
      </c>
      <c r="I13" s="24">
        <f>SUM('Capex Items'!P79:P97)</f>
        <v>0</v>
      </c>
      <c r="J13" s="24">
        <f t="shared" si="0"/>
        <v>2433600</v>
      </c>
    </row>
    <row r="14" spans="2:10">
      <c r="B14" s="16" t="s">
        <v>1411</v>
      </c>
      <c r="C14" s="24">
        <f>SUM('Capex Items'!J99:J101)</f>
        <v>120000</v>
      </c>
      <c r="D14" s="24">
        <f>SUM('Capex Items'!K99:K101)</f>
        <v>60000</v>
      </c>
      <c r="E14" s="24">
        <f>SUM('Capex Items'!L99:L101)</f>
        <v>310000</v>
      </c>
      <c r="F14" s="24">
        <f>SUM('Capex Items'!M99:M101)</f>
        <v>128250</v>
      </c>
      <c r="G14" s="24">
        <f>SUM('Capex Items'!N99:N101)</f>
        <v>60000</v>
      </c>
      <c r="H14" s="24">
        <f>SUM('Capex Items'!O99:O101)</f>
        <v>60000</v>
      </c>
      <c r="I14" s="24">
        <f>SUM('[6]Capex Items'!M232:M234)</f>
        <v>0</v>
      </c>
      <c r="J14" s="24">
        <f t="shared" si="0"/>
        <v>738250</v>
      </c>
    </row>
    <row r="15" spans="2:10">
      <c r="B15" s="16" t="s">
        <v>158</v>
      </c>
      <c r="C15" s="24">
        <f>SUM('Capex Items'!J224:J226)</f>
        <v>35000</v>
      </c>
      <c r="D15" s="24">
        <f>SUM('Capex Items'!K224:K226)</f>
        <v>35000</v>
      </c>
      <c r="E15" s="24">
        <f>SUM('Capex Items'!L224:L226)</f>
        <v>885000</v>
      </c>
      <c r="F15" s="24">
        <f>SUM('Capex Items'!M224:M226)</f>
        <v>0</v>
      </c>
      <c r="G15" s="24">
        <f>SUM('Capex Items'!N224:N226)</f>
        <v>0</v>
      </c>
      <c r="H15" s="24">
        <f>SUM('Capex Items'!O224:O226)</f>
        <v>0</v>
      </c>
      <c r="I15" s="24">
        <f>SUM('Capex Items'!P224:P226)</f>
        <v>0</v>
      </c>
      <c r="J15" s="24">
        <f t="shared" si="0"/>
        <v>955000</v>
      </c>
    </row>
    <row r="16" spans="2:10">
      <c r="B16" s="16" t="s">
        <v>1412</v>
      </c>
      <c r="C16" s="24">
        <f>SUM('Capex Items'!J114:J203)</f>
        <v>4537820</v>
      </c>
      <c r="D16" s="24">
        <f>SUM('Capex Items'!K114:K203)</f>
        <v>1878213</v>
      </c>
      <c r="E16" s="24">
        <f>SUM('Capex Items'!L114:L203)</f>
        <v>1476667</v>
      </c>
      <c r="F16" s="24">
        <f>SUM('Capex Items'!M114:M203)</f>
        <v>875550</v>
      </c>
      <c r="G16" s="24">
        <f>SUM('Capex Items'!N114:N203)</f>
        <v>731238</v>
      </c>
      <c r="H16" s="24">
        <f>SUM('Capex Items'!O114:O203)</f>
        <v>53750</v>
      </c>
      <c r="I16" s="24">
        <f>SUM('Capex Items'!P114:P203)</f>
        <v>357000</v>
      </c>
      <c r="J16" s="24">
        <f t="shared" si="0"/>
        <v>9910238</v>
      </c>
    </row>
    <row r="17" spans="2:11">
      <c r="B17" s="16" t="s">
        <v>1413</v>
      </c>
      <c r="C17" s="24">
        <f>SUM('Capex Items'!J205:J222)</f>
        <v>1526500</v>
      </c>
      <c r="D17" s="24">
        <f>SUM('Capex Items'!K205:K222)</f>
        <v>537500</v>
      </c>
      <c r="E17" s="24">
        <f>SUM('Capex Items'!L205:L222)</f>
        <v>253000</v>
      </c>
      <c r="F17" s="24">
        <f>SUM('Capex Items'!M205:M222)</f>
        <v>43300</v>
      </c>
      <c r="G17" s="24">
        <f>SUM('Capex Items'!N205:N222)</f>
        <v>182900</v>
      </c>
      <c r="H17" s="24">
        <f>SUM('Capex Items'!O205:O222)</f>
        <v>0</v>
      </c>
      <c r="I17" s="24">
        <f>SUM('Capex Items'!P205:P222)</f>
        <v>0</v>
      </c>
      <c r="J17" s="24">
        <f t="shared" si="0"/>
        <v>2543200</v>
      </c>
    </row>
    <row r="18" spans="2:11" ht="16.149999999999999" thickBot="1">
      <c r="B18" s="18" t="s">
        <v>1414</v>
      </c>
      <c r="C18" s="25">
        <f>SUM('Capex Items'!J228:J246)</f>
        <v>929400</v>
      </c>
      <c r="D18" s="25">
        <f>SUM('Capex Items'!K228:K246)</f>
        <v>785020</v>
      </c>
      <c r="E18" s="25">
        <f>SUM('Capex Items'!L228:L246)</f>
        <v>289350</v>
      </c>
      <c r="F18" s="25">
        <f>SUM('Capex Items'!M228:M246)</f>
        <v>48100</v>
      </c>
      <c r="G18" s="25">
        <f>SUM('Capex Items'!N228:N246)</f>
        <v>871520</v>
      </c>
      <c r="H18" s="25">
        <f>SUM('Capex Items'!O228:O246)</f>
        <v>0</v>
      </c>
      <c r="I18" s="25">
        <f>SUM('Capex Items'!P228:P246)</f>
        <v>0</v>
      </c>
      <c r="J18" s="25">
        <f t="shared" si="0"/>
        <v>2923390</v>
      </c>
    </row>
    <row r="19" spans="2:11" ht="16.149999999999999" thickTop="1">
      <c r="B19" s="16" t="s">
        <v>1415</v>
      </c>
      <c r="C19" s="24">
        <f t="shared" ref="C19:J19" si="1">SUM(C11:C18)</f>
        <v>9549169</v>
      </c>
      <c r="D19" s="24">
        <f t="shared" si="1"/>
        <v>6325004</v>
      </c>
      <c r="E19" s="24">
        <f t="shared" si="1"/>
        <v>6216006</v>
      </c>
      <c r="F19" s="24">
        <f t="shared" si="1"/>
        <v>2712415</v>
      </c>
      <c r="G19" s="24">
        <f t="shared" si="1"/>
        <v>2679477</v>
      </c>
      <c r="H19" s="24">
        <f t="shared" si="1"/>
        <v>113750</v>
      </c>
      <c r="I19" s="24">
        <f t="shared" si="1"/>
        <v>357000</v>
      </c>
      <c r="J19" s="23">
        <f t="shared" si="1"/>
        <v>27952821</v>
      </c>
    </row>
    <row r="20" spans="2:11">
      <c r="B20" s="22"/>
      <c r="C20" s="21"/>
    </row>
    <row r="21" spans="2:11" ht="16.149999999999999" thickBot="1">
      <c r="B21" s="19" t="s">
        <v>1416</v>
      </c>
    </row>
    <row r="22" spans="2:11" ht="16.149999999999999" thickBot="1">
      <c r="B22" s="20"/>
      <c r="C22" s="20">
        <v>2022</v>
      </c>
      <c r="D22" s="20">
        <v>2023</v>
      </c>
      <c r="E22" s="20">
        <v>2024</v>
      </c>
      <c r="F22" s="20">
        <v>2025</v>
      </c>
      <c r="G22" s="20">
        <v>2026</v>
      </c>
      <c r="H22" s="20">
        <v>2027</v>
      </c>
      <c r="I22" s="20">
        <v>2028</v>
      </c>
      <c r="J22" s="20" t="s">
        <v>1409</v>
      </c>
    </row>
    <row r="23" spans="2:11">
      <c r="B23" s="16" t="s">
        <v>1417</v>
      </c>
      <c r="C23" s="16">
        <f>COUNTIFS('Capex Items'!J2:J246,"&gt;0",'Capex Items'!J2:J246,"&lt;=50000")</f>
        <v>83</v>
      </c>
      <c r="D23" s="16">
        <f>COUNTIFS('Capex Items'!K2:K246,"&gt;0",'Capex Items'!K2:K246,"&lt;=50000")</f>
        <v>52</v>
      </c>
      <c r="E23" s="16">
        <f>COUNTIFS('Capex Items'!L2:L246,"&gt;0",'Capex Items'!L2:L246,"&lt;=50000")</f>
        <v>45</v>
      </c>
      <c r="F23" s="16">
        <f>COUNTIFS('Capex Items'!M2:M246,"&gt;0",'Capex Items'!M2:M246,"&lt;=50000")</f>
        <v>36</v>
      </c>
      <c r="G23" s="16">
        <f>COUNTIFS('Capex Items'!N2:N246,"&gt;0",'Capex Items'!N2:N246,"&lt;=50000")</f>
        <v>28</v>
      </c>
      <c r="H23" s="16">
        <f>COUNTIFS('Capex Items'!O2:O246,"&gt;0",'Capex Items'!O2:O246,"&lt;=50000")</f>
        <v>7</v>
      </c>
      <c r="I23" s="16">
        <f>COUNTIFS('Capex Items'!P2:P246,"&gt;0",'Capex Items'!P2:P246,"&lt;=50000")</f>
        <v>2</v>
      </c>
      <c r="J23" s="16">
        <f>SUM(C23:I23)</f>
        <v>253</v>
      </c>
    </row>
    <row r="24" spans="2:11">
      <c r="B24" s="16" t="s">
        <v>1418</v>
      </c>
      <c r="C24" s="16">
        <f>COUNTIFS('Capex Items'!J2:J246,"&gt;50000",'Capex Items'!J2:J246,"&lt;=200000")</f>
        <v>29</v>
      </c>
      <c r="D24" s="16">
        <f>COUNTIFS('Capex Items'!K2:K246,"&gt;50000",'Capex Items'!K2:K246,"&lt;=200000")</f>
        <v>18</v>
      </c>
      <c r="E24" s="16">
        <f>COUNTIFS('Capex Items'!L2:L246,"&gt;50000",'Capex Items'!L2:L246,"&lt;=200000")</f>
        <v>8</v>
      </c>
      <c r="F24" s="16">
        <f>COUNTIFS('Capex Items'!M2:M246,"&gt;50000",'Capex Items'!M2:M246,"&lt;=200000")</f>
        <v>9</v>
      </c>
      <c r="G24" s="16">
        <f>COUNTIFS('Capex Items'!N2:N246,"&gt;50000",'Capex Items'!N2:N246,"&lt;=200000")</f>
        <v>7</v>
      </c>
      <c r="H24" s="16">
        <f>COUNTIFS('Capex Items'!O2:O246,"&gt;50000",'Capex Items'!O2:O246,"&lt;=200000")</f>
        <v>1</v>
      </c>
      <c r="I24" s="16">
        <f>COUNTIFS('Capex Items'!P2:P246,"&gt;50000",'Capex Items'!P2:P246,"&lt;=200000")</f>
        <v>0</v>
      </c>
      <c r="J24" s="16">
        <f>SUM(C24:I24)</f>
        <v>72</v>
      </c>
    </row>
    <row r="25" spans="2:11">
      <c r="B25" s="16" t="s">
        <v>1419</v>
      </c>
      <c r="C25" s="16">
        <f>COUNTIFS('Capex Items'!J2:J246,"&gt;200000",'Capex Items'!J2:J246,"&lt;=1000000")</f>
        <v>11</v>
      </c>
      <c r="D25" s="16">
        <f>COUNTIFS('Capex Items'!K2:K246,"&gt;200000",'Capex Items'!K2:K246,"&lt;=1000000")</f>
        <v>10</v>
      </c>
      <c r="E25" s="16">
        <f>COUNTIFS('Capex Items'!L2:L246,"&gt;200000",'Capex Items'!L2:L246,"&lt;=1000000")</f>
        <v>11</v>
      </c>
      <c r="F25" s="16">
        <f>COUNTIFS('Capex Items'!M2:M246,"&gt;200000",'Capex Items'!M2:M246,"&lt;=1000000")</f>
        <v>4</v>
      </c>
      <c r="G25" s="16">
        <f>COUNTIFS('Capex Items'!N2:N246,"&gt;200000",'Capex Items'!N2:N246,"&lt;=1000000")</f>
        <v>4</v>
      </c>
      <c r="H25" s="16">
        <f>COUNTIFS('Capex Items'!O2:O246,"&gt;200000",'Capex Items'!O2:O246,"&lt;=1000000")</f>
        <v>0</v>
      </c>
      <c r="I25" s="16">
        <f>COUNTIFS('Capex Items'!P2:P246,"&gt;200000",'Capex Items'!P2:P246,"&lt;=1000000")</f>
        <v>1</v>
      </c>
      <c r="J25" s="16">
        <f>SUM(C25:I25)</f>
        <v>41</v>
      </c>
    </row>
    <row r="26" spans="2:11" ht="16.149999999999999" thickBot="1">
      <c r="B26" s="18" t="s">
        <v>1420</v>
      </c>
      <c r="C26" s="18">
        <f>COUNTIFS('Capex Items'!J2:J246,"&gt;1000000")</f>
        <v>0</v>
      </c>
      <c r="D26" s="18">
        <f>COUNTIFS('Capex Items'!K2:K246,"&gt;1000000")</f>
        <v>0</v>
      </c>
      <c r="E26" s="18">
        <f>COUNTIFS('Capex Items'!L2:L246,"&gt;1000000")</f>
        <v>0</v>
      </c>
      <c r="F26" s="18">
        <f>COUNTIFS('Capex Items'!M2:M246,"&gt;1000000")</f>
        <v>0</v>
      </c>
      <c r="G26" s="18">
        <f>COUNTIFS('Capex Items'!N2:N246,"&gt;1000000")</f>
        <v>0</v>
      </c>
      <c r="H26" s="18">
        <f>COUNTIFS('Capex Items'!O2:O246,"&gt;1000000")</f>
        <v>0</v>
      </c>
      <c r="I26" s="18">
        <f>COUNTIFS('Capex Items'!P2:P246,"&gt;1000000")</f>
        <v>0</v>
      </c>
      <c r="J26" s="18">
        <f>SUM(C26:I26)</f>
        <v>0</v>
      </c>
    </row>
    <row r="27" spans="2:11" ht="16.149999999999999" thickTop="1">
      <c r="B27" s="16" t="s">
        <v>1409</v>
      </c>
      <c r="C27" s="16">
        <f t="shared" ref="C27:J27" si="2">SUM(C23:C26)</f>
        <v>123</v>
      </c>
      <c r="D27" s="16">
        <f t="shared" si="2"/>
        <v>80</v>
      </c>
      <c r="E27" s="16">
        <f t="shared" si="2"/>
        <v>64</v>
      </c>
      <c r="F27" s="16">
        <f t="shared" si="2"/>
        <v>49</v>
      </c>
      <c r="G27" s="16">
        <f t="shared" si="2"/>
        <v>39</v>
      </c>
      <c r="H27" s="16">
        <f t="shared" si="2"/>
        <v>8</v>
      </c>
      <c r="I27" s="16">
        <f t="shared" si="2"/>
        <v>3</v>
      </c>
      <c r="J27" s="17">
        <f t="shared" si="2"/>
        <v>366</v>
      </c>
    </row>
    <row r="29" spans="2:11" ht="16.149999999999999" thickBot="1">
      <c r="B29" s="19" t="s">
        <v>1421</v>
      </c>
    </row>
    <row r="30" spans="2:11" ht="16.149999999999999" thickBot="1">
      <c r="B30" s="20"/>
      <c r="C30" s="20">
        <v>2022</v>
      </c>
      <c r="D30" s="20">
        <v>2023</v>
      </c>
      <c r="E30" s="20">
        <v>2024</v>
      </c>
      <c r="F30" s="20">
        <v>2025</v>
      </c>
      <c r="G30" s="20">
        <v>2026</v>
      </c>
      <c r="H30" s="20">
        <v>2027</v>
      </c>
      <c r="I30" s="20">
        <v>2028</v>
      </c>
      <c r="J30" s="20" t="s">
        <v>1409</v>
      </c>
    </row>
    <row r="31" spans="2:11">
      <c r="B31" s="16" t="s">
        <v>153</v>
      </c>
      <c r="C31" s="16">
        <f>COUNT('Capex Items'!J2:J77)</f>
        <v>34</v>
      </c>
      <c r="D31" s="16">
        <f>COUNT('Capex Items'!K2:K77)</f>
        <v>37</v>
      </c>
      <c r="E31" s="16">
        <f>COUNT('Capex Items'!L2:L77)</f>
        <v>17</v>
      </c>
      <c r="F31" s="16">
        <f>COUNT('Capex Items'!M2:M77)</f>
        <v>18</v>
      </c>
      <c r="G31" s="16">
        <f>COUNT('Capex Items'!N2:N77)</f>
        <v>12</v>
      </c>
      <c r="H31" s="16">
        <f>COUNT('Capex Items'!O2:O77)</f>
        <v>0</v>
      </c>
      <c r="I31" s="16">
        <f>COUNT('Capex Items'!P2:P77)</f>
        <v>0</v>
      </c>
      <c r="J31" s="16">
        <f t="shared" ref="J31:J38" si="3">SUM(C31:I31)</f>
        <v>118</v>
      </c>
    </row>
    <row r="32" spans="2:11">
      <c r="B32" s="16" t="s">
        <v>1410</v>
      </c>
      <c r="C32" s="16">
        <f>COUNT('Capex Items'!J103:J112)</f>
        <v>1</v>
      </c>
      <c r="D32" s="16">
        <f>COUNT('Capex Items'!K103:K112)</f>
        <v>2</v>
      </c>
      <c r="E32" s="16">
        <f>COUNT('Capex Items'!L103:L112)</f>
        <v>7</v>
      </c>
      <c r="F32" s="16">
        <f>COUNT('Capex Items'!M103:M112)</f>
        <v>2</v>
      </c>
      <c r="G32" s="16">
        <f>COUNT('Capex Items'!N103:N112)</f>
        <v>2</v>
      </c>
      <c r="H32" s="16">
        <f>COUNT('Capex Items'!O103:O112)</f>
        <v>0</v>
      </c>
      <c r="I32" s="16">
        <f>COUNT('Capex Items'!P103:P112)</f>
        <v>0</v>
      </c>
      <c r="J32" s="16">
        <f t="shared" si="3"/>
        <v>14</v>
      </c>
      <c r="K32" s="17"/>
    </row>
    <row r="33" spans="2:11">
      <c r="B33" s="16" t="s">
        <v>144</v>
      </c>
      <c r="C33" s="16">
        <f>COUNT('Capex Items'!J79:J97)</f>
        <v>4</v>
      </c>
      <c r="D33" s="16">
        <f>COUNT('Capex Items'!K79:K97)</f>
        <v>6</v>
      </c>
      <c r="E33" s="16">
        <f>COUNT('Capex Items'!L79:L97)</f>
        <v>4</v>
      </c>
      <c r="F33" s="16">
        <f>COUNT('Capex Items'!M79:M97)</f>
        <v>2</v>
      </c>
      <c r="G33" s="16">
        <f>COUNT('Capex Items'!N79:N97)</f>
        <v>4</v>
      </c>
      <c r="H33" s="16">
        <f>COUNT('Capex Items'!O79:O97)</f>
        <v>0</v>
      </c>
      <c r="I33" s="16">
        <f>COUNT('Capex Items'!P79:P97)</f>
        <v>0</v>
      </c>
      <c r="J33" s="16">
        <f t="shared" si="3"/>
        <v>20</v>
      </c>
      <c r="K33" s="17"/>
    </row>
    <row r="34" spans="2:11">
      <c r="B34" s="16" t="s">
        <v>1411</v>
      </c>
      <c r="C34" s="16">
        <f>COUNT('Capex Items'!J99:J101)</f>
        <v>1</v>
      </c>
      <c r="D34" s="16">
        <f>COUNT('Capex Items'!K99:K101)</f>
        <v>1</v>
      </c>
      <c r="E34" s="16">
        <f>COUNT('Capex Items'!L99:L101)</f>
        <v>2</v>
      </c>
      <c r="F34" s="16">
        <f>COUNT('Capex Items'!M99:M101)</f>
        <v>2</v>
      </c>
      <c r="G34" s="16">
        <f>COUNT('Capex Items'!N99:N101)</f>
        <v>1</v>
      </c>
      <c r="H34" s="16">
        <f>COUNT('Capex Items'!O99:O101)</f>
        <v>1</v>
      </c>
      <c r="I34" s="16">
        <f>COUNT('Capex Items'!P99:P101)</f>
        <v>0</v>
      </c>
      <c r="J34" s="16">
        <f t="shared" si="3"/>
        <v>8</v>
      </c>
      <c r="K34" s="17"/>
    </row>
    <row r="35" spans="2:11">
      <c r="B35" s="16" t="s">
        <v>158</v>
      </c>
      <c r="C35" s="16">
        <f>COUNT('Capex Items'!J224:J226)</f>
        <v>2</v>
      </c>
      <c r="D35" s="16">
        <f>COUNT('Capex Items'!K224:K226)</f>
        <v>2</v>
      </c>
      <c r="E35" s="16">
        <f>COUNT('Capex Items'!L224:L226)</f>
        <v>3</v>
      </c>
      <c r="F35" s="16">
        <f>COUNT('Capex Items'!M224:M226)</f>
        <v>0</v>
      </c>
      <c r="G35" s="16">
        <f>COUNT('Capex Items'!N224:N226)</f>
        <v>0</v>
      </c>
      <c r="H35" s="16">
        <f>COUNT('Capex Items'!O224:O226)</f>
        <v>0</v>
      </c>
      <c r="I35" s="16">
        <f>COUNT('Capex Items'!P224:P226)</f>
        <v>0</v>
      </c>
      <c r="J35" s="16">
        <f t="shared" si="3"/>
        <v>7</v>
      </c>
      <c r="K35" s="17"/>
    </row>
    <row r="36" spans="2:11">
      <c r="B36" s="16" t="s">
        <v>1412</v>
      </c>
      <c r="C36" s="16">
        <f>COUNT('Capex Items'!J114:J203)</f>
        <v>57</v>
      </c>
      <c r="D36" s="16">
        <f>COUNT('Capex Items'!K114:K203)</f>
        <v>21</v>
      </c>
      <c r="E36" s="16">
        <f>COUNT('Capex Items'!L114:L203)</f>
        <v>23</v>
      </c>
      <c r="F36" s="16">
        <f>COUNT('Capex Items'!M114:M203)</f>
        <v>21</v>
      </c>
      <c r="G36" s="16">
        <f>COUNT('Capex Items'!N114:N203)</f>
        <v>15</v>
      </c>
      <c r="H36" s="16">
        <f>COUNT('Capex Items'!O114:O203)</f>
        <v>7</v>
      </c>
      <c r="I36" s="16">
        <f>COUNT('Capex Items'!P114:P203)</f>
        <v>3</v>
      </c>
      <c r="J36" s="16">
        <f t="shared" si="3"/>
        <v>147</v>
      </c>
      <c r="K36" s="17"/>
    </row>
    <row r="37" spans="2:11">
      <c r="B37" s="16" t="s">
        <v>1413</v>
      </c>
      <c r="C37" s="16">
        <f>COUNT('Capex Items'!J205:J222)</f>
        <v>12</v>
      </c>
      <c r="D37" s="16">
        <f>COUNT('Capex Items'!K205:K222)</f>
        <v>6</v>
      </c>
      <c r="E37" s="16">
        <f>COUNT('Capex Items'!L205:L222)</f>
        <v>3</v>
      </c>
      <c r="F37" s="16">
        <f>COUNT('Capex Items'!M205:M222)</f>
        <v>1</v>
      </c>
      <c r="G37" s="16">
        <f>COUNT('Capex Items'!N205:N222)</f>
        <v>2</v>
      </c>
      <c r="H37" s="16">
        <f>COUNT('Capex Items'!O205:O222)</f>
        <v>0</v>
      </c>
      <c r="I37" s="16">
        <f>COUNT('Capex Items'!P205:P222)</f>
        <v>0</v>
      </c>
      <c r="J37" s="16">
        <f t="shared" si="3"/>
        <v>24</v>
      </c>
      <c r="K37" s="17"/>
    </row>
    <row r="38" spans="2:11" ht="16.149999999999999" thickBot="1">
      <c r="B38" s="18" t="s">
        <v>1414</v>
      </c>
      <c r="C38" s="18">
        <f>COUNT('Capex Items'!J228:J246)</f>
        <v>12</v>
      </c>
      <c r="D38" s="18">
        <f>COUNT('Capex Items'!K228:K246)</f>
        <v>5</v>
      </c>
      <c r="E38" s="18">
        <f>COUNT('Capex Items'!L228:L246)</f>
        <v>5</v>
      </c>
      <c r="F38" s="18">
        <f>COUNT('Capex Items'!M228:M246)</f>
        <v>3</v>
      </c>
      <c r="G38" s="18">
        <f>COUNT('Capex Items'!N228:N246)</f>
        <v>3</v>
      </c>
      <c r="H38" s="18">
        <f>COUNT('Capex Items'!O228:O246)</f>
        <v>0</v>
      </c>
      <c r="I38" s="18">
        <f>COUNT('Capex Items'!P228:P246)</f>
        <v>0</v>
      </c>
      <c r="J38" s="18">
        <f t="shared" si="3"/>
        <v>28</v>
      </c>
      <c r="K38" s="17"/>
    </row>
    <row r="39" spans="2:11" ht="16.149999999999999" thickTop="1">
      <c r="B39" s="16" t="s">
        <v>1409</v>
      </c>
      <c r="C39" s="16">
        <f t="shared" ref="C39:J39" si="4">SUM(C31:C38)</f>
        <v>123</v>
      </c>
      <c r="D39" s="16">
        <f t="shared" si="4"/>
        <v>80</v>
      </c>
      <c r="E39" s="16">
        <f t="shared" si="4"/>
        <v>64</v>
      </c>
      <c r="F39" s="16">
        <f t="shared" si="4"/>
        <v>49</v>
      </c>
      <c r="G39" s="16">
        <f t="shared" si="4"/>
        <v>39</v>
      </c>
      <c r="H39" s="16">
        <f t="shared" si="4"/>
        <v>8</v>
      </c>
      <c r="I39" s="16">
        <f t="shared" si="4"/>
        <v>3</v>
      </c>
      <c r="J39" s="17">
        <f t="shared" si="4"/>
        <v>366</v>
      </c>
    </row>
    <row r="42" spans="2:11">
      <c r="B42" s="53" t="s">
        <v>1422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5E959-8A70-44C3-A9B1-2A0A8790E108}">
  <sheetPr codeName="Sheet11">
    <tabColor theme="5" tint="-0.249977111117893"/>
  </sheetPr>
  <dimension ref="A1:S252"/>
  <sheetViews>
    <sheetView zoomScale="77" zoomScaleNormal="115" workbookViewId="0">
      <pane ySplit="1" topLeftCell="A234" activePane="bottomLeft" state="frozen"/>
      <selection pane="bottomLeft" activeCell="B42" sqref="B42"/>
      <selection activeCell="B42" sqref="B42"/>
    </sheetView>
  </sheetViews>
  <sheetFormatPr defaultColWidth="8.625" defaultRowHeight="15.6"/>
  <cols>
    <col min="1" max="1" width="8.625" style="30"/>
    <col min="2" max="2" width="8.625" style="32" customWidth="1"/>
    <col min="3" max="3" width="32.625" style="32" customWidth="1"/>
    <col min="4" max="4" width="8.125" style="32" customWidth="1"/>
    <col min="5" max="5" width="8.625" style="32" customWidth="1"/>
    <col min="6" max="6" width="3.5" style="32" customWidth="1"/>
    <col min="7" max="7" width="16.625" style="32" customWidth="1"/>
    <col min="8" max="8" width="3.625" style="32" customWidth="1"/>
    <col min="9" max="9" width="41.625" style="32" customWidth="1"/>
    <col min="10" max="10" width="12.5" style="31" bestFit="1" customWidth="1"/>
    <col min="11" max="14" width="11.125" style="31" bestFit="1" customWidth="1"/>
    <col min="15" max="15" width="9.625" style="31" bestFit="1" customWidth="1"/>
    <col min="16" max="16" width="10.625" style="31" bestFit="1" customWidth="1"/>
    <col min="17" max="16384" width="8.625" style="30"/>
  </cols>
  <sheetData>
    <row r="1" spans="1:16" ht="41.45">
      <c r="B1" s="48" t="s">
        <v>763</v>
      </c>
      <c r="C1" s="48" t="s">
        <v>1423</v>
      </c>
      <c r="D1" s="48" t="s">
        <v>1424</v>
      </c>
      <c r="E1" s="48" t="s">
        <v>1425</v>
      </c>
      <c r="F1" s="48" t="s">
        <v>772</v>
      </c>
      <c r="G1" s="48" t="s">
        <v>1426</v>
      </c>
      <c r="H1" s="48" t="s">
        <v>1427</v>
      </c>
      <c r="I1" s="48" t="s">
        <v>1428</v>
      </c>
      <c r="J1" s="47" t="s">
        <v>1429</v>
      </c>
      <c r="K1" s="47" t="s">
        <v>1430</v>
      </c>
      <c r="L1" s="47" t="s">
        <v>1431</v>
      </c>
      <c r="M1" s="47" t="s">
        <v>1432</v>
      </c>
      <c r="N1" s="47" t="s">
        <v>1433</v>
      </c>
      <c r="O1" s="47" t="s">
        <v>1434</v>
      </c>
      <c r="P1" s="47" t="s">
        <v>1435</v>
      </c>
    </row>
    <row r="2" spans="1:16" ht="27.6">
      <c r="A2" s="32" t="s">
        <v>153</v>
      </c>
      <c r="B2" s="39" t="s">
        <v>1436</v>
      </c>
      <c r="C2" s="39" t="s">
        <v>1437</v>
      </c>
      <c r="D2" s="39" t="s">
        <v>1438</v>
      </c>
      <c r="E2" s="41">
        <v>1</v>
      </c>
      <c r="F2" s="40"/>
      <c r="G2" s="39" t="s">
        <v>1438</v>
      </c>
      <c r="H2" s="39" t="s">
        <v>1439</v>
      </c>
      <c r="I2" s="39" t="s">
        <v>1440</v>
      </c>
      <c r="J2" s="38"/>
      <c r="K2" s="38">
        <v>10000</v>
      </c>
      <c r="L2" s="38" t="s">
        <v>167</v>
      </c>
      <c r="M2" s="38">
        <v>10000</v>
      </c>
      <c r="N2" s="38">
        <v>10000</v>
      </c>
      <c r="O2" s="38" t="s">
        <v>167</v>
      </c>
      <c r="P2" s="38" t="s">
        <v>167</v>
      </c>
    </row>
    <row r="3" spans="1:16" ht="27.6">
      <c r="A3" s="32" t="s">
        <v>153</v>
      </c>
      <c r="B3" s="39" t="s">
        <v>1436</v>
      </c>
      <c r="C3" s="39" t="s">
        <v>1437</v>
      </c>
      <c r="D3" s="39" t="s">
        <v>1438</v>
      </c>
      <c r="E3" s="41">
        <v>1</v>
      </c>
      <c r="F3" s="40"/>
      <c r="G3" s="39" t="s">
        <v>1438</v>
      </c>
      <c r="H3" s="39" t="s">
        <v>1441</v>
      </c>
      <c r="I3" s="39" t="s">
        <v>1442</v>
      </c>
      <c r="J3" s="38" t="s">
        <v>167</v>
      </c>
      <c r="K3" s="38" t="s">
        <v>167</v>
      </c>
      <c r="L3" s="38">
        <v>539226</v>
      </c>
      <c r="M3" s="38" t="s">
        <v>167</v>
      </c>
      <c r="N3" s="38" t="s">
        <v>167</v>
      </c>
      <c r="O3" s="38" t="s">
        <v>167</v>
      </c>
      <c r="P3" s="38" t="s">
        <v>167</v>
      </c>
    </row>
    <row r="4" spans="1:16">
      <c r="A4" s="32" t="s">
        <v>153</v>
      </c>
      <c r="B4" s="39" t="s">
        <v>1443</v>
      </c>
      <c r="C4" s="39" t="s">
        <v>1444</v>
      </c>
      <c r="D4" s="39" t="s">
        <v>1445</v>
      </c>
      <c r="E4" s="41">
        <v>1</v>
      </c>
      <c r="F4" s="40"/>
      <c r="G4" s="39" t="s">
        <v>1446</v>
      </c>
      <c r="H4" s="39" t="s">
        <v>1441</v>
      </c>
      <c r="I4" s="39" t="s">
        <v>1447</v>
      </c>
      <c r="J4" s="38" t="s">
        <v>167</v>
      </c>
      <c r="K4" s="38">
        <v>25000</v>
      </c>
      <c r="L4" s="38" t="s">
        <v>167</v>
      </c>
      <c r="M4" s="38">
        <v>25000</v>
      </c>
      <c r="N4" s="38" t="s">
        <v>167</v>
      </c>
      <c r="O4" s="38" t="s">
        <v>167</v>
      </c>
      <c r="P4" s="38" t="s">
        <v>167</v>
      </c>
    </row>
    <row r="5" spans="1:16">
      <c r="A5" s="32" t="s">
        <v>153</v>
      </c>
      <c r="B5" s="39" t="s">
        <v>1443</v>
      </c>
      <c r="C5" s="39" t="s">
        <v>1444</v>
      </c>
      <c r="D5" s="39" t="s">
        <v>1438</v>
      </c>
      <c r="E5" s="41">
        <v>1</v>
      </c>
      <c r="F5" s="40"/>
      <c r="G5" s="39" t="s">
        <v>1438</v>
      </c>
      <c r="H5" s="39" t="s">
        <v>1441</v>
      </c>
      <c r="I5" s="39" t="s">
        <v>1448</v>
      </c>
      <c r="J5" s="38" t="s">
        <v>167</v>
      </c>
      <c r="K5" s="38" t="s">
        <v>167</v>
      </c>
      <c r="L5" s="38" t="s">
        <v>167</v>
      </c>
      <c r="M5" s="38">
        <v>516445</v>
      </c>
      <c r="N5" s="38" t="s">
        <v>167</v>
      </c>
      <c r="O5" s="38" t="s">
        <v>167</v>
      </c>
      <c r="P5" s="38" t="s">
        <v>167</v>
      </c>
    </row>
    <row r="6" spans="1:16" ht="27.6">
      <c r="A6" s="32" t="s">
        <v>153</v>
      </c>
      <c r="B6" s="39" t="s">
        <v>1449</v>
      </c>
      <c r="C6" s="39" t="s">
        <v>1450</v>
      </c>
      <c r="D6" s="39" t="s">
        <v>1446</v>
      </c>
      <c r="E6" s="41">
        <v>1</v>
      </c>
      <c r="F6" s="40"/>
      <c r="G6" s="39" t="s">
        <v>1446</v>
      </c>
      <c r="H6" s="39" t="s">
        <v>1441</v>
      </c>
      <c r="I6" s="39" t="s">
        <v>1451</v>
      </c>
      <c r="J6" s="38"/>
      <c r="K6" s="38">
        <v>16250</v>
      </c>
      <c r="L6" s="38" t="s">
        <v>167</v>
      </c>
      <c r="M6" s="38" t="s">
        <v>167</v>
      </c>
      <c r="N6" s="38" t="s">
        <v>167</v>
      </c>
      <c r="O6" s="38" t="s">
        <v>167</v>
      </c>
      <c r="P6" s="38" t="s">
        <v>167</v>
      </c>
    </row>
    <row r="7" spans="1:16">
      <c r="A7" s="32" t="s">
        <v>153</v>
      </c>
      <c r="B7" s="39" t="s">
        <v>506</v>
      </c>
      <c r="C7" s="39" t="s">
        <v>1452</v>
      </c>
      <c r="D7" s="39" t="s">
        <v>1446</v>
      </c>
      <c r="E7" s="41">
        <v>1</v>
      </c>
      <c r="F7" s="40"/>
      <c r="G7" s="39" t="s">
        <v>1446</v>
      </c>
      <c r="H7" s="39" t="s">
        <v>1441</v>
      </c>
      <c r="I7" s="39" t="s">
        <v>1453</v>
      </c>
      <c r="J7" s="38" t="s">
        <v>167</v>
      </c>
      <c r="K7" s="38">
        <v>30000</v>
      </c>
      <c r="L7" s="38" t="s">
        <v>167</v>
      </c>
      <c r="M7" s="38" t="s">
        <v>167</v>
      </c>
      <c r="N7" s="38" t="s">
        <v>167</v>
      </c>
      <c r="O7" s="38" t="s">
        <v>167</v>
      </c>
      <c r="P7" s="38" t="s">
        <v>167</v>
      </c>
    </row>
    <row r="8" spans="1:16" ht="27.6">
      <c r="A8" s="32" t="s">
        <v>153</v>
      </c>
      <c r="B8" s="39" t="s">
        <v>506</v>
      </c>
      <c r="C8" s="39" t="s">
        <v>1452</v>
      </c>
      <c r="D8" s="39" t="s">
        <v>1454</v>
      </c>
      <c r="E8" s="41">
        <v>1</v>
      </c>
      <c r="F8" s="40"/>
      <c r="G8" s="39" t="s">
        <v>1455</v>
      </c>
      <c r="H8" s="39" t="s">
        <v>1441</v>
      </c>
      <c r="I8" s="39" t="s">
        <v>1456</v>
      </c>
      <c r="J8" s="38" t="s">
        <v>167</v>
      </c>
      <c r="K8" s="38">
        <v>144750</v>
      </c>
      <c r="L8" s="38" t="s">
        <v>167</v>
      </c>
      <c r="M8" s="38" t="s">
        <v>167</v>
      </c>
      <c r="N8" s="38" t="s">
        <v>167</v>
      </c>
      <c r="O8" s="38" t="s">
        <v>167</v>
      </c>
      <c r="P8" s="38" t="s">
        <v>167</v>
      </c>
    </row>
    <row r="9" spans="1:16" ht="27.6">
      <c r="A9" s="32" t="s">
        <v>153</v>
      </c>
      <c r="B9" s="39" t="s">
        <v>506</v>
      </c>
      <c r="C9" s="39" t="s">
        <v>1452</v>
      </c>
      <c r="D9" s="39" t="s">
        <v>1438</v>
      </c>
      <c r="E9" s="41">
        <v>1</v>
      </c>
      <c r="F9" s="40"/>
      <c r="G9" s="39" t="s">
        <v>1438</v>
      </c>
      <c r="H9" s="39" t="s">
        <v>1441</v>
      </c>
      <c r="I9" s="39" t="s">
        <v>1457</v>
      </c>
      <c r="J9" s="38" t="s">
        <v>167</v>
      </c>
      <c r="K9" s="38">
        <v>324996</v>
      </c>
      <c r="L9" s="38" t="s">
        <v>167</v>
      </c>
      <c r="M9" s="38" t="s">
        <v>167</v>
      </c>
      <c r="N9" s="38" t="s">
        <v>167</v>
      </c>
      <c r="O9" s="38" t="s">
        <v>167</v>
      </c>
      <c r="P9" s="38" t="s">
        <v>167</v>
      </c>
    </row>
    <row r="10" spans="1:16" ht="27.6">
      <c r="A10" s="32" t="s">
        <v>153</v>
      </c>
      <c r="B10" s="39" t="s">
        <v>1458</v>
      </c>
      <c r="C10" s="39" t="s">
        <v>1459</v>
      </c>
      <c r="D10" s="39" t="s">
        <v>104</v>
      </c>
      <c r="E10" s="41">
        <v>1</v>
      </c>
      <c r="F10" s="40"/>
      <c r="G10" s="39" t="s">
        <v>1460</v>
      </c>
      <c r="H10" s="39" t="s">
        <v>1441</v>
      </c>
      <c r="I10" s="39" t="s">
        <v>1461</v>
      </c>
      <c r="J10" s="38">
        <v>23150</v>
      </c>
      <c r="K10" s="38" t="s">
        <v>167</v>
      </c>
      <c r="L10" s="38" t="s">
        <v>167</v>
      </c>
      <c r="M10" s="38" t="s">
        <v>167</v>
      </c>
      <c r="N10" s="38" t="s">
        <v>167</v>
      </c>
      <c r="O10" s="38" t="s">
        <v>167</v>
      </c>
      <c r="P10" s="38" t="s">
        <v>167</v>
      </c>
    </row>
    <row r="11" spans="1:16">
      <c r="A11" s="32" t="s">
        <v>153</v>
      </c>
      <c r="B11" s="39" t="s">
        <v>1458</v>
      </c>
      <c r="C11" s="39" t="s">
        <v>1459</v>
      </c>
      <c r="D11" s="39" t="s">
        <v>1446</v>
      </c>
      <c r="E11" s="41">
        <v>1</v>
      </c>
      <c r="F11" s="40"/>
      <c r="G11" s="39" t="s">
        <v>1446</v>
      </c>
      <c r="H11" s="39" t="s">
        <v>1441</v>
      </c>
      <c r="I11" s="39" t="s">
        <v>1462</v>
      </c>
      <c r="J11" s="38" t="s">
        <v>167</v>
      </c>
      <c r="K11" s="38">
        <v>6000</v>
      </c>
      <c r="L11" s="38">
        <v>6000</v>
      </c>
      <c r="M11" s="38">
        <v>6000</v>
      </c>
      <c r="N11" s="38" t="s">
        <v>167</v>
      </c>
      <c r="O11" s="38" t="s">
        <v>167</v>
      </c>
      <c r="P11" s="38" t="s">
        <v>167</v>
      </c>
    </row>
    <row r="12" spans="1:16" ht="27.6">
      <c r="A12" s="32" t="s">
        <v>153</v>
      </c>
      <c r="B12" s="39" t="s">
        <v>1458</v>
      </c>
      <c r="C12" s="39" t="s">
        <v>1459</v>
      </c>
      <c r="D12" s="39" t="s">
        <v>1463</v>
      </c>
      <c r="E12" s="41">
        <v>1</v>
      </c>
      <c r="F12" s="40"/>
      <c r="G12" s="39" t="s">
        <v>1464</v>
      </c>
      <c r="H12" s="39" t="s">
        <v>1441</v>
      </c>
      <c r="I12" s="39" t="s">
        <v>1465</v>
      </c>
      <c r="J12" s="38">
        <v>15000</v>
      </c>
      <c r="K12" s="38" t="s">
        <v>167</v>
      </c>
      <c r="L12" s="38" t="s">
        <v>167</v>
      </c>
      <c r="M12" s="38" t="s">
        <v>167</v>
      </c>
      <c r="N12" s="38" t="s">
        <v>167</v>
      </c>
      <c r="O12" s="38" t="s">
        <v>167</v>
      </c>
      <c r="P12" s="38" t="s">
        <v>167</v>
      </c>
    </row>
    <row r="13" spans="1:16" ht="41.45">
      <c r="A13" s="32" t="s">
        <v>153</v>
      </c>
      <c r="B13" s="39" t="s">
        <v>1458</v>
      </c>
      <c r="C13" s="39" t="s">
        <v>1459</v>
      </c>
      <c r="D13" s="39" t="s">
        <v>1466</v>
      </c>
      <c r="E13" s="41">
        <v>1</v>
      </c>
      <c r="F13" s="40"/>
      <c r="G13" s="39" t="s">
        <v>1455</v>
      </c>
      <c r="H13" s="39" t="s">
        <v>1441</v>
      </c>
      <c r="I13" s="39" t="s">
        <v>1467</v>
      </c>
      <c r="J13" s="38">
        <v>47500</v>
      </c>
      <c r="K13" s="38">
        <v>45000</v>
      </c>
      <c r="L13" s="38">
        <v>45000</v>
      </c>
      <c r="M13" s="38" t="s">
        <v>167</v>
      </c>
      <c r="N13" s="38" t="s">
        <v>167</v>
      </c>
      <c r="O13" s="38" t="s">
        <v>167</v>
      </c>
      <c r="P13" s="38" t="s">
        <v>167</v>
      </c>
    </row>
    <row r="14" spans="1:16">
      <c r="A14" s="32" t="s">
        <v>153</v>
      </c>
      <c r="B14" s="39" t="s">
        <v>1458</v>
      </c>
      <c r="C14" s="39" t="s">
        <v>1459</v>
      </c>
      <c r="D14" s="39" t="s">
        <v>1468</v>
      </c>
      <c r="E14" s="41">
        <v>1</v>
      </c>
      <c r="F14" s="40"/>
      <c r="G14" s="39" t="s">
        <v>1464</v>
      </c>
      <c r="H14" s="39" t="s">
        <v>1441</v>
      </c>
      <c r="I14" s="39" t="s">
        <v>1469</v>
      </c>
      <c r="J14" s="38">
        <v>15000</v>
      </c>
      <c r="K14" s="38" t="s">
        <v>167</v>
      </c>
      <c r="L14" s="38" t="s">
        <v>167</v>
      </c>
      <c r="M14" s="38" t="s">
        <v>167</v>
      </c>
      <c r="N14" s="38" t="s">
        <v>167</v>
      </c>
      <c r="O14" s="38" t="s">
        <v>167</v>
      </c>
      <c r="P14" s="38" t="s">
        <v>167</v>
      </c>
    </row>
    <row r="15" spans="1:16" ht="41.45">
      <c r="A15" s="32" t="s">
        <v>153</v>
      </c>
      <c r="B15" s="39" t="s">
        <v>1458</v>
      </c>
      <c r="C15" s="39" t="s">
        <v>1459</v>
      </c>
      <c r="D15" s="39" t="s">
        <v>1470</v>
      </c>
      <c r="E15" s="41">
        <v>1</v>
      </c>
      <c r="F15" s="40"/>
      <c r="G15" s="39" t="s">
        <v>1460</v>
      </c>
      <c r="H15" s="39" t="s">
        <v>1441</v>
      </c>
      <c r="I15" s="39" t="s">
        <v>1471</v>
      </c>
      <c r="J15" s="38">
        <v>175000</v>
      </c>
      <c r="K15" s="38" t="s">
        <v>167</v>
      </c>
      <c r="L15" s="38" t="s">
        <v>167</v>
      </c>
      <c r="M15" s="38" t="s">
        <v>167</v>
      </c>
      <c r="N15" s="38" t="s">
        <v>167</v>
      </c>
      <c r="O15" s="38" t="s">
        <v>167</v>
      </c>
      <c r="P15" s="38" t="s">
        <v>167</v>
      </c>
    </row>
    <row r="16" spans="1:16">
      <c r="A16" s="32" t="s">
        <v>153</v>
      </c>
      <c r="B16" s="39" t="s">
        <v>155</v>
      </c>
      <c r="C16" s="39" t="s">
        <v>1472</v>
      </c>
      <c r="D16" s="39" t="s">
        <v>1473</v>
      </c>
      <c r="E16" s="41">
        <v>1</v>
      </c>
      <c r="F16" s="40"/>
      <c r="G16" s="39" t="s">
        <v>1455</v>
      </c>
      <c r="H16" s="39" t="s">
        <v>1441</v>
      </c>
      <c r="I16" s="39" t="s">
        <v>1474</v>
      </c>
      <c r="J16" s="38">
        <v>5000</v>
      </c>
      <c r="K16" s="38" t="s">
        <v>167</v>
      </c>
      <c r="L16" s="38">
        <v>15000</v>
      </c>
      <c r="M16" s="38" t="s">
        <v>167</v>
      </c>
      <c r="N16" s="38" t="s">
        <v>167</v>
      </c>
      <c r="O16" s="38" t="s">
        <v>167</v>
      </c>
      <c r="P16" s="38" t="s">
        <v>167</v>
      </c>
    </row>
    <row r="17" spans="1:16">
      <c r="A17" s="32" t="s">
        <v>153</v>
      </c>
      <c r="B17" s="39" t="s">
        <v>155</v>
      </c>
      <c r="C17" s="39" t="s">
        <v>1472</v>
      </c>
      <c r="D17" s="39" t="s">
        <v>1438</v>
      </c>
      <c r="E17" s="41">
        <v>1</v>
      </c>
      <c r="F17" s="40"/>
      <c r="G17" s="39" t="s">
        <v>1438</v>
      </c>
      <c r="H17" s="39" t="s">
        <v>1441</v>
      </c>
      <c r="I17" s="39" t="s">
        <v>1475</v>
      </c>
      <c r="J17" s="38">
        <v>10000</v>
      </c>
      <c r="K17" s="38">
        <v>2500</v>
      </c>
      <c r="L17" s="38">
        <v>2500</v>
      </c>
      <c r="M17" s="38">
        <v>2500</v>
      </c>
      <c r="N17" s="38">
        <v>2500</v>
      </c>
      <c r="O17" s="38" t="s">
        <v>167</v>
      </c>
      <c r="P17" s="38" t="s">
        <v>167</v>
      </c>
    </row>
    <row r="18" spans="1:16" ht="82.9">
      <c r="A18" s="32" t="s">
        <v>153</v>
      </c>
      <c r="B18" s="39" t="s">
        <v>199</v>
      </c>
      <c r="C18" s="39" t="s">
        <v>920</v>
      </c>
      <c r="D18" s="39" t="s">
        <v>1445</v>
      </c>
      <c r="E18" s="41">
        <v>1</v>
      </c>
      <c r="F18" s="40"/>
      <c r="G18" s="39" t="s">
        <v>1446</v>
      </c>
      <c r="H18" s="39" t="s">
        <v>1441</v>
      </c>
      <c r="I18" s="39" t="s">
        <v>1476</v>
      </c>
      <c r="J18" s="38">
        <v>30000</v>
      </c>
      <c r="K18" s="38">
        <v>7000</v>
      </c>
      <c r="L18" s="38" t="s">
        <v>167</v>
      </c>
      <c r="M18" s="38" t="s">
        <v>167</v>
      </c>
      <c r="N18" s="38">
        <v>12500</v>
      </c>
      <c r="O18" s="38" t="s">
        <v>167</v>
      </c>
      <c r="P18" s="38" t="s">
        <v>167</v>
      </c>
    </row>
    <row r="19" spans="1:16" ht="27.6">
      <c r="A19" s="32" t="s">
        <v>153</v>
      </c>
      <c r="B19" s="39" t="s">
        <v>199</v>
      </c>
      <c r="C19" s="39" t="s">
        <v>920</v>
      </c>
      <c r="D19" s="39" t="s">
        <v>1463</v>
      </c>
      <c r="E19" s="41">
        <v>1</v>
      </c>
      <c r="F19" s="40"/>
      <c r="G19" s="39" t="s">
        <v>1464</v>
      </c>
      <c r="H19" s="39" t="s">
        <v>1441</v>
      </c>
      <c r="I19" s="39" t="s">
        <v>1477</v>
      </c>
      <c r="J19" s="38">
        <v>10000</v>
      </c>
      <c r="K19" s="38" t="s">
        <v>167</v>
      </c>
      <c r="L19" s="38" t="s">
        <v>167</v>
      </c>
      <c r="M19" s="38">
        <v>6000</v>
      </c>
      <c r="N19" s="38" t="s">
        <v>167</v>
      </c>
      <c r="O19" s="38" t="s">
        <v>167</v>
      </c>
      <c r="P19" s="38" t="s">
        <v>167</v>
      </c>
    </row>
    <row r="20" spans="1:16" ht="27.6">
      <c r="A20" s="32" t="s">
        <v>153</v>
      </c>
      <c r="B20" s="39" t="s">
        <v>199</v>
      </c>
      <c r="C20" s="39" t="s">
        <v>920</v>
      </c>
      <c r="D20" s="39" t="s">
        <v>1478</v>
      </c>
      <c r="E20" s="41">
        <v>1</v>
      </c>
      <c r="F20" s="40"/>
      <c r="G20" s="39" t="s">
        <v>1464</v>
      </c>
      <c r="H20" s="39" t="s">
        <v>1441</v>
      </c>
      <c r="I20" s="39" t="s">
        <v>1479</v>
      </c>
      <c r="J20" s="38" t="s">
        <v>167</v>
      </c>
      <c r="K20" s="38">
        <v>220000</v>
      </c>
      <c r="L20" s="38" t="s">
        <v>167</v>
      </c>
      <c r="M20" s="38" t="s">
        <v>167</v>
      </c>
      <c r="N20" s="38" t="s">
        <v>167</v>
      </c>
      <c r="O20" s="38" t="s">
        <v>167</v>
      </c>
      <c r="P20" s="38" t="s">
        <v>167</v>
      </c>
    </row>
    <row r="21" spans="1:16" ht="27.6">
      <c r="A21" s="32" t="s">
        <v>153</v>
      </c>
      <c r="B21" s="39" t="s">
        <v>199</v>
      </c>
      <c r="C21" s="39" t="s">
        <v>920</v>
      </c>
      <c r="D21" s="39" t="s">
        <v>1480</v>
      </c>
      <c r="E21" s="41">
        <v>1</v>
      </c>
      <c r="F21" s="40"/>
      <c r="G21" s="39" t="s">
        <v>1455</v>
      </c>
      <c r="H21" s="39" t="s">
        <v>1441</v>
      </c>
      <c r="I21" s="39" t="s">
        <v>1481</v>
      </c>
      <c r="J21" s="38">
        <v>10000</v>
      </c>
      <c r="K21" s="38">
        <v>10000</v>
      </c>
      <c r="L21" s="38">
        <v>10000</v>
      </c>
      <c r="M21" s="38">
        <v>10000</v>
      </c>
      <c r="N21" s="38">
        <v>10000</v>
      </c>
      <c r="O21" s="38" t="s">
        <v>167</v>
      </c>
      <c r="P21" s="38" t="s">
        <v>167</v>
      </c>
    </row>
    <row r="22" spans="1:16" ht="55.15">
      <c r="A22" s="32" t="s">
        <v>153</v>
      </c>
      <c r="B22" s="39" t="s">
        <v>199</v>
      </c>
      <c r="C22" s="39" t="s">
        <v>920</v>
      </c>
      <c r="D22" s="39" t="s">
        <v>1482</v>
      </c>
      <c r="E22" s="41">
        <v>1</v>
      </c>
      <c r="F22" s="40"/>
      <c r="G22" s="39" t="s">
        <v>1464</v>
      </c>
      <c r="H22" s="39" t="s">
        <v>1441</v>
      </c>
      <c r="I22" s="39" t="s">
        <v>1483</v>
      </c>
      <c r="J22" s="38">
        <v>28125</v>
      </c>
      <c r="K22" s="38">
        <v>9375</v>
      </c>
      <c r="L22" s="38" t="s">
        <v>167</v>
      </c>
      <c r="M22" s="38">
        <v>18750</v>
      </c>
      <c r="N22" s="38">
        <v>22500</v>
      </c>
      <c r="O22" s="38" t="s">
        <v>167</v>
      </c>
      <c r="P22" s="38" t="s">
        <v>167</v>
      </c>
    </row>
    <row r="23" spans="1:16" ht="27.6">
      <c r="A23" s="32" t="s">
        <v>153</v>
      </c>
      <c r="B23" s="39" t="s">
        <v>199</v>
      </c>
      <c r="C23" s="39" t="s">
        <v>920</v>
      </c>
      <c r="D23" s="39" t="s">
        <v>1468</v>
      </c>
      <c r="E23" s="41">
        <v>1</v>
      </c>
      <c r="F23" s="40"/>
      <c r="G23" s="39" t="s">
        <v>1464</v>
      </c>
      <c r="H23" s="39" t="s">
        <v>1441</v>
      </c>
      <c r="I23" s="39" t="s">
        <v>1484</v>
      </c>
      <c r="J23" s="38">
        <v>22500</v>
      </c>
      <c r="K23" s="38" t="s">
        <v>167</v>
      </c>
      <c r="L23" s="38" t="s">
        <v>167</v>
      </c>
      <c r="M23" s="38" t="s">
        <v>167</v>
      </c>
      <c r="N23" s="38" t="s">
        <v>167</v>
      </c>
      <c r="O23" s="38" t="s">
        <v>167</v>
      </c>
      <c r="P23" s="38" t="s">
        <v>167</v>
      </c>
    </row>
    <row r="24" spans="1:16" ht="27.6">
      <c r="A24" s="32" t="s">
        <v>153</v>
      </c>
      <c r="B24" s="39" t="s">
        <v>1485</v>
      </c>
      <c r="C24" s="39" t="s">
        <v>1486</v>
      </c>
      <c r="D24" s="39" t="s">
        <v>1466</v>
      </c>
      <c r="E24" s="41">
        <v>1</v>
      </c>
      <c r="F24" s="40"/>
      <c r="G24" s="39" t="s">
        <v>1455</v>
      </c>
      <c r="H24" s="39" t="s">
        <v>1441</v>
      </c>
      <c r="I24" s="39" t="s">
        <v>1487</v>
      </c>
      <c r="J24" s="38" t="s">
        <v>167</v>
      </c>
      <c r="K24" s="38">
        <v>20000</v>
      </c>
      <c r="L24" s="38">
        <v>20000</v>
      </c>
      <c r="M24" s="38">
        <v>20000</v>
      </c>
      <c r="N24" s="38">
        <v>20000</v>
      </c>
      <c r="O24" s="38" t="s">
        <v>167</v>
      </c>
      <c r="P24" s="38" t="s">
        <v>167</v>
      </c>
    </row>
    <row r="25" spans="1:16" ht="27.6">
      <c r="A25" s="32" t="s">
        <v>153</v>
      </c>
      <c r="B25" s="39" t="s">
        <v>1485</v>
      </c>
      <c r="C25" s="39" t="s">
        <v>1486</v>
      </c>
      <c r="D25" s="39" t="s">
        <v>1438</v>
      </c>
      <c r="E25" s="41">
        <v>1</v>
      </c>
      <c r="F25" s="40"/>
      <c r="G25" s="39" t="s">
        <v>1438</v>
      </c>
      <c r="H25" s="39" t="s">
        <v>1439</v>
      </c>
      <c r="I25" s="39" t="s">
        <v>1488</v>
      </c>
      <c r="J25" s="38"/>
      <c r="K25" s="38" t="s">
        <v>167</v>
      </c>
      <c r="L25" s="38">
        <v>7500</v>
      </c>
      <c r="M25" s="38">
        <v>7500</v>
      </c>
      <c r="N25" s="38">
        <v>7500</v>
      </c>
      <c r="O25" s="38" t="s">
        <v>167</v>
      </c>
      <c r="P25" s="38" t="s">
        <v>167</v>
      </c>
    </row>
    <row r="26" spans="1:16">
      <c r="A26" s="32" t="s">
        <v>153</v>
      </c>
      <c r="B26" s="39" t="s">
        <v>1485</v>
      </c>
      <c r="C26" s="39" t="s">
        <v>1486</v>
      </c>
      <c r="D26" s="39" t="s">
        <v>1438</v>
      </c>
      <c r="E26" s="41">
        <v>1</v>
      </c>
      <c r="F26" s="40"/>
      <c r="G26" s="39" t="s">
        <v>1438</v>
      </c>
      <c r="H26" s="39" t="s">
        <v>1441</v>
      </c>
      <c r="I26" s="39" t="s">
        <v>1489</v>
      </c>
      <c r="J26" s="38">
        <v>24980</v>
      </c>
      <c r="K26" s="38" t="s">
        <v>167</v>
      </c>
      <c r="L26" s="38" t="s">
        <v>167</v>
      </c>
      <c r="M26" s="38" t="s">
        <v>167</v>
      </c>
      <c r="N26" s="38" t="s">
        <v>167</v>
      </c>
      <c r="O26" s="38" t="s">
        <v>167</v>
      </c>
      <c r="P26" s="38" t="s">
        <v>167</v>
      </c>
    </row>
    <row r="27" spans="1:16">
      <c r="A27" s="32" t="s">
        <v>153</v>
      </c>
      <c r="B27" s="39" t="s">
        <v>1485</v>
      </c>
      <c r="C27" s="39" t="s">
        <v>1486</v>
      </c>
      <c r="D27" s="39" t="s">
        <v>1438</v>
      </c>
      <c r="E27" s="41">
        <v>1</v>
      </c>
      <c r="F27" s="40"/>
      <c r="G27" s="39" t="s">
        <v>1438</v>
      </c>
      <c r="H27" s="39" t="s">
        <v>1441</v>
      </c>
      <c r="I27" s="39" t="s">
        <v>1490</v>
      </c>
      <c r="J27" s="38" t="s">
        <v>167</v>
      </c>
      <c r="K27" s="38">
        <v>75000</v>
      </c>
      <c r="L27" s="38" t="s">
        <v>167</v>
      </c>
      <c r="M27" s="38" t="s">
        <v>167</v>
      </c>
      <c r="N27" s="38" t="s">
        <v>167</v>
      </c>
      <c r="O27" s="38" t="s">
        <v>167</v>
      </c>
      <c r="P27" s="38" t="s">
        <v>167</v>
      </c>
    </row>
    <row r="28" spans="1:16" ht="41.45">
      <c r="A28" s="32" t="s">
        <v>153</v>
      </c>
      <c r="B28" s="39" t="s">
        <v>1485</v>
      </c>
      <c r="C28" s="39" t="s">
        <v>1486</v>
      </c>
      <c r="D28" s="39" t="s">
        <v>1468</v>
      </c>
      <c r="E28" s="41">
        <v>1</v>
      </c>
      <c r="F28" s="40"/>
      <c r="G28" s="39" t="s">
        <v>1464</v>
      </c>
      <c r="H28" s="39" t="s">
        <v>1441</v>
      </c>
      <c r="I28" s="39" t="s">
        <v>1491</v>
      </c>
      <c r="J28" s="38">
        <v>144000</v>
      </c>
      <c r="K28" s="38" t="s">
        <v>167</v>
      </c>
      <c r="L28" s="38" t="s">
        <v>167</v>
      </c>
      <c r="M28" s="38" t="s">
        <v>167</v>
      </c>
      <c r="N28" s="38" t="s">
        <v>167</v>
      </c>
      <c r="O28" s="38" t="s">
        <v>167</v>
      </c>
      <c r="P28" s="38" t="s">
        <v>167</v>
      </c>
    </row>
    <row r="29" spans="1:16">
      <c r="A29" s="32" t="s">
        <v>153</v>
      </c>
      <c r="B29" s="39" t="s">
        <v>1485</v>
      </c>
      <c r="C29" s="39" t="s">
        <v>1486</v>
      </c>
      <c r="D29" s="39" t="s">
        <v>1446</v>
      </c>
      <c r="E29" s="41">
        <v>1</v>
      </c>
      <c r="F29" s="40"/>
      <c r="G29" s="39" t="s">
        <v>1446</v>
      </c>
      <c r="H29" s="39" t="s">
        <v>1441</v>
      </c>
      <c r="I29" s="39" t="s">
        <v>1492</v>
      </c>
      <c r="J29" s="38" t="s">
        <v>167</v>
      </c>
      <c r="K29" s="38" t="s">
        <v>167</v>
      </c>
      <c r="L29" s="38">
        <v>80000</v>
      </c>
      <c r="M29" s="38" t="s">
        <v>167</v>
      </c>
      <c r="N29" s="38" t="s">
        <v>167</v>
      </c>
      <c r="O29" s="38" t="s">
        <v>167</v>
      </c>
      <c r="P29" s="38" t="s">
        <v>167</v>
      </c>
    </row>
    <row r="30" spans="1:16">
      <c r="A30" s="32" t="s">
        <v>153</v>
      </c>
      <c r="B30" s="39" t="s">
        <v>1493</v>
      </c>
      <c r="C30" s="39" t="s">
        <v>1494</v>
      </c>
      <c r="D30" s="39" t="s">
        <v>1438</v>
      </c>
      <c r="E30" s="41">
        <v>1</v>
      </c>
      <c r="F30" s="40"/>
      <c r="G30" s="39" t="s">
        <v>1438</v>
      </c>
      <c r="H30" s="39" t="s">
        <v>1441</v>
      </c>
      <c r="I30" s="39" t="s">
        <v>1448</v>
      </c>
      <c r="J30" s="38" t="s">
        <v>167</v>
      </c>
      <c r="K30" s="38" t="s">
        <v>167</v>
      </c>
      <c r="L30" s="38" t="s">
        <v>167</v>
      </c>
      <c r="M30" s="38">
        <v>303345</v>
      </c>
      <c r="N30" s="38" t="s">
        <v>167</v>
      </c>
      <c r="O30" s="38" t="s">
        <v>167</v>
      </c>
      <c r="P30" s="38" t="s">
        <v>167</v>
      </c>
    </row>
    <row r="31" spans="1:16" ht="55.15">
      <c r="A31" s="32" t="s">
        <v>153</v>
      </c>
      <c r="B31" s="39" t="s">
        <v>1495</v>
      </c>
      <c r="C31" s="39" t="s">
        <v>1496</v>
      </c>
      <c r="D31" s="39" t="s">
        <v>1497</v>
      </c>
      <c r="E31" s="41">
        <v>1</v>
      </c>
      <c r="F31" s="40"/>
      <c r="G31" s="39" t="s">
        <v>1460</v>
      </c>
      <c r="H31" s="39" t="s">
        <v>1441</v>
      </c>
      <c r="I31" s="39" t="s">
        <v>1498</v>
      </c>
      <c r="J31" s="38">
        <v>127276</v>
      </c>
      <c r="K31" s="38" t="s">
        <v>167</v>
      </c>
      <c r="L31" s="38" t="s">
        <v>167</v>
      </c>
      <c r="M31" s="38" t="s">
        <v>167</v>
      </c>
      <c r="N31" s="38" t="s">
        <v>167</v>
      </c>
      <c r="O31" s="38" t="s">
        <v>167</v>
      </c>
      <c r="P31" s="38" t="s">
        <v>167</v>
      </c>
    </row>
    <row r="32" spans="1:16">
      <c r="A32" s="32" t="s">
        <v>153</v>
      </c>
      <c r="B32" s="39" t="s">
        <v>1495</v>
      </c>
      <c r="C32" s="39" t="s">
        <v>1496</v>
      </c>
      <c r="D32" s="39" t="s">
        <v>1438</v>
      </c>
      <c r="E32" s="41">
        <v>1</v>
      </c>
      <c r="F32" s="40"/>
      <c r="G32" s="39" t="s">
        <v>1438</v>
      </c>
      <c r="H32" s="39" t="s">
        <v>1441</v>
      </c>
      <c r="I32" s="39" t="s">
        <v>1448</v>
      </c>
      <c r="J32" s="38">
        <v>288000</v>
      </c>
      <c r="K32" s="38" t="s">
        <v>167</v>
      </c>
      <c r="L32" s="38" t="s">
        <v>167</v>
      </c>
      <c r="M32" s="38" t="s">
        <v>167</v>
      </c>
      <c r="N32" s="38" t="s">
        <v>167</v>
      </c>
      <c r="O32" s="38" t="s">
        <v>167</v>
      </c>
      <c r="P32" s="38" t="s">
        <v>167</v>
      </c>
    </row>
    <row r="33" spans="1:16">
      <c r="A33" s="32" t="s">
        <v>153</v>
      </c>
      <c r="B33" s="39" t="s">
        <v>1495</v>
      </c>
      <c r="C33" s="39" t="s">
        <v>1496</v>
      </c>
      <c r="D33" s="39" t="s">
        <v>1482</v>
      </c>
      <c r="E33" s="41">
        <v>1</v>
      </c>
      <c r="F33" s="40"/>
      <c r="G33" s="39" t="s">
        <v>1460</v>
      </c>
      <c r="H33" s="39" t="s">
        <v>1441</v>
      </c>
      <c r="I33" s="39" t="s">
        <v>1499</v>
      </c>
      <c r="J33" s="38">
        <v>60000</v>
      </c>
      <c r="K33" s="38" t="s">
        <v>167</v>
      </c>
      <c r="L33" s="38" t="s">
        <v>167</v>
      </c>
      <c r="M33" s="38" t="s">
        <v>167</v>
      </c>
      <c r="N33" s="38" t="s">
        <v>167</v>
      </c>
      <c r="O33" s="38" t="s">
        <v>167</v>
      </c>
      <c r="P33" s="38" t="s">
        <v>167</v>
      </c>
    </row>
    <row r="34" spans="1:16">
      <c r="A34" s="32" t="s">
        <v>153</v>
      </c>
      <c r="B34" s="39" t="s">
        <v>1495</v>
      </c>
      <c r="C34" s="39" t="s">
        <v>1496</v>
      </c>
      <c r="D34" s="39" t="s">
        <v>1446</v>
      </c>
      <c r="E34" s="41">
        <v>1</v>
      </c>
      <c r="F34" s="40"/>
      <c r="G34" s="39" t="s">
        <v>1446</v>
      </c>
      <c r="H34" s="39" t="s">
        <v>1441</v>
      </c>
      <c r="I34" s="39" t="s">
        <v>1500</v>
      </c>
      <c r="J34" s="38" t="s">
        <v>167</v>
      </c>
      <c r="K34" s="38">
        <v>9500</v>
      </c>
      <c r="L34" s="38" t="s">
        <v>167</v>
      </c>
      <c r="M34" s="38" t="s">
        <v>167</v>
      </c>
      <c r="N34" s="38" t="s">
        <v>167</v>
      </c>
      <c r="O34" s="38" t="s">
        <v>167</v>
      </c>
      <c r="P34" s="38" t="s">
        <v>167</v>
      </c>
    </row>
    <row r="35" spans="1:16">
      <c r="A35" s="32" t="s">
        <v>153</v>
      </c>
      <c r="B35" s="39" t="s">
        <v>1495</v>
      </c>
      <c r="C35" s="39" t="s">
        <v>1496</v>
      </c>
      <c r="D35" s="39" t="s">
        <v>1468</v>
      </c>
      <c r="E35" s="41">
        <v>1</v>
      </c>
      <c r="F35" s="40"/>
      <c r="G35" s="39" t="s">
        <v>1464</v>
      </c>
      <c r="H35" s="39" t="s">
        <v>1441</v>
      </c>
      <c r="I35" s="39" t="s">
        <v>1501</v>
      </c>
      <c r="J35" s="38" t="s">
        <v>167</v>
      </c>
      <c r="K35" s="38" t="s">
        <v>167</v>
      </c>
      <c r="L35" s="38">
        <v>30000</v>
      </c>
      <c r="M35" s="38" t="s">
        <v>167</v>
      </c>
      <c r="N35" s="38" t="s">
        <v>167</v>
      </c>
      <c r="O35" s="38" t="s">
        <v>167</v>
      </c>
      <c r="P35" s="38" t="s">
        <v>167</v>
      </c>
    </row>
    <row r="36" spans="1:16">
      <c r="A36" s="32" t="s">
        <v>153</v>
      </c>
      <c r="B36" s="39" t="s">
        <v>1502</v>
      </c>
      <c r="C36" s="39" t="s">
        <v>1503</v>
      </c>
      <c r="D36" s="39" t="s">
        <v>1504</v>
      </c>
      <c r="E36" s="41">
        <v>1</v>
      </c>
      <c r="F36" s="40"/>
      <c r="G36" s="39" t="s">
        <v>1464</v>
      </c>
      <c r="H36" s="39" t="s">
        <v>1439</v>
      </c>
      <c r="I36" s="39" t="s">
        <v>1505</v>
      </c>
      <c r="J36" s="38">
        <v>3000</v>
      </c>
      <c r="K36" s="38" t="s">
        <v>167</v>
      </c>
      <c r="L36" s="38" t="s">
        <v>167</v>
      </c>
      <c r="M36" s="38" t="s">
        <v>167</v>
      </c>
      <c r="N36" s="38" t="s">
        <v>167</v>
      </c>
      <c r="O36" s="38" t="s">
        <v>167</v>
      </c>
      <c r="P36" s="38" t="s">
        <v>167</v>
      </c>
    </row>
    <row r="37" spans="1:16" ht="27.6">
      <c r="A37" s="32" t="s">
        <v>153</v>
      </c>
      <c r="B37" s="39" t="s">
        <v>664</v>
      </c>
      <c r="C37" s="39" t="s">
        <v>1506</v>
      </c>
      <c r="D37" s="39" t="s">
        <v>1454</v>
      </c>
      <c r="E37" s="41">
        <v>1</v>
      </c>
      <c r="F37" s="40"/>
      <c r="G37" s="39" t="s">
        <v>1455</v>
      </c>
      <c r="H37" s="39" t="s">
        <v>1441</v>
      </c>
      <c r="I37" s="39" t="s">
        <v>1507</v>
      </c>
      <c r="J37" s="38" t="s">
        <v>167</v>
      </c>
      <c r="K37" s="38">
        <v>10000</v>
      </c>
      <c r="L37" s="38"/>
      <c r="M37" s="38" t="s">
        <v>167</v>
      </c>
      <c r="N37" s="38" t="s">
        <v>167</v>
      </c>
      <c r="O37" s="38" t="s">
        <v>167</v>
      </c>
      <c r="P37" s="38" t="s">
        <v>167</v>
      </c>
    </row>
    <row r="38" spans="1:16" ht="27.6">
      <c r="A38" s="32" t="s">
        <v>153</v>
      </c>
      <c r="B38" s="39" t="s">
        <v>664</v>
      </c>
      <c r="C38" s="39" t="s">
        <v>1506</v>
      </c>
      <c r="D38" s="39" t="s">
        <v>1508</v>
      </c>
      <c r="E38" s="41">
        <v>1</v>
      </c>
      <c r="F38" s="40"/>
      <c r="G38" s="39" t="s">
        <v>1438</v>
      </c>
      <c r="H38" s="39" t="s">
        <v>1441</v>
      </c>
      <c r="I38" s="39" t="s">
        <v>1509</v>
      </c>
      <c r="J38" s="38">
        <v>15000</v>
      </c>
      <c r="K38" s="38">
        <v>10000</v>
      </c>
      <c r="L38" s="38">
        <v>45000</v>
      </c>
      <c r="M38" s="38">
        <v>10000</v>
      </c>
      <c r="N38" s="38">
        <v>10000</v>
      </c>
      <c r="O38" s="38"/>
      <c r="P38" s="38" t="s">
        <v>167</v>
      </c>
    </row>
    <row r="39" spans="1:16" ht="27.6">
      <c r="A39" s="32" t="s">
        <v>153</v>
      </c>
      <c r="B39" s="39" t="s">
        <v>433</v>
      </c>
      <c r="C39" s="39" t="s">
        <v>1510</v>
      </c>
      <c r="D39" s="39" t="s">
        <v>1445</v>
      </c>
      <c r="E39" s="41">
        <v>1</v>
      </c>
      <c r="F39" s="40"/>
      <c r="G39" s="39" t="s">
        <v>1446</v>
      </c>
      <c r="H39" s="39" t="s">
        <v>1441</v>
      </c>
      <c r="I39" s="39" t="s">
        <v>1511</v>
      </c>
      <c r="J39" s="38">
        <v>25000</v>
      </c>
      <c r="K39" s="38" t="s">
        <v>167</v>
      </c>
      <c r="L39" s="38" t="s">
        <v>167</v>
      </c>
      <c r="M39" s="38" t="s">
        <v>167</v>
      </c>
      <c r="N39" s="38" t="s">
        <v>167</v>
      </c>
      <c r="O39" s="38" t="s">
        <v>167</v>
      </c>
      <c r="P39" s="38" t="s">
        <v>167</v>
      </c>
    </row>
    <row r="40" spans="1:16" ht="41.45">
      <c r="A40" s="32" t="s">
        <v>153</v>
      </c>
      <c r="B40" s="39" t="s">
        <v>433</v>
      </c>
      <c r="C40" s="39" t="s">
        <v>1510</v>
      </c>
      <c r="D40" s="39" t="s">
        <v>1512</v>
      </c>
      <c r="E40" s="41">
        <v>1</v>
      </c>
      <c r="F40" s="40"/>
      <c r="G40" s="39" t="s">
        <v>1455</v>
      </c>
      <c r="H40" s="39" t="s">
        <v>1441</v>
      </c>
      <c r="I40" s="39" t="s">
        <v>1513</v>
      </c>
      <c r="J40" s="38" t="s">
        <v>167</v>
      </c>
      <c r="K40" s="38" t="s">
        <v>167</v>
      </c>
      <c r="L40" s="38">
        <v>25000</v>
      </c>
      <c r="M40" s="38" t="s">
        <v>167</v>
      </c>
      <c r="N40" s="38">
        <v>25000</v>
      </c>
      <c r="O40" s="38" t="s">
        <v>167</v>
      </c>
      <c r="P40" s="38" t="s">
        <v>167</v>
      </c>
    </row>
    <row r="41" spans="1:16">
      <c r="A41" s="32" t="s">
        <v>153</v>
      </c>
      <c r="B41" s="39" t="s">
        <v>1514</v>
      </c>
      <c r="C41" s="39" t="s">
        <v>1515</v>
      </c>
      <c r="D41" s="39" t="s">
        <v>1446</v>
      </c>
      <c r="E41" s="41">
        <v>1</v>
      </c>
      <c r="F41" s="40"/>
      <c r="G41" s="39" t="s">
        <v>1446</v>
      </c>
      <c r="H41" s="39" t="s">
        <v>1441</v>
      </c>
      <c r="I41" s="39" t="s">
        <v>1516</v>
      </c>
      <c r="J41" s="38" t="s">
        <v>167</v>
      </c>
      <c r="K41" s="38" t="s">
        <v>167</v>
      </c>
      <c r="L41" s="38">
        <v>10000</v>
      </c>
      <c r="M41" s="38" t="s">
        <v>167</v>
      </c>
      <c r="N41" s="38" t="s">
        <v>167</v>
      </c>
      <c r="O41" s="38" t="s">
        <v>167</v>
      </c>
      <c r="P41" s="38" t="s">
        <v>167</v>
      </c>
    </row>
    <row r="42" spans="1:16" ht="27.6">
      <c r="A42" s="32" t="s">
        <v>153</v>
      </c>
      <c r="B42" s="39" t="s">
        <v>1517</v>
      </c>
      <c r="C42" s="39" t="s">
        <v>1518</v>
      </c>
      <c r="D42" s="39" t="s">
        <v>1446</v>
      </c>
      <c r="E42" s="41">
        <v>1</v>
      </c>
      <c r="F42" s="40"/>
      <c r="G42" s="39" t="s">
        <v>1446</v>
      </c>
      <c r="H42" s="39" t="s">
        <v>1439</v>
      </c>
      <c r="I42" s="39" t="s">
        <v>1519</v>
      </c>
      <c r="J42" s="38"/>
      <c r="K42" s="38" t="s">
        <v>167</v>
      </c>
      <c r="L42" s="38" t="s">
        <v>167</v>
      </c>
      <c r="M42" s="38">
        <v>17500</v>
      </c>
      <c r="N42" s="38">
        <v>42500</v>
      </c>
      <c r="O42" s="38" t="s">
        <v>167</v>
      </c>
      <c r="P42" s="38" t="s">
        <v>167</v>
      </c>
    </row>
    <row r="43" spans="1:16" ht="27.6">
      <c r="A43" s="32" t="s">
        <v>153</v>
      </c>
      <c r="B43" s="39" t="s">
        <v>1517</v>
      </c>
      <c r="C43" s="39" t="s">
        <v>1518</v>
      </c>
      <c r="D43" s="39" t="s">
        <v>1520</v>
      </c>
      <c r="E43" s="41">
        <v>1</v>
      </c>
      <c r="F43" s="40"/>
      <c r="G43" s="39" t="s">
        <v>1464</v>
      </c>
      <c r="H43" s="39" t="s">
        <v>1441</v>
      </c>
      <c r="I43" s="39" t="s">
        <v>1521</v>
      </c>
      <c r="J43" s="38" t="s">
        <v>167</v>
      </c>
      <c r="K43" s="38" t="s">
        <v>167</v>
      </c>
      <c r="L43" s="38" t="s">
        <v>167</v>
      </c>
      <c r="M43" s="38" t="s">
        <v>167</v>
      </c>
      <c r="N43" s="38">
        <v>75000</v>
      </c>
      <c r="O43" s="38" t="s">
        <v>167</v>
      </c>
      <c r="P43" s="38" t="s">
        <v>167</v>
      </c>
    </row>
    <row r="44" spans="1:16" ht="27.6">
      <c r="A44" s="32" t="s">
        <v>153</v>
      </c>
      <c r="B44" s="39" t="s">
        <v>1517</v>
      </c>
      <c r="C44" s="39" t="s">
        <v>1518</v>
      </c>
      <c r="D44" s="39" t="s">
        <v>1466</v>
      </c>
      <c r="E44" s="41">
        <v>1</v>
      </c>
      <c r="F44" s="40"/>
      <c r="G44" s="39" t="s">
        <v>1455</v>
      </c>
      <c r="H44" s="39" t="s">
        <v>1441</v>
      </c>
      <c r="I44" s="39" t="s">
        <v>1522</v>
      </c>
      <c r="J44" s="38">
        <v>25000</v>
      </c>
      <c r="K44" s="38">
        <v>100000</v>
      </c>
      <c r="L44" s="38">
        <v>100000</v>
      </c>
      <c r="M44" s="38">
        <v>100000</v>
      </c>
      <c r="N44" s="38">
        <v>100000</v>
      </c>
      <c r="O44" s="38" t="s">
        <v>167</v>
      </c>
      <c r="P44" s="38" t="s">
        <v>167</v>
      </c>
    </row>
    <row r="45" spans="1:16">
      <c r="A45" s="32" t="s">
        <v>153</v>
      </c>
      <c r="B45" s="39" t="s">
        <v>1517</v>
      </c>
      <c r="C45" s="39" t="s">
        <v>1518</v>
      </c>
      <c r="D45" s="39" t="s">
        <v>1438</v>
      </c>
      <c r="E45" s="41">
        <v>1</v>
      </c>
      <c r="F45" s="40"/>
      <c r="G45" s="39" t="s">
        <v>1438</v>
      </c>
      <c r="H45" s="39" t="s">
        <v>1441</v>
      </c>
      <c r="I45" s="39" t="s">
        <v>1523</v>
      </c>
      <c r="J45" s="38" t="s">
        <v>167</v>
      </c>
      <c r="K45" s="38">
        <v>40000</v>
      </c>
      <c r="L45" s="38" t="s">
        <v>167</v>
      </c>
      <c r="M45" s="38" t="s">
        <v>167</v>
      </c>
      <c r="N45" s="38" t="s">
        <v>167</v>
      </c>
      <c r="O45" s="38" t="s">
        <v>167</v>
      </c>
      <c r="P45" s="38" t="s">
        <v>167</v>
      </c>
    </row>
    <row r="46" spans="1:16" ht="41.45">
      <c r="A46" s="32" t="s">
        <v>153</v>
      </c>
      <c r="B46" s="39" t="s">
        <v>1524</v>
      </c>
      <c r="C46" s="39" t="s">
        <v>1525</v>
      </c>
      <c r="D46" s="39" t="s">
        <v>1438</v>
      </c>
      <c r="E46" s="41">
        <v>1</v>
      </c>
      <c r="F46" s="40"/>
      <c r="G46" s="39" t="s">
        <v>1438</v>
      </c>
      <c r="H46" s="39" t="s">
        <v>1441</v>
      </c>
      <c r="I46" s="39" t="s">
        <v>1526</v>
      </c>
      <c r="J46" s="38">
        <v>116000</v>
      </c>
      <c r="K46" s="38" t="s">
        <v>167</v>
      </c>
      <c r="L46" s="38" t="s">
        <v>167</v>
      </c>
      <c r="M46" s="38" t="s">
        <v>167</v>
      </c>
      <c r="N46" s="38" t="s">
        <v>167</v>
      </c>
      <c r="O46" s="38" t="s">
        <v>167</v>
      </c>
      <c r="P46" s="38" t="s">
        <v>167</v>
      </c>
    </row>
    <row r="47" spans="1:16">
      <c r="A47" s="32" t="s">
        <v>153</v>
      </c>
      <c r="B47" s="39" t="s">
        <v>1527</v>
      </c>
      <c r="C47" s="39" t="s">
        <v>1528</v>
      </c>
      <c r="D47" s="39" t="s">
        <v>1446</v>
      </c>
      <c r="E47" s="41">
        <v>1</v>
      </c>
      <c r="F47" s="40"/>
      <c r="G47" s="39" t="s">
        <v>1446</v>
      </c>
      <c r="H47" s="39" t="s">
        <v>1441</v>
      </c>
      <c r="I47" s="39" t="s">
        <v>1529</v>
      </c>
      <c r="J47" s="38" t="s">
        <v>167</v>
      </c>
      <c r="K47" s="38" t="s">
        <v>167</v>
      </c>
      <c r="L47" s="38">
        <v>40000</v>
      </c>
      <c r="M47" s="38">
        <v>40000</v>
      </c>
      <c r="N47" s="38" t="s">
        <v>167</v>
      </c>
      <c r="O47" s="38" t="s">
        <v>167</v>
      </c>
      <c r="P47" s="38" t="s">
        <v>167</v>
      </c>
    </row>
    <row r="48" spans="1:16">
      <c r="A48" s="32" t="s">
        <v>153</v>
      </c>
      <c r="B48" s="39" t="s">
        <v>454</v>
      </c>
      <c r="C48" s="39" t="s">
        <v>1530</v>
      </c>
      <c r="D48" s="39" t="s">
        <v>1468</v>
      </c>
      <c r="E48" s="41">
        <v>1</v>
      </c>
      <c r="F48" s="40"/>
      <c r="G48" s="39" t="s">
        <v>1464</v>
      </c>
      <c r="H48" s="39" t="s">
        <v>1441</v>
      </c>
      <c r="I48" s="39" t="s">
        <v>1531</v>
      </c>
      <c r="J48" s="38" t="s">
        <v>167</v>
      </c>
      <c r="K48" s="38">
        <v>25000</v>
      </c>
      <c r="L48" s="38" t="s">
        <v>167</v>
      </c>
      <c r="M48" s="38" t="s">
        <v>167</v>
      </c>
      <c r="N48" s="38" t="s">
        <v>167</v>
      </c>
      <c r="O48" s="38" t="s">
        <v>167</v>
      </c>
      <c r="P48" s="38" t="s">
        <v>167</v>
      </c>
    </row>
    <row r="49" spans="1:16" ht="27.6">
      <c r="A49" s="32" t="s">
        <v>153</v>
      </c>
      <c r="B49" s="39" t="s">
        <v>454</v>
      </c>
      <c r="C49" s="39" t="s">
        <v>1530</v>
      </c>
      <c r="D49" s="39" t="s">
        <v>1532</v>
      </c>
      <c r="E49" s="41">
        <v>1</v>
      </c>
      <c r="F49" s="40"/>
      <c r="G49" s="39" t="s">
        <v>1455</v>
      </c>
      <c r="H49" s="39" t="s">
        <v>1441</v>
      </c>
      <c r="I49" s="39" t="s">
        <v>1533</v>
      </c>
      <c r="J49" s="38">
        <v>68750</v>
      </c>
      <c r="K49" s="38" t="s">
        <v>167</v>
      </c>
      <c r="L49" s="38" t="s">
        <v>167</v>
      </c>
      <c r="M49" s="38" t="s">
        <v>167</v>
      </c>
      <c r="N49" s="38" t="s">
        <v>167</v>
      </c>
      <c r="O49" s="38" t="s">
        <v>167</v>
      </c>
      <c r="P49" s="38" t="s">
        <v>167</v>
      </c>
    </row>
    <row r="50" spans="1:16" ht="27.6">
      <c r="A50" s="32" t="s">
        <v>153</v>
      </c>
      <c r="B50" s="39" t="s">
        <v>450</v>
      </c>
      <c r="C50" s="39" t="s">
        <v>1534</v>
      </c>
      <c r="D50" s="39" t="s">
        <v>1532</v>
      </c>
      <c r="E50" s="41">
        <v>1</v>
      </c>
      <c r="F50" s="40"/>
      <c r="G50" s="39" t="s">
        <v>1455</v>
      </c>
      <c r="H50" s="39" t="s">
        <v>1441</v>
      </c>
      <c r="I50" s="39" t="s">
        <v>1533</v>
      </c>
      <c r="J50" s="38">
        <v>68750</v>
      </c>
      <c r="K50" s="38" t="s">
        <v>167</v>
      </c>
      <c r="L50" s="38" t="s">
        <v>167</v>
      </c>
      <c r="M50" s="38" t="s">
        <v>167</v>
      </c>
      <c r="N50" s="38" t="s">
        <v>167</v>
      </c>
      <c r="O50" s="38" t="s">
        <v>167</v>
      </c>
      <c r="P50" s="38" t="s">
        <v>167</v>
      </c>
    </row>
    <row r="51" spans="1:16">
      <c r="A51" s="32" t="s">
        <v>153</v>
      </c>
      <c r="B51" s="39" t="s">
        <v>450</v>
      </c>
      <c r="C51" s="39" t="s">
        <v>1534</v>
      </c>
      <c r="D51" s="39" t="s">
        <v>1446</v>
      </c>
      <c r="E51" s="41">
        <v>1</v>
      </c>
      <c r="F51" s="40"/>
      <c r="G51" s="39" t="s">
        <v>1446</v>
      </c>
      <c r="H51" s="39" t="s">
        <v>1441</v>
      </c>
      <c r="I51" s="39" t="s">
        <v>1535</v>
      </c>
      <c r="J51" s="38" t="s">
        <v>167</v>
      </c>
      <c r="K51" s="38">
        <v>10000</v>
      </c>
      <c r="L51" s="38" t="s">
        <v>167</v>
      </c>
      <c r="M51" s="38" t="s">
        <v>167</v>
      </c>
      <c r="N51" s="38" t="s">
        <v>167</v>
      </c>
      <c r="O51" s="38" t="s">
        <v>167</v>
      </c>
      <c r="P51" s="38" t="s">
        <v>167</v>
      </c>
    </row>
    <row r="52" spans="1:16" ht="27.6">
      <c r="A52" s="32" t="s">
        <v>153</v>
      </c>
      <c r="B52" s="39" t="s">
        <v>450</v>
      </c>
      <c r="C52" s="39" t="s">
        <v>1534</v>
      </c>
      <c r="D52" s="39" t="s">
        <v>1438</v>
      </c>
      <c r="E52" s="41">
        <v>1</v>
      </c>
      <c r="F52" s="40"/>
      <c r="G52" s="39" t="s">
        <v>1438</v>
      </c>
      <c r="H52" s="39" t="s">
        <v>1439</v>
      </c>
      <c r="I52" s="39" t="s">
        <v>1536</v>
      </c>
      <c r="J52" s="38"/>
      <c r="K52" s="38">
        <v>5000</v>
      </c>
      <c r="L52" s="38">
        <v>5000</v>
      </c>
      <c r="M52" s="38">
        <v>5000</v>
      </c>
      <c r="N52" s="38" t="s">
        <v>167</v>
      </c>
      <c r="O52" s="38" t="s">
        <v>167</v>
      </c>
      <c r="P52" s="38" t="s">
        <v>167</v>
      </c>
    </row>
    <row r="53" spans="1:16" ht="41.45">
      <c r="A53" s="32" t="s">
        <v>153</v>
      </c>
      <c r="B53" s="39" t="s">
        <v>450</v>
      </c>
      <c r="C53" s="39" t="s">
        <v>1534</v>
      </c>
      <c r="D53" s="39" t="s">
        <v>1468</v>
      </c>
      <c r="E53" s="41">
        <v>1</v>
      </c>
      <c r="F53" s="40"/>
      <c r="G53" s="39" t="s">
        <v>1464</v>
      </c>
      <c r="H53" s="39" t="s">
        <v>1441</v>
      </c>
      <c r="I53" s="39" t="s">
        <v>1537</v>
      </c>
      <c r="J53" s="38">
        <v>10000</v>
      </c>
      <c r="K53" s="38" t="s">
        <v>167</v>
      </c>
      <c r="L53" s="38" t="s">
        <v>167</v>
      </c>
      <c r="M53" s="38" t="s">
        <v>167</v>
      </c>
      <c r="N53" s="38" t="s">
        <v>167</v>
      </c>
      <c r="O53" s="38" t="s">
        <v>167</v>
      </c>
      <c r="P53" s="38" t="s">
        <v>167</v>
      </c>
    </row>
    <row r="54" spans="1:16" ht="27.6">
      <c r="A54" s="32" t="s">
        <v>153</v>
      </c>
      <c r="B54" s="39" t="s">
        <v>452</v>
      </c>
      <c r="C54" s="39" t="s">
        <v>1538</v>
      </c>
      <c r="D54" s="39" t="s">
        <v>1438</v>
      </c>
      <c r="E54" s="41">
        <v>1</v>
      </c>
      <c r="F54" s="40"/>
      <c r="G54" s="39" t="s">
        <v>1438</v>
      </c>
      <c r="H54" s="39" t="s">
        <v>1439</v>
      </c>
      <c r="I54" s="39" t="s">
        <v>1536</v>
      </c>
      <c r="J54" s="38"/>
      <c r="K54" s="38">
        <v>5000</v>
      </c>
      <c r="L54" s="38">
        <v>5000</v>
      </c>
      <c r="M54" s="38">
        <v>5000</v>
      </c>
      <c r="N54" s="38" t="s">
        <v>167</v>
      </c>
      <c r="O54" s="38" t="s">
        <v>167</v>
      </c>
      <c r="P54" s="38" t="s">
        <v>167</v>
      </c>
    </row>
    <row r="55" spans="1:16" ht="27.6">
      <c r="A55" s="32" t="s">
        <v>153</v>
      </c>
      <c r="B55" s="39" t="s">
        <v>1539</v>
      </c>
      <c r="C55" s="39" t="s">
        <v>1540</v>
      </c>
      <c r="D55" s="39" t="s">
        <v>1532</v>
      </c>
      <c r="E55" s="41">
        <v>1</v>
      </c>
      <c r="F55" s="40"/>
      <c r="G55" s="39" t="s">
        <v>1455</v>
      </c>
      <c r="H55" s="39" t="s">
        <v>1441</v>
      </c>
      <c r="I55" s="39" t="s">
        <v>1516</v>
      </c>
      <c r="J55" s="38" t="s">
        <v>167</v>
      </c>
      <c r="K55" s="38">
        <v>2600</v>
      </c>
      <c r="L55" s="38" t="s">
        <v>167</v>
      </c>
      <c r="M55" s="38" t="s">
        <v>167</v>
      </c>
      <c r="N55" s="38" t="s">
        <v>167</v>
      </c>
      <c r="O55" s="38" t="s">
        <v>167</v>
      </c>
      <c r="P55" s="38" t="s">
        <v>167</v>
      </c>
    </row>
    <row r="56" spans="1:16" ht="27.6">
      <c r="A56" s="32" t="s">
        <v>153</v>
      </c>
      <c r="B56" s="39" t="s">
        <v>1541</v>
      </c>
      <c r="C56" s="39" t="s">
        <v>1542</v>
      </c>
      <c r="D56" s="39" t="s">
        <v>1532</v>
      </c>
      <c r="E56" s="41">
        <v>1</v>
      </c>
      <c r="F56" s="40"/>
      <c r="G56" s="39" t="s">
        <v>1455</v>
      </c>
      <c r="H56" s="39" t="s">
        <v>1441</v>
      </c>
      <c r="I56" s="39" t="s">
        <v>1543</v>
      </c>
      <c r="J56" s="38" t="s">
        <v>167</v>
      </c>
      <c r="K56" s="38">
        <v>65000</v>
      </c>
      <c r="L56" s="38" t="s">
        <v>167</v>
      </c>
      <c r="M56" s="38" t="s">
        <v>167</v>
      </c>
      <c r="N56" s="38" t="s">
        <v>167</v>
      </c>
      <c r="O56" s="38" t="s">
        <v>167</v>
      </c>
      <c r="P56" s="38" t="s">
        <v>167</v>
      </c>
    </row>
    <row r="57" spans="1:16" ht="27.6">
      <c r="A57" s="32" t="s">
        <v>153</v>
      </c>
      <c r="B57" s="39" t="s">
        <v>1544</v>
      </c>
      <c r="C57" s="39" t="s">
        <v>1545</v>
      </c>
      <c r="D57" s="39" t="s">
        <v>1532</v>
      </c>
      <c r="E57" s="41">
        <v>1</v>
      </c>
      <c r="F57" s="40"/>
      <c r="G57" s="39" t="s">
        <v>1455</v>
      </c>
      <c r="H57" s="39" t="s">
        <v>1441</v>
      </c>
      <c r="I57" s="39" t="s">
        <v>1516</v>
      </c>
      <c r="J57" s="38" t="s">
        <v>167</v>
      </c>
      <c r="K57" s="38">
        <v>10000</v>
      </c>
      <c r="L57" s="38" t="s">
        <v>167</v>
      </c>
      <c r="M57" s="38" t="s">
        <v>167</v>
      </c>
      <c r="N57" s="38" t="s">
        <v>167</v>
      </c>
      <c r="O57" s="38" t="s">
        <v>167</v>
      </c>
      <c r="P57" s="38" t="s">
        <v>167</v>
      </c>
    </row>
    <row r="58" spans="1:16">
      <c r="A58" s="32" t="s">
        <v>153</v>
      </c>
      <c r="B58" s="39" t="s">
        <v>1544</v>
      </c>
      <c r="C58" s="39" t="s">
        <v>1545</v>
      </c>
      <c r="D58" s="39" t="s">
        <v>1468</v>
      </c>
      <c r="E58" s="41">
        <v>1</v>
      </c>
      <c r="F58" s="40"/>
      <c r="G58" s="39" t="s">
        <v>1464</v>
      </c>
      <c r="H58" s="39" t="s">
        <v>1441</v>
      </c>
      <c r="I58" s="39" t="s">
        <v>1546</v>
      </c>
      <c r="J58" s="38" t="s">
        <v>167</v>
      </c>
      <c r="K58" s="38">
        <v>4150</v>
      </c>
      <c r="L58" s="38" t="s">
        <v>167</v>
      </c>
      <c r="M58" s="38" t="s">
        <v>167</v>
      </c>
      <c r="N58" s="38" t="s">
        <v>167</v>
      </c>
      <c r="O58" s="38" t="s">
        <v>167</v>
      </c>
      <c r="P58" s="38" t="s">
        <v>167</v>
      </c>
    </row>
    <row r="59" spans="1:16" ht="27.6">
      <c r="A59" s="32" t="s">
        <v>153</v>
      </c>
      <c r="B59" s="39" t="s">
        <v>1547</v>
      </c>
      <c r="C59" s="39" t="s">
        <v>1548</v>
      </c>
      <c r="D59" s="39" t="s">
        <v>1532</v>
      </c>
      <c r="E59" s="41">
        <v>1</v>
      </c>
      <c r="F59" s="40"/>
      <c r="G59" s="39" t="s">
        <v>1455</v>
      </c>
      <c r="H59" s="39" t="s">
        <v>1441</v>
      </c>
      <c r="I59" s="39" t="s">
        <v>1516</v>
      </c>
      <c r="J59" s="38" t="s">
        <v>167</v>
      </c>
      <c r="K59" s="38">
        <v>10000</v>
      </c>
      <c r="L59" s="38" t="s">
        <v>167</v>
      </c>
      <c r="M59" s="38" t="s">
        <v>167</v>
      </c>
      <c r="N59" s="38" t="s">
        <v>167</v>
      </c>
      <c r="O59" s="38" t="s">
        <v>167</v>
      </c>
      <c r="P59" s="38" t="s">
        <v>167</v>
      </c>
    </row>
    <row r="60" spans="1:16">
      <c r="A60" s="32" t="s">
        <v>153</v>
      </c>
      <c r="B60" s="39" t="s">
        <v>1547</v>
      </c>
      <c r="C60" s="39" t="s">
        <v>1548</v>
      </c>
      <c r="D60" s="39" t="s">
        <v>1468</v>
      </c>
      <c r="E60" s="41">
        <v>1</v>
      </c>
      <c r="F60" s="40"/>
      <c r="G60" s="39" t="s">
        <v>1464</v>
      </c>
      <c r="H60" s="39" t="s">
        <v>1441</v>
      </c>
      <c r="I60" s="39" t="s">
        <v>1546</v>
      </c>
      <c r="J60" s="38" t="s">
        <v>167</v>
      </c>
      <c r="K60" s="38">
        <v>4150</v>
      </c>
      <c r="L60" s="38" t="s">
        <v>167</v>
      </c>
      <c r="M60" s="38" t="s">
        <v>167</v>
      </c>
      <c r="N60" s="38" t="s">
        <v>167</v>
      </c>
      <c r="O60" s="38" t="s">
        <v>167</v>
      </c>
      <c r="P60" s="38" t="s">
        <v>167</v>
      </c>
    </row>
    <row r="61" spans="1:16" ht="27.6">
      <c r="A61" s="32" t="s">
        <v>153</v>
      </c>
      <c r="B61" s="39" t="s">
        <v>1549</v>
      </c>
      <c r="C61" s="39" t="s">
        <v>1550</v>
      </c>
      <c r="D61" s="39" t="s">
        <v>1532</v>
      </c>
      <c r="E61" s="41">
        <v>1</v>
      </c>
      <c r="F61" s="40"/>
      <c r="G61" s="39" t="s">
        <v>1455</v>
      </c>
      <c r="H61" s="39" t="s">
        <v>1441</v>
      </c>
      <c r="I61" s="39" t="s">
        <v>1516</v>
      </c>
      <c r="J61" s="38" t="s">
        <v>167</v>
      </c>
      <c r="K61" s="38">
        <v>10000</v>
      </c>
      <c r="L61" s="38" t="s">
        <v>167</v>
      </c>
      <c r="M61" s="38" t="s">
        <v>167</v>
      </c>
      <c r="N61" s="38" t="s">
        <v>167</v>
      </c>
      <c r="O61" s="38" t="s">
        <v>167</v>
      </c>
      <c r="P61" s="38" t="s">
        <v>167</v>
      </c>
    </row>
    <row r="62" spans="1:16">
      <c r="A62" s="32" t="s">
        <v>153</v>
      </c>
      <c r="B62" s="39" t="s">
        <v>1524</v>
      </c>
      <c r="C62" s="39" t="s">
        <v>1525</v>
      </c>
      <c r="D62" s="39" t="s">
        <v>1446</v>
      </c>
      <c r="E62" s="41">
        <v>3</v>
      </c>
      <c r="F62" s="40"/>
      <c r="G62" s="39" t="s">
        <v>1446</v>
      </c>
      <c r="H62" s="39" t="s">
        <v>1441</v>
      </c>
      <c r="I62" s="39" t="s">
        <v>1551</v>
      </c>
      <c r="J62" s="38" t="s">
        <v>167</v>
      </c>
      <c r="K62" s="38">
        <v>11800</v>
      </c>
      <c r="L62" s="38" t="s">
        <v>167</v>
      </c>
      <c r="M62" s="38" t="s">
        <v>167</v>
      </c>
      <c r="N62" s="38" t="s">
        <v>167</v>
      </c>
      <c r="O62" s="38" t="s">
        <v>167</v>
      </c>
      <c r="P62" s="38" t="s">
        <v>167</v>
      </c>
    </row>
    <row r="63" spans="1:16" ht="27.6">
      <c r="A63" s="32" t="s">
        <v>153</v>
      </c>
      <c r="B63" s="39" t="s">
        <v>1524</v>
      </c>
      <c r="C63" s="39" t="s">
        <v>1525</v>
      </c>
      <c r="D63" s="39" t="s">
        <v>1482</v>
      </c>
      <c r="E63" s="41">
        <v>3</v>
      </c>
      <c r="F63" s="40"/>
      <c r="G63" s="39" t="s">
        <v>1464</v>
      </c>
      <c r="H63" s="39" t="s">
        <v>1441</v>
      </c>
      <c r="I63" s="39" t="s">
        <v>1552</v>
      </c>
      <c r="J63" s="38">
        <v>10000</v>
      </c>
      <c r="K63" s="38" t="s">
        <v>167</v>
      </c>
      <c r="L63" s="38" t="s">
        <v>167</v>
      </c>
      <c r="M63" s="38" t="s">
        <v>167</v>
      </c>
      <c r="N63" s="38" t="s">
        <v>167</v>
      </c>
      <c r="O63" s="38" t="s">
        <v>167</v>
      </c>
      <c r="P63" s="38" t="s">
        <v>167</v>
      </c>
    </row>
    <row r="64" spans="1:16" ht="41.45">
      <c r="A64" s="32" t="s">
        <v>153</v>
      </c>
      <c r="B64" s="39" t="s">
        <v>1524</v>
      </c>
      <c r="C64" s="39" t="s">
        <v>1525</v>
      </c>
      <c r="D64" s="39" t="s">
        <v>1553</v>
      </c>
      <c r="E64" s="41">
        <v>3</v>
      </c>
      <c r="F64" s="40"/>
      <c r="G64" s="39" t="s">
        <v>1464</v>
      </c>
      <c r="H64" s="39" t="s">
        <v>1441</v>
      </c>
      <c r="I64" s="39" t="s">
        <v>1554</v>
      </c>
      <c r="J64" s="38">
        <v>12500</v>
      </c>
      <c r="K64" s="38" t="s">
        <v>167</v>
      </c>
      <c r="L64" s="38" t="s">
        <v>167</v>
      </c>
      <c r="M64" s="38" t="s">
        <v>167</v>
      </c>
      <c r="N64" s="38" t="s">
        <v>167</v>
      </c>
      <c r="O64" s="38" t="s">
        <v>167</v>
      </c>
      <c r="P64" s="38" t="s">
        <v>167</v>
      </c>
    </row>
    <row r="65" spans="1:16">
      <c r="A65" s="32" t="s">
        <v>153</v>
      </c>
      <c r="B65" s="39" t="s">
        <v>1555</v>
      </c>
      <c r="C65" s="39" t="s">
        <v>1556</v>
      </c>
      <c r="D65" s="39" t="s">
        <v>1438</v>
      </c>
      <c r="E65" s="41">
        <v>3</v>
      </c>
      <c r="F65" s="40"/>
      <c r="G65" s="39" t="s">
        <v>1438</v>
      </c>
      <c r="H65" s="39" t="s">
        <v>1441</v>
      </c>
      <c r="I65" s="39" t="s">
        <v>1448</v>
      </c>
      <c r="J65" s="38" t="s">
        <v>167</v>
      </c>
      <c r="K65" s="38">
        <v>105900</v>
      </c>
      <c r="L65" s="38" t="s">
        <v>167</v>
      </c>
      <c r="M65" s="38" t="s">
        <v>167</v>
      </c>
      <c r="N65" s="38" t="s">
        <v>167</v>
      </c>
      <c r="O65" s="38" t="s">
        <v>167</v>
      </c>
      <c r="P65" s="38" t="s">
        <v>167</v>
      </c>
    </row>
    <row r="66" spans="1:16" ht="41.45">
      <c r="A66" s="32" t="s">
        <v>153</v>
      </c>
      <c r="B66" s="39" t="s">
        <v>1555</v>
      </c>
      <c r="C66" s="39" t="s">
        <v>1556</v>
      </c>
      <c r="D66" s="39" t="s">
        <v>1553</v>
      </c>
      <c r="E66" s="41">
        <v>3</v>
      </c>
      <c r="F66" s="40"/>
      <c r="G66" s="39" t="s">
        <v>1464</v>
      </c>
      <c r="H66" s="39" t="s">
        <v>1441</v>
      </c>
      <c r="I66" s="39" t="s">
        <v>1554</v>
      </c>
      <c r="J66" s="38">
        <v>12500</v>
      </c>
      <c r="K66" s="38" t="s">
        <v>167</v>
      </c>
      <c r="L66" s="38" t="s">
        <v>167</v>
      </c>
      <c r="M66" s="38" t="s">
        <v>167</v>
      </c>
      <c r="N66" s="38" t="s">
        <v>167</v>
      </c>
      <c r="O66" s="38" t="s">
        <v>167</v>
      </c>
      <c r="P66" s="38" t="s">
        <v>167</v>
      </c>
    </row>
    <row r="67" spans="1:16" ht="27.6">
      <c r="A67" s="32" t="s">
        <v>153</v>
      </c>
      <c r="B67" s="39" t="s">
        <v>1555</v>
      </c>
      <c r="C67" s="39" t="s">
        <v>1556</v>
      </c>
      <c r="D67" s="39" t="s">
        <v>1468</v>
      </c>
      <c r="E67" s="41">
        <v>3</v>
      </c>
      <c r="F67" s="40"/>
      <c r="G67" s="39" t="s">
        <v>1464</v>
      </c>
      <c r="H67" s="39" t="s">
        <v>1441</v>
      </c>
      <c r="I67" s="39" t="s">
        <v>1557</v>
      </c>
      <c r="J67" s="38" t="s">
        <v>167</v>
      </c>
      <c r="K67" s="38">
        <v>12500</v>
      </c>
      <c r="L67" s="38" t="s">
        <v>167</v>
      </c>
      <c r="M67" s="38" t="s">
        <v>167</v>
      </c>
      <c r="N67" s="38" t="s">
        <v>167</v>
      </c>
      <c r="O67" s="38" t="s">
        <v>167</v>
      </c>
      <c r="P67" s="38" t="s">
        <v>167</v>
      </c>
    </row>
    <row r="68" spans="1:16" ht="27.6">
      <c r="A68" s="32" t="s">
        <v>153</v>
      </c>
      <c r="B68" s="39" t="s">
        <v>1558</v>
      </c>
      <c r="C68" s="39" t="s">
        <v>1559</v>
      </c>
      <c r="D68" s="39" t="s">
        <v>1438</v>
      </c>
      <c r="E68" s="41">
        <v>3</v>
      </c>
      <c r="F68" s="40"/>
      <c r="G68" s="39" t="s">
        <v>1438</v>
      </c>
      <c r="H68" s="39" t="s">
        <v>1441</v>
      </c>
      <c r="I68" s="39" t="s">
        <v>1560</v>
      </c>
      <c r="J68" s="38"/>
      <c r="K68" s="38">
        <v>133900</v>
      </c>
      <c r="L68" s="38" t="s">
        <v>167</v>
      </c>
      <c r="M68" s="38" t="s">
        <v>167</v>
      </c>
      <c r="N68" s="38" t="s">
        <v>167</v>
      </c>
      <c r="O68" s="38" t="s">
        <v>167</v>
      </c>
      <c r="P68" s="38" t="s">
        <v>167</v>
      </c>
    </row>
    <row r="69" spans="1:16" ht="41.45">
      <c r="A69" s="32" t="s">
        <v>153</v>
      </c>
      <c r="B69" s="39" t="s">
        <v>1558</v>
      </c>
      <c r="C69" s="39" t="s">
        <v>1559</v>
      </c>
      <c r="D69" s="39" t="s">
        <v>1553</v>
      </c>
      <c r="E69" s="41">
        <v>3</v>
      </c>
      <c r="F69" s="40"/>
      <c r="G69" s="39" t="s">
        <v>1464</v>
      </c>
      <c r="H69" s="39" t="s">
        <v>1441</v>
      </c>
      <c r="I69" s="39" t="s">
        <v>1554</v>
      </c>
      <c r="J69" s="38">
        <v>12500</v>
      </c>
      <c r="K69" s="38" t="s">
        <v>167</v>
      </c>
      <c r="L69" s="38" t="s">
        <v>167</v>
      </c>
      <c r="M69" s="38" t="s">
        <v>167</v>
      </c>
      <c r="N69" s="38" t="s">
        <v>167</v>
      </c>
      <c r="O69" s="38" t="s">
        <v>167</v>
      </c>
      <c r="P69" s="38" t="s">
        <v>167</v>
      </c>
    </row>
    <row r="70" spans="1:16" ht="27.6">
      <c r="A70" s="32" t="s">
        <v>153</v>
      </c>
      <c r="B70" s="39" t="s">
        <v>1561</v>
      </c>
      <c r="C70" s="39" t="s">
        <v>1562</v>
      </c>
      <c r="D70" s="39" t="s">
        <v>1532</v>
      </c>
      <c r="E70" s="41">
        <v>3</v>
      </c>
      <c r="F70" s="40"/>
      <c r="G70" s="39" t="s">
        <v>1455</v>
      </c>
      <c r="H70" s="39" t="s">
        <v>1441</v>
      </c>
      <c r="I70" s="39" t="s">
        <v>1563</v>
      </c>
      <c r="J70" s="38">
        <v>33334</v>
      </c>
      <c r="K70" s="38" t="s">
        <v>167</v>
      </c>
      <c r="L70" s="38" t="s">
        <v>167</v>
      </c>
      <c r="M70" s="38" t="s">
        <v>167</v>
      </c>
      <c r="N70" s="38" t="s">
        <v>167</v>
      </c>
      <c r="O70" s="38" t="s">
        <v>167</v>
      </c>
      <c r="P70" s="38" t="s">
        <v>167</v>
      </c>
    </row>
    <row r="71" spans="1:16">
      <c r="A71" s="32" t="s">
        <v>153</v>
      </c>
      <c r="B71" s="39" t="s">
        <v>1561</v>
      </c>
      <c r="C71" s="39" t="s">
        <v>1562</v>
      </c>
      <c r="D71" s="39" t="s">
        <v>1438</v>
      </c>
      <c r="E71" s="41">
        <v>3</v>
      </c>
      <c r="F71" s="40"/>
      <c r="G71" s="39" t="s">
        <v>1438</v>
      </c>
      <c r="H71" s="39" t="s">
        <v>1441</v>
      </c>
      <c r="I71" s="39" t="s">
        <v>1448</v>
      </c>
      <c r="J71" s="38">
        <v>96500</v>
      </c>
      <c r="K71" s="38" t="s">
        <v>167</v>
      </c>
      <c r="L71" s="38" t="s">
        <v>167</v>
      </c>
      <c r="M71" s="38" t="s">
        <v>167</v>
      </c>
      <c r="N71" s="38" t="s">
        <v>167</v>
      </c>
      <c r="O71" s="38" t="s">
        <v>167</v>
      </c>
      <c r="P71" s="38" t="s">
        <v>167</v>
      </c>
    </row>
    <row r="72" spans="1:16" ht="27.6">
      <c r="A72" s="32" t="s">
        <v>153</v>
      </c>
      <c r="B72" s="39" t="s">
        <v>1561</v>
      </c>
      <c r="C72" s="39" t="s">
        <v>1562</v>
      </c>
      <c r="D72" s="39" t="s">
        <v>1482</v>
      </c>
      <c r="E72" s="41">
        <v>3</v>
      </c>
      <c r="F72" s="40"/>
      <c r="G72" s="39" t="s">
        <v>1464</v>
      </c>
      <c r="H72" s="39" t="s">
        <v>1441</v>
      </c>
      <c r="I72" s="39" t="s">
        <v>1552</v>
      </c>
      <c r="J72" s="38">
        <v>10000</v>
      </c>
      <c r="K72" s="38" t="s">
        <v>167</v>
      </c>
      <c r="L72" s="38" t="s">
        <v>167</v>
      </c>
      <c r="M72" s="38" t="s">
        <v>167</v>
      </c>
      <c r="N72" s="38" t="s">
        <v>167</v>
      </c>
      <c r="O72" s="38" t="s">
        <v>167</v>
      </c>
      <c r="P72" s="38" t="s">
        <v>167</v>
      </c>
    </row>
    <row r="73" spans="1:16" ht="27.6">
      <c r="A73" s="32" t="s">
        <v>153</v>
      </c>
      <c r="B73" s="39" t="s">
        <v>1561</v>
      </c>
      <c r="C73" s="39" t="s">
        <v>1562</v>
      </c>
      <c r="D73" s="39" t="s">
        <v>1468</v>
      </c>
      <c r="E73" s="41">
        <v>3</v>
      </c>
      <c r="F73" s="40"/>
      <c r="G73" s="39" t="s">
        <v>1464</v>
      </c>
      <c r="H73" s="39" t="s">
        <v>1439</v>
      </c>
      <c r="I73" s="39" t="s">
        <v>1564</v>
      </c>
      <c r="J73" s="38" t="s">
        <v>167</v>
      </c>
      <c r="K73" s="38">
        <v>12500</v>
      </c>
      <c r="L73" s="38" t="s">
        <v>167</v>
      </c>
      <c r="M73" s="38" t="s">
        <v>167</v>
      </c>
      <c r="N73" s="38" t="s">
        <v>167</v>
      </c>
      <c r="O73" s="38" t="s">
        <v>167</v>
      </c>
      <c r="P73" s="38" t="s">
        <v>167</v>
      </c>
    </row>
    <row r="74" spans="1:16" ht="27.6">
      <c r="A74" s="32" t="s">
        <v>153</v>
      </c>
      <c r="B74" s="39" t="s">
        <v>1565</v>
      </c>
      <c r="C74" s="39" t="s">
        <v>1566</v>
      </c>
      <c r="D74" s="39" t="s">
        <v>1532</v>
      </c>
      <c r="E74" s="41">
        <v>3</v>
      </c>
      <c r="F74" s="40"/>
      <c r="G74" s="39" t="s">
        <v>1455</v>
      </c>
      <c r="H74" s="39" t="s">
        <v>1441</v>
      </c>
      <c r="I74" s="39" t="s">
        <v>1563</v>
      </c>
      <c r="J74" s="38">
        <v>33334</v>
      </c>
      <c r="K74" s="38" t="s">
        <v>167</v>
      </c>
      <c r="L74" s="38" t="s">
        <v>167</v>
      </c>
      <c r="M74" s="38" t="s">
        <v>167</v>
      </c>
      <c r="N74" s="38" t="s">
        <v>167</v>
      </c>
      <c r="O74" s="38" t="s">
        <v>167</v>
      </c>
      <c r="P74" s="38" t="s">
        <v>167</v>
      </c>
    </row>
    <row r="75" spans="1:16">
      <c r="A75" s="32" t="s">
        <v>153</v>
      </c>
      <c r="B75" s="39" t="s">
        <v>1565</v>
      </c>
      <c r="C75" s="39" t="s">
        <v>1566</v>
      </c>
      <c r="D75" s="39" t="s">
        <v>1438</v>
      </c>
      <c r="E75" s="41">
        <v>3</v>
      </c>
      <c r="F75" s="40"/>
      <c r="G75" s="39" t="s">
        <v>1438</v>
      </c>
      <c r="H75" s="39" t="s">
        <v>1441</v>
      </c>
      <c r="I75" s="39" t="s">
        <v>1448</v>
      </c>
      <c r="J75" s="38" t="s">
        <v>167</v>
      </c>
      <c r="K75" s="38" t="s">
        <v>167</v>
      </c>
      <c r="L75" s="38" t="s">
        <v>167</v>
      </c>
      <c r="M75" s="38">
        <v>96500</v>
      </c>
      <c r="N75" s="38" t="s">
        <v>167</v>
      </c>
      <c r="O75" s="38" t="s">
        <v>167</v>
      </c>
      <c r="P75" s="38" t="s">
        <v>167</v>
      </c>
    </row>
    <row r="76" spans="1:16" ht="41.45">
      <c r="A76" s="32" t="s">
        <v>153</v>
      </c>
      <c r="B76" s="39" t="s">
        <v>1565</v>
      </c>
      <c r="C76" s="39" t="s">
        <v>1566</v>
      </c>
      <c r="D76" s="39" t="s">
        <v>1553</v>
      </c>
      <c r="E76" s="41">
        <v>3</v>
      </c>
      <c r="F76" s="40"/>
      <c r="G76" s="39" t="s">
        <v>1464</v>
      </c>
      <c r="H76" s="39" t="s">
        <v>1441</v>
      </c>
      <c r="I76" s="39" t="s">
        <v>1554</v>
      </c>
      <c r="J76" s="38">
        <v>12500</v>
      </c>
      <c r="K76" s="38" t="s">
        <v>167</v>
      </c>
      <c r="L76" s="38" t="s">
        <v>167</v>
      </c>
      <c r="M76" s="38" t="s">
        <v>167</v>
      </c>
      <c r="N76" s="38" t="s">
        <v>167</v>
      </c>
      <c r="O76" s="38" t="s">
        <v>167</v>
      </c>
      <c r="P76" s="38" t="s">
        <v>167</v>
      </c>
    </row>
    <row r="77" spans="1:16">
      <c r="A77" s="32" t="s">
        <v>153</v>
      </c>
      <c r="B77" s="39" t="s">
        <v>1565</v>
      </c>
      <c r="C77" s="39" t="s">
        <v>1566</v>
      </c>
      <c r="D77" s="39" t="s">
        <v>1468</v>
      </c>
      <c r="E77" s="41">
        <v>3</v>
      </c>
      <c r="F77" s="40"/>
      <c r="G77" s="39" t="s">
        <v>1464</v>
      </c>
      <c r="H77" s="39" t="s">
        <v>1441</v>
      </c>
      <c r="I77" s="39" t="s">
        <v>1567</v>
      </c>
      <c r="J77" s="38" t="s">
        <v>167</v>
      </c>
      <c r="K77" s="38">
        <v>12500</v>
      </c>
      <c r="L77" s="38" t="s">
        <v>167</v>
      </c>
      <c r="M77" s="38" t="s">
        <v>167</v>
      </c>
      <c r="N77" s="38" t="s">
        <v>167</v>
      </c>
      <c r="O77" s="38" t="s">
        <v>167</v>
      </c>
      <c r="P77" s="38" t="s">
        <v>167</v>
      </c>
    </row>
    <row r="78" spans="1:16" s="42" customFormat="1">
      <c r="A78" s="46"/>
      <c r="B78" s="37"/>
      <c r="C78" s="37"/>
      <c r="D78" s="37"/>
      <c r="E78" s="45"/>
      <c r="F78" s="44"/>
      <c r="G78" s="37"/>
      <c r="H78" s="37"/>
      <c r="I78" s="37"/>
      <c r="J78" s="43"/>
      <c r="K78" s="43"/>
      <c r="L78" s="43"/>
      <c r="M78" s="43"/>
      <c r="N78" s="43"/>
      <c r="O78" s="43"/>
      <c r="P78" s="43"/>
    </row>
    <row r="79" spans="1:16">
      <c r="A79" s="32" t="s">
        <v>144</v>
      </c>
      <c r="B79" s="39" t="s">
        <v>647</v>
      </c>
      <c r="C79" s="39" t="s">
        <v>1568</v>
      </c>
      <c r="D79" s="39" t="s">
        <v>1445</v>
      </c>
      <c r="E79" s="41">
        <v>1</v>
      </c>
      <c r="F79" s="40"/>
      <c r="G79" s="39" t="s">
        <v>1446</v>
      </c>
      <c r="H79" s="39" t="s">
        <v>1441</v>
      </c>
      <c r="I79" s="39" t="s">
        <v>1569</v>
      </c>
      <c r="J79" s="38" t="s">
        <v>167</v>
      </c>
      <c r="K79" s="38" t="s">
        <v>167</v>
      </c>
      <c r="L79" s="38">
        <v>30000</v>
      </c>
      <c r="M79" s="38" t="s">
        <v>167</v>
      </c>
      <c r="N79" s="38" t="s">
        <v>167</v>
      </c>
      <c r="O79" s="38" t="s">
        <v>167</v>
      </c>
      <c r="P79" s="38" t="s">
        <v>167</v>
      </c>
    </row>
    <row r="80" spans="1:16">
      <c r="A80" s="32" t="s">
        <v>144</v>
      </c>
      <c r="B80" s="39" t="s">
        <v>647</v>
      </c>
      <c r="C80" s="39" t="s">
        <v>1568</v>
      </c>
      <c r="D80" s="39" t="s">
        <v>1454</v>
      </c>
      <c r="E80" s="41">
        <v>1</v>
      </c>
      <c r="F80" s="40"/>
      <c r="G80" s="39" t="s">
        <v>1455</v>
      </c>
      <c r="H80" s="39" t="s">
        <v>1441</v>
      </c>
      <c r="I80" s="39" t="s">
        <v>1570</v>
      </c>
      <c r="J80" s="38">
        <v>20000</v>
      </c>
      <c r="K80" s="38" t="s">
        <v>167</v>
      </c>
      <c r="L80" s="38" t="s">
        <v>167</v>
      </c>
      <c r="M80" s="38" t="s">
        <v>167</v>
      </c>
      <c r="N80" s="38" t="s">
        <v>167</v>
      </c>
      <c r="O80" s="38" t="s">
        <v>167</v>
      </c>
      <c r="P80" s="38" t="s">
        <v>167</v>
      </c>
    </row>
    <row r="81" spans="1:16">
      <c r="A81" s="32" t="s">
        <v>144</v>
      </c>
      <c r="B81" s="39" t="s">
        <v>647</v>
      </c>
      <c r="C81" s="39" t="s">
        <v>1568</v>
      </c>
      <c r="D81" s="39" t="s">
        <v>1508</v>
      </c>
      <c r="E81" s="41">
        <v>1</v>
      </c>
      <c r="F81" s="40"/>
      <c r="G81" s="39" t="s">
        <v>1438</v>
      </c>
      <c r="H81" s="39" t="s">
        <v>1441</v>
      </c>
      <c r="I81" s="39" t="s">
        <v>1570</v>
      </c>
      <c r="J81" s="38" t="s">
        <v>167</v>
      </c>
      <c r="K81" s="38" t="s">
        <v>167</v>
      </c>
      <c r="L81" s="38" t="s">
        <v>167</v>
      </c>
      <c r="M81" s="38">
        <v>240000</v>
      </c>
      <c r="N81" s="38" t="s">
        <v>167</v>
      </c>
      <c r="O81" s="38" t="s">
        <v>167</v>
      </c>
      <c r="P81" s="38" t="s">
        <v>167</v>
      </c>
    </row>
    <row r="82" spans="1:16">
      <c r="A82" s="32" t="s">
        <v>144</v>
      </c>
      <c r="B82" s="39" t="s">
        <v>582</v>
      </c>
      <c r="C82" s="39" t="s">
        <v>1571</v>
      </c>
      <c r="D82" s="39" t="s">
        <v>1446</v>
      </c>
      <c r="E82" s="41">
        <v>1</v>
      </c>
      <c r="F82" s="40"/>
      <c r="G82" s="39" t="s">
        <v>1446</v>
      </c>
      <c r="H82" s="39" t="s">
        <v>1441</v>
      </c>
      <c r="I82" s="39" t="s">
        <v>1570</v>
      </c>
      <c r="J82" s="38" t="s">
        <v>167</v>
      </c>
      <c r="K82" s="38" t="s">
        <v>167</v>
      </c>
      <c r="L82" s="38">
        <v>40000</v>
      </c>
      <c r="M82" s="38" t="s">
        <v>167</v>
      </c>
      <c r="N82" s="38" t="s">
        <v>167</v>
      </c>
      <c r="O82" s="38" t="s">
        <v>167</v>
      </c>
      <c r="P82" s="38" t="s">
        <v>167</v>
      </c>
    </row>
    <row r="83" spans="1:16" ht="41.45">
      <c r="A83" s="32" t="s">
        <v>144</v>
      </c>
      <c r="B83" s="39" t="s">
        <v>1572</v>
      </c>
      <c r="C83" s="39" t="s">
        <v>1573</v>
      </c>
      <c r="D83" s="39" t="s">
        <v>1446</v>
      </c>
      <c r="E83" s="41">
        <v>1</v>
      </c>
      <c r="F83" s="40"/>
      <c r="G83" s="39" t="s">
        <v>1446</v>
      </c>
      <c r="H83" s="39" t="s">
        <v>1441</v>
      </c>
      <c r="I83" s="39" t="s">
        <v>1574</v>
      </c>
      <c r="J83" s="38"/>
      <c r="K83" s="38" t="s">
        <v>167</v>
      </c>
      <c r="L83" s="38" t="s">
        <v>167</v>
      </c>
      <c r="M83" s="38" t="s">
        <v>167</v>
      </c>
      <c r="N83" s="38">
        <v>49600</v>
      </c>
      <c r="O83" s="38" t="s">
        <v>167</v>
      </c>
      <c r="P83" s="38" t="s">
        <v>167</v>
      </c>
    </row>
    <row r="84" spans="1:16" ht="55.15">
      <c r="A84" s="32" t="s">
        <v>144</v>
      </c>
      <c r="B84" s="39" t="s">
        <v>1572</v>
      </c>
      <c r="C84" s="39" t="s">
        <v>1573</v>
      </c>
      <c r="D84" s="39" t="s">
        <v>1438</v>
      </c>
      <c r="E84" s="41">
        <v>1</v>
      </c>
      <c r="F84" s="40"/>
      <c r="G84" s="39" t="s">
        <v>1438</v>
      </c>
      <c r="H84" s="39" t="s">
        <v>1441</v>
      </c>
      <c r="I84" s="39" t="s">
        <v>1575</v>
      </c>
      <c r="J84" s="38">
        <v>635000</v>
      </c>
      <c r="K84" s="38" t="s">
        <v>167</v>
      </c>
      <c r="L84" s="38" t="s">
        <v>167</v>
      </c>
      <c r="M84" s="38" t="s">
        <v>167</v>
      </c>
      <c r="N84" s="38" t="s">
        <v>167</v>
      </c>
      <c r="O84" s="38" t="s">
        <v>167</v>
      </c>
      <c r="P84" s="38" t="s">
        <v>167</v>
      </c>
    </row>
    <row r="85" spans="1:16">
      <c r="A85" s="32" t="s">
        <v>144</v>
      </c>
      <c r="B85" s="39" t="s">
        <v>425</v>
      </c>
      <c r="C85" s="39" t="s">
        <v>1576</v>
      </c>
      <c r="D85" s="39" t="s">
        <v>1446</v>
      </c>
      <c r="E85" s="41">
        <v>1</v>
      </c>
      <c r="F85" s="40"/>
      <c r="G85" s="39" t="s">
        <v>1446</v>
      </c>
      <c r="H85" s="39" t="s">
        <v>1441</v>
      </c>
      <c r="I85" s="39" t="s">
        <v>1516</v>
      </c>
      <c r="J85" s="38" t="s">
        <v>167</v>
      </c>
      <c r="K85" s="38" t="s">
        <v>167</v>
      </c>
      <c r="L85" s="38">
        <v>34000</v>
      </c>
      <c r="M85" s="38" t="s">
        <v>167</v>
      </c>
      <c r="N85" s="38" t="s">
        <v>167</v>
      </c>
      <c r="O85" s="38" t="s">
        <v>167</v>
      </c>
      <c r="P85" s="38" t="s">
        <v>167</v>
      </c>
    </row>
    <row r="86" spans="1:16">
      <c r="A86" s="32" t="s">
        <v>144</v>
      </c>
      <c r="B86" s="39" t="s">
        <v>1577</v>
      </c>
      <c r="C86" s="39" t="s">
        <v>210</v>
      </c>
      <c r="D86" s="39" t="s">
        <v>1578</v>
      </c>
      <c r="E86" s="41">
        <v>1</v>
      </c>
      <c r="F86" s="40"/>
      <c r="G86" s="39" t="s">
        <v>1438</v>
      </c>
      <c r="H86" s="39" t="s">
        <v>1441</v>
      </c>
      <c r="I86" s="39" t="s">
        <v>1535</v>
      </c>
      <c r="J86" s="38" t="s">
        <v>167</v>
      </c>
      <c r="K86" s="38">
        <v>660000</v>
      </c>
      <c r="L86" s="38" t="s">
        <v>167</v>
      </c>
      <c r="M86" s="38" t="s">
        <v>167</v>
      </c>
      <c r="N86" s="38" t="s">
        <v>167</v>
      </c>
      <c r="O86" s="38" t="s">
        <v>167</v>
      </c>
      <c r="P86" s="38" t="s">
        <v>167</v>
      </c>
    </row>
    <row r="87" spans="1:16">
      <c r="A87" s="32" t="s">
        <v>144</v>
      </c>
      <c r="B87" s="39" t="s">
        <v>1579</v>
      </c>
      <c r="C87" s="39" t="s">
        <v>1580</v>
      </c>
      <c r="D87" s="39" t="s">
        <v>1446</v>
      </c>
      <c r="E87" s="41">
        <v>1</v>
      </c>
      <c r="F87" s="40"/>
      <c r="G87" s="39" t="s">
        <v>1446</v>
      </c>
      <c r="H87" s="39" t="s">
        <v>1441</v>
      </c>
      <c r="I87" s="39" t="s">
        <v>1535</v>
      </c>
      <c r="J87" s="38" t="s">
        <v>167</v>
      </c>
      <c r="K87" s="38">
        <v>75000</v>
      </c>
      <c r="L87" s="38" t="s">
        <v>167</v>
      </c>
      <c r="M87" s="38" t="s">
        <v>167</v>
      </c>
      <c r="N87" s="38" t="s">
        <v>167</v>
      </c>
      <c r="O87" s="38" t="s">
        <v>167</v>
      </c>
      <c r="P87" s="38" t="s">
        <v>167</v>
      </c>
    </row>
    <row r="88" spans="1:16">
      <c r="A88" s="32" t="s">
        <v>144</v>
      </c>
      <c r="B88" s="39" t="s">
        <v>1579</v>
      </c>
      <c r="C88" s="39" t="s">
        <v>1580</v>
      </c>
      <c r="D88" s="39" t="s">
        <v>1454</v>
      </c>
      <c r="E88" s="41">
        <v>1</v>
      </c>
      <c r="F88" s="40"/>
      <c r="G88" s="39" t="s">
        <v>1455</v>
      </c>
      <c r="H88" s="39" t="s">
        <v>1441</v>
      </c>
      <c r="I88" s="39" t="s">
        <v>1535</v>
      </c>
      <c r="J88" s="38" t="s">
        <v>167</v>
      </c>
      <c r="K88" s="38">
        <v>75000</v>
      </c>
      <c r="L88" s="38" t="s">
        <v>167</v>
      </c>
      <c r="M88" s="38" t="s">
        <v>167</v>
      </c>
      <c r="N88" s="38" t="s">
        <v>167</v>
      </c>
      <c r="O88" s="38" t="s">
        <v>167</v>
      </c>
      <c r="P88" s="38" t="s">
        <v>167</v>
      </c>
    </row>
    <row r="89" spans="1:16">
      <c r="A89" s="32" t="s">
        <v>144</v>
      </c>
      <c r="B89" s="39" t="s">
        <v>1581</v>
      </c>
      <c r="C89" s="39" t="s">
        <v>1582</v>
      </c>
      <c r="D89" s="39" t="s">
        <v>1446</v>
      </c>
      <c r="E89" s="41">
        <v>1</v>
      </c>
      <c r="F89" s="40"/>
      <c r="G89" s="39" t="s">
        <v>1446</v>
      </c>
      <c r="H89" s="39" t="s">
        <v>1441</v>
      </c>
      <c r="I89" s="39" t="s">
        <v>1535</v>
      </c>
      <c r="J89" s="38">
        <v>28750</v>
      </c>
      <c r="K89" s="38" t="s">
        <v>167</v>
      </c>
      <c r="L89" s="38" t="s">
        <v>167</v>
      </c>
      <c r="M89" s="38" t="s">
        <v>167</v>
      </c>
      <c r="N89" s="38">
        <v>28750</v>
      </c>
      <c r="O89" s="38" t="s">
        <v>167</v>
      </c>
      <c r="P89" s="38" t="s">
        <v>167</v>
      </c>
    </row>
    <row r="90" spans="1:16" ht="27.6">
      <c r="A90" s="32" t="s">
        <v>144</v>
      </c>
      <c r="B90" s="39" t="s">
        <v>1581</v>
      </c>
      <c r="C90" s="39" t="s">
        <v>1582</v>
      </c>
      <c r="D90" s="39" t="s">
        <v>1532</v>
      </c>
      <c r="E90" s="41">
        <v>1</v>
      </c>
      <c r="F90" s="40"/>
      <c r="G90" s="39" t="s">
        <v>1455</v>
      </c>
      <c r="H90" s="39" t="s">
        <v>1441</v>
      </c>
      <c r="I90" s="39" t="s">
        <v>1516</v>
      </c>
      <c r="J90" s="38" t="s">
        <v>167</v>
      </c>
      <c r="K90" s="38" t="s">
        <v>167</v>
      </c>
      <c r="L90" s="38" t="s">
        <v>167</v>
      </c>
      <c r="M90" s="38">
        <v>100000</v>
      </c>
      <c r="N90" s="38" t="s">
        <v>167</v>
      </c>
      <c r="O90" s="38" t="s">
        <v>167</v>
      </c>
      <c r="P90" s="38" t="s">
        <v>167</v>
      </c>
    </row>
    <row r="91" spans="1:16">
      <c r="A91" s="32" t="s">
        <v>144</v>
      </c>
      <c r="B91" s="39" t="s">
        <v>1581</v>
      </c>
      <c r="C91" s="39" t="s">
        <v>1582</v>
      </c>
      <c r="D91" s="39" t="s">
        <v>1438</v>
      </c>
      <c r="E91" s="41">
        <v>1</v>
      </c>
      <c r="F91" s="40"/>
      <c r="G91" s="39" t="s">
        <v>1438</v>
      </c>
      <c r="H91" s="39" t="s">
        <v>1441</v>
      </c>
      <c r="I91" s="39" t="s">
        <v>1516</v>
      </c>
      <c r="J91" s="38" t="s">
        <v>167</v>
      </c>
      <c r="K91" s="38" t="s">
        <v>167</v>
      </c>
      <c r="L91" s="38" t="s">
        <v>167</v>
      </c>
      <c r="M91" s="38" t="s">
        <v>167</v>
      </c>
      <c r="N91" s="38">
        <v>170000</v>
      </c>
      <c r="O91" s="38" t="s">
        <v>167</v>
      </c>
      <c r="P91" s="38" t="s">
        <v>167</v>
      </c>
    </row>
    <row r="92" spans="1:16">
      <c r="A92" s="32" t="s">
        <v>144</v>
      </c>
      <c r="B92" s="39" t="s">
        <v>1583</v>
      </c>
      <c r="C92" s="39" t="s">
        <v>1584</v>
      </c>
      <c r="D92" s="39" t="s">
        <v>1446</v>
      </c>
      <c r="E92" s="41">
        <v>1</v>
      </c>
      <c r="F92" s="40"/>
      <c r="G92" s="39" t="s">
        <v>1446</v>
      </c>
      <c r="H92" s="39" t="s">
        <v>1441</v>
      </c>
      <c r="I92" s="39" t="s">
        <v>1535</v>
      </c>
      <c r="J92" s="38" t="s">
        <v>167</v>
      </c>
      <c r="K92" s="38">
        <v>100000</v>
      </c>
      <c r="L92" s="38" t="s">
        <v>167</v>
      </c>
      <c r="M92" s="38" t="s">
        <v>167</v>
      </c>
      <c r="N92" s="38" t="s">
        <v>167</v>
      </c>
      <c r="O92" s="38" t="s">
        <v>167</v>
      </c>
      <c r="P92" s="38" t="s">
        <v>167</v>
      </c>
    </row>
    <row r="93" spans="1:16">
      <c r="A93" s="32" t="s">
        <v>144</v>
      </c>
      <c r="B93" s="39" t="s">
        <v>1585</v>
      </c>
      <c r="C93" s="39" t="s">
        <v>1586</v>
      </c>
      <c r="D93" s="39" t="s">
        <v>1446</v>
      </c>
      <c r="E93" s="41">
        <v>1</v>
      </c>
      <c r="F93" s="40"/>
      <c r="G93" s="39" t="s">
        <v>1446</v>
      </c>
      <c r="H93" s="39" t="s">
        <v>1441</v>
      </c>
      <c r="I93" s="39" t="s">
        <v>1516</v>
      </c>
      <c r="J93" s="38"/>
      <c r="K93" s="38" t="s">
        <v>167</v>
      </c>
      <c r="L93" s="38" t="s">
        <v>167</v>
      </c>
      <c r="M93" s="38" t="s">
        <v>167</v>
      </c>
      <c r="N93" s="38">
        <v>27500</v>
      </c>
      <c r="O93" s="38" t="s">
        <v>167</v>
      </c>
      <c r="P93" s="38" t="s">
        <v>167</v>
      </c>
    </row>
    <row r="94" spans="1:16" ht="27.6">
      <c r="A94" s="32" t="s">
        <v>144</v>
      </c>
      <c r="B94" s="39" t="s">
        <v>151</v>
      </c>
      <c r="C94" s="39" t="s">
        <v>142</v>
      </c>
      <c r="D94" s="39" t="s">
        <v>1445</v>
      </c>
      <c r="E94" s="41">
        <v>1</v>
      </c>
      <c r="F94" s="40"/>
      <c r="G94" s="39" t="s">
        <v>1446</v>
      </c>
      <c r="H94" s="39" t="s">
        <v>1441</v>
      </c>
      <c r="I94" s="39" t="s">
        <v>1587</v>
      </c>
      <c r="J94" s="38" t="s">
        <v>167</v>
      </c>
      <c r="K94" s="38"/>
      <c r="L94" s="38">
        <v>10000</v>
      </c>
      <c r="M94" s="38" t="s">
        <v>167</v>
      </c>
      <c r="N94" s="38" t="s">
        <v>167</v>
      </c>
      <c r="O94" s="38" t="s">
        <v>167</v>
      </c>
      <c r="P94" s="38" t="s">
        <v>167</v>
      </c>
    </row>
    <row r="95" spans="1:16" ht="27.6">
      <c r="A95" s="32" t="s">
        <v>144</v>
      </c>
      <c r="B95" s="39" t="s">
        <v>669</v>
      </c>
      <c r="C95" s="39" t="s">
        <v>1588</v>
      </c>
      <c r="D95" s="39" t="s">
        <v>1446</v>
      </c>
      <c r="E95" s="41">
        <v>1</v>
      </c>
      <c r="F95" s="40"/>
      <c r="G95" s="39" t="s">
        <v>1446</v>
      </c>
      <c r="H95" s="39" t="s">
        <v>1441</v>
      </c>
      <c r="I95" s="39" t="s">
        <v>1589</v>
      </c>
      <c r="J95" s="38">
        <v>80000</v>
      </c>
      <c r="K95" s="38"/>
      <c r="L95" s="38" t="s">
        <v>167</v>
      </c>
      <c r="M95" s="38" t="s">
        <v>167</v>
      </c>
      <c r="N95" s="38" t="s">
        <v>167</v>
      </c>
      <c r="O95" s="38" t="s">
        <v>167</v>
      </c>
      <c r="P95" s="38" t="s">
        <v>167</v>
      </c>
    </row>
    <row r="96" spans="1:16">
      <c r="A96" s="32" t="s">
        <v>144</v>
      </c>
      <c r="B96" s="39" t="s">
        <v>1590</v>
      </c>
      <c r="C96" s="39" t="s">
        <v>1591</v>
      </c>
      <c r="D96" s="39" t="s">
        <v>1446</v>
      </c>
      <c r="E96" s="41">
        <v>1</v>
      </c>
      <c r="F96" s="40"/>
      <c r="G96" s="39" t="s">
        <v>1446</v>
      </c>
      <c r="H96" s="39" t="s">
        <v>1441</v>
      </c>
      <c r="I96" s="39" t="s">
        <v>1516</v>
      </c>
      <c r="J96" s="38" t="s">
        <v>167</v>
      </c>
      <c r="K96" s="38">
        <v>15000</v>
      </c>
      <c r="L96" s="38" t="s">
        <v>167</v>
      </c>
      <c r="M96" s="38" t="s">
        <v>167</v>
      </c>
      <c r="N96" s="38" t="s">
        <v>167</v>
      </c>
      <c r="O96" s="38" t="s">
        <v>167</v>
      </c>
      <c r="P96" s="38" t="s">
        <v>167</v>
      </c>
    </row>
    <row r="97" spans="1:16" ht="27.6">
      <c r="A97" s="32" t="s">
        <v>144</v>
      </c>
      <c r="B97" s="39" t="s">
        <v>1590</v>
      </c>
      <c r="C97" s="39" t="s">
        <v>1591</v>
      </c>
      <c r="D97" s="39" t="s">
        <v>1532</v>
      </c>
      <c r="E97" s="41">
        <v>1</v>
      </c>
      <c r="F97" s="40"/>
      <c r="G97" s="39" t="s">
        <v>1455</v>
      </c>
      <c r="H97" s="39" t="s">
        <v>1441</v>
      </c>
      <c r="I97" s="39" t="s">
        <v>1516</v>
      </c>
      <c r="J97" s="38" t="s">
        <v>167</v>
      </c>
      <c r="K97" s="38">
        <v>15000</v>
      </c>
      <c r="L97" s="38" t="s">
        <v>167</v>
      </c>
      <c r="M97" s="38" t="s">
        <v>167</v>
      </c>
      <c r="N97" s="38" t="s">
        <v>167</v>
      </c>
      <c r="O97" s="38" t="s">
        <v>167</v>
      </c>
      <c r="P97" s="38" t="s">
        <v>167</v>
      </c>
    </row>
    <row r="98" spans="1:16" s="42" customFormat="1">
      <c r="A98" s="46"/>
      <c r="B98" s="37"/>
      <c r="C98" s="37"/>
      <c r="D98" s="37"/>
      <c r="E98" s="45"/>
      <c r="F98" s="44"/>
      <c r="G98" s="37"/>
      <c r="H98" s="37"/>
      <c r="I98" s="37"/>
      <c r="J98" s="43"/>
      <c r="K98" s="43"/>
      <c r="L98" s="43"/>
      <c r="M98" s="43"/>
      <c r="N98" s="43"/>
      <c r="O98" s="43"/>
      <c r="P98" s="43"/>
    </row>
    <row r="99" spans="1:16" ht="41.45">
      <c r="A99" s="32" t="s">
        <v>1411</v>
      </c>
      <c r="B99" s="39" t="s">
        <v>1592</v>
      </c>
      <c r="C99" s="39" t="s">
        <v>1593</v>
      </c>
      <c r="D99" s="39" t="s">
        <v>1594</v>
      </c>
      <c r="E99" s="41">
        <v>1</v>
      </c>
      <c r="F99" s="40"/>
      <c r="G99" s="39" t="s">
        <v>1464</v>
      </c>
      <c r="H99" s="39" t="s">
        <v>1441</v>
      </c>
      <c r="I99" s="39" t="s">
        <v>1595</v>
      </c>
      <c r="J99" s="38" t="s">
        <v>167</v>
      </c>
      <c r="K99" s="38"/>
      <c r="L99" s="38">
        <v>250000</v>
      </c>
      <c r="M99" s="38" t="s">
        <v>167</v>
      </c>
      <c r="N99" s="38" t="s">
        <v>167</v>
      </c>
      <c r="O99" s="38" t="s">
        <v>167</v>
      </c>
      <c r="P99" s="38" t="s">
        <v>167</v>
      </c>
    </row>
    <row r="100" spans="1:16" ht="41.45">
      <c r="A100" s="32" t="s">
        <v>1411</v>
      </c>
      <c r="B100" s="39" t="s">
        <v>216</v>
      </c>
      <c r="C100" s="39" t="s">
        <v>213</v>
      </c>
      <c r="D100" s="39" t="s">
        <v>1596</v>
      </c>
      <c r="E100" s="41">
        <v>1</v>
      </c>
      <c r="F100" s="40"/>
      <c r="G100" s="39" t="s">
        <v>1438</v>
      </c>
      <c r="H100" s="39" t="s">
        <v>1441</v>
      </c>
      <c r="I100" s="39" t="s">
        <v>1597</v>
      </c>
      <c r="J100" s="38" t="s">
        <v>167</v>
      </c>
      <c r="K100" s="38" t="s">
        <v>167</v>
      </c>
      <c r="L100" s="38" t="s">
        <v>167</v>
      </c>
      <c r="M100" s="38">
        <v>68250</v>
      </c>
      <c r="N100" s="38" t="s">
        <v>167</v>
      </c>
      <c r="O100" s="38" t="s">
        <v>167</v>
      </c>
      <c r="P100" s="38" t="s">
        <v>167</v>
      </c>
    </row>
    <row r="101" spans="1:16">
      <c r="A101" s="32" t="s">
        <v>1411</v>
      </c>
      <c r="B101" s="39" t="s">
        <v>1598</v>
      </c>
      <c r="C101" s="39" t="s">
        <v>204</v>
      </c>
      <c r="D101" s="39" t="s">
        <v>1446</v>
      </c>
      <c r="E101" s="41">
        <v>1</v>
      </c>
      <c r="F101" s="40"/>
      <c r="G101" s="39" t="s">
        <v>1446</v>
      </c>
      <c r="H101" s="39" t="s">
        <v>1441</v>
      </c>
      <c r="I101" s="39" t="s">
        <v>1599</v>
      </c>
      <c r="J101" s="38">
        <v>120000</v>
      </c>
      <c r="K101" s="38">
        <v>60000</v>
      </c>
      <c r="L101" s="38">
        <v>60000</v>
      </c>
      <c r="M101" s="38">
        <v>60000</v>
      </c>
      <c r="N101" s="38">
        <v>60000</v>
      </c>
      <c r="O101" s="38">
        <v>60000</v>
      </c>
      <c r="P101" s="38" t="s">
        <v>167</v>
      </c>
    </row>
    <row r="102" spans="1:16" s="42" customFormat="1">
      <c r="A102" s="46"/>
      <c r="B102" s="37"/>
      <c r="C102" s="37"/>
      <c r="D102" s="37"/>
      <c r="E102" s="45"/>
      <c r="F102" s="44"/>
      <c r="G102" s="37"/>
      <c r="H102" s="37"/>
      <c r="I102" s="37"/>
      <c r="J102" s="43"/>
      <c r="K102" s="43"/>
      <c r="L102" s="43"/>
      <c r="M102" s="43"/>
      <c r="N102" s="43"/>
      <c r="O102" s="43"/>
      <c r="P102" s="43"/>
    </row>
    <row r="103" spans="1:16" ht="27.6">
      <c r="A103" s="32" t="s">
        <v>1410</v>
      </c>
      <c r="B103" s="39" t="s">
        <v>1600</v>
      </c>
      <c r="C103" s="39" t="s">
        <v>1601</v>
      </c>
      <c r="D103" s="39" t="s">
        <v>1454</v>
      </c>
      <c r="E103" s="41">
        <v>1</v>
      </c>
      <c r="F103" s="40"/>
      <c r="G103" s="39" t="s">
        <v>1602</v>
      </c>
      <c r="H103" s="39" t="s">
        <v>1441</v>
      </c>
      <c r="I103" s="39" t="s">
        <v>1603</v>
      </c>
      <c r="J103" s="38" t="s">
        <v>167</v>
      </c>
      <c r="K103" s="38" t="s">
        <v>167</v>
      </c>
      <c r="L103" s="38">
        <v>487500</v>
      </c>
      <c r="M103" s="38" t="s">
        <v>167</v>
      </c>
      <c r="N103" s="38" t="s">
        <v>167</v>
      </c>
      <c r="O103" s="38" t="s">
        <v>167</v>
      </c>
      <c r="P103" s="38" t="s">
        <v>167</v>
      </c>
    </row>
    <row r="104" spans="1:16">
      <c r="A104" s="32" t="s">
        <v>1410</v>
      </c>
      <c r="B104" s="39" t="s">
        <v>1600</v>
      </c>
      <c r="C104" s="39" t="s">
        <v>1601</v>
      </c>
      <c r="D104" s="39" t="s">
        <v>1504</v>
      </c>
      <c r="E104" s="41">
        <v>1</v>
      </c>
      <c r="F104" s="40"/>
      <c r="G104" s="39" t="s">
        <v>1464</v>
      </c>
      <c r="H104" s="39" t="s">
        <v>1441</v>
      </c>
      <c r="I104" s="39" t="s">
        <v>1570</v>
      </c>
      <c r="J104" s="38" t="s">
        <v>167</v>
      </c>
      <c r="K104" s="38" t="s">
        <v>167</v>
      </c>
      <c r="L104" s="38">
        <v>212500</v>
      </c>
      <c r="M104" s="38" t="s">
        <v>167</v>
      </c>
      <c r="N104" s="38" t="s">
        <v>167</v>
      </c>
      <c r="O104" s="38" t="s">
        <v>167</v>
      </c>
      <c r="P104" s="38" t="s">
        <v>167</v>
      </c>
    </row>
    <row r="105" spans="1:16">
      <c r="A105" s="32" t="s">
        <v>1410</v>
      </c>
      <c r="B105" s="39" t="s">
        <v>1600</v>
      </c>
      <c r="C105" s="39" t="s">
        <v>1601</v>
      </c>
      <c r="D105" s="39" t="s">
        <v>1438</v>
      </c>
      <c r="E105" s="41">
        <v>1</v>
      </c>
      <c r="F105" s="40"/>
      <c r="G105" s="39" t="s">
        <v>1438</v>
      </c>
      <c r="H105" s="39" t="s">
        <v>1441</v>
      </c>
      <c r="I105" s="39" t="s">
        <v>1604</v>
      </c>
      <c r="J105" s="38" t="s">
        <v>167</v>
      </c>
      <c r="K105" s="38">
        <v>500000</v>
      </c>
      <c r="L105" s="38">
        <v>135000</v>
      </c>
      <c r="M105" s="38" t="s">
        <v>167</v>
      </c>
      <c r="N105" s="38" t="s">
        <v>167</v>
      </c>
      <c r="O105" s="38" t="s">
        <v>167</v>
      </c>
      <c r="P105" s="38" t="s">
        <v>167</v>
      </c>
    </row>
    <row r="106" spans="1:16">
      <c r="A106" s="32" t="s">
        <v>1410</v>
      </c>
      <c r="B106" s="39" t="s">
        <v>1600</v>
      </c>
      <c r="C106" s="39" t="s">
        <v>1601</v>
      </c>
      <c r="D106" s="39" t="s">
        <v>1464</v>
      </c>
      <c r="E106" s="41">
        <v>1</v>
      </c>
      <c r="F106" s="40"/>
      <c r="G106" s="39" t="s">
        <v>1464</v>
      </c>
      <c r="H106" s="39" t="s">
        <v>1441</v>
      </c>
      <c r="I106" s="39" t="s">
        <v>1605</v>
      </c>
      <c r="J106" s="38" t="s">
        <v>167</v>
      </c>
      <c r="K106" s="38" t="s">
        <v>167</v>
      </c>
      <c r="L106" s="38">
        <v>37763</v>
      </c>
      <c r="M106" s="38">
        <v>25175</v>
      </c>
      <c r="N106" s="38">
        <v>37763</v>
      </c>
      <c r="O106" s="38" t="s">
        <v>167</v>
      </c>
      <c r="P106" s="38" t="s">
        <v>167</v>
      </c>
    </row>
    <row r="107" spans="1:16">
      <c r="A107" s="32" t="s">
        <v>1410</v>
      </c>
      <c r="B107" s="39" t="s">
        <v>179</v>
      </c>
      <c r="C107" s="39" t="s">
        <v>1606</v>
      </c>
      <c r="D107" s="39" t="s">
        <v>1438</v>
      </c>
      <c r="E107" s="41">
        <v>1</v>
      </c>
      <c r="F107" s="40"/>
      <c r="G107" s="39" t="s">
        <v>1438</v>
      </c>
      <c r="H107" s="39" t="s">
        <v>1441</v>
      </c>
      <c r="I107" s="39" t="s">
        <v>1438</v>
      </c>
      <c r="J107" s="38" t="s">
        <v>167</v>
      </c>
      <c r="K107" s="38" t="s">
        <v>167</v>
      </c>
      <c r="L107" s="38" t="s">
        <v>167</v>
      </c>
      <c r="M107" s="38" t="s">
        <v>167</v>
      </c>
      <c r="N107" s="38">
        <v>182706</v>
      </c>
      <c r="O107" s="38" t="s">
        <v>167</v>
      </c>
      <c r="P107" s="38" t="s">
        <v>167</v>
      </c>
    </row>
    <row r="108" spans="1:16">
      <c r="A108" s="32" t="s">
        <v>1410</v>
      </c>
      <c r="B108" s="39" t="s">
        <v>272</v>
      </c>
      <c r="C108" s="39" t="s">
        <v>270</v>
      </c>
      <c r="D108" s="39" t="s">
        <v>1468</v>
      </c>
      <c r="E108" s="41">
        <v>1</v>
      </c>
      <c r="F108" s="40"/>
      <c r="G108" s="39" t="s">
        <v>1464</v>
      </c>
      <c r="H108" s="39" t="s">
        <v>1441</v>
      </c>
      <c r="I108" s="39" t="s">
        <v>1607</v>
      </c>
      <c r="J108" s="38" t="s">
        <v>167</v>
      </c>
      <c r="K108" s="38" t="s">
        <v>167</v>
      </c>
      <c r="L108" s="38">
        <v>367056</v>
      </c>
      <c r="M108" s="38" t="s">
        <v>167</v>
      </c>
      <c r="N108" s="38" t="s">
        <v>167</v>
      </c>
      <c r="O108" s="38" t="s">
        <v>167</v>
      </c>
      <c r="P108" s="38" t="s">
        <v>167</v>
      </c>
    </row>
    <row r="109" spans="1:16" ht="41.45">
      <c r="A109" s="32" t="s">
        <v>1410</v>
      </c>
      <c r="B109" s="39" t="s">
        <v>272</v>
      </c>
      <c r="C109" s="39" t="s">
        <v>270</v>
      </c>
      <c r="D109" s="39" t="s">
        <v>1608</v>
      </c>
      <c r="E109" s="41">
        <v>1</v>
      </c>
      <c r="F109" s="40"/>
      <c r="G109" s="39" t="s">
        <v>1438</v>
      </c>
      <c r="H109" s="39" t="s">
        <v>1441</v>
      </c>
      <c r="I109" s="39" t="s">
        <v>1609</v>
      </c>
      <c r="J109" s="38" t="s">
        <v>167</v>
      </c>
      <c r="K109" s="38" t="s">
        <v>167</v>
      </c>
      <c r="L109" s="38">
        <v>632944</v>
      </c>
      <c r="M109" s="38" t="s">
        <v>167</v>
      </c>
      <c r="N109" s="38" t="s">
        <v>167</v>
      </c>
      <c r="O109" s="38" t="s">
        <v>167</v>
      </c>
      <c r="P109" s="38" t="s">
        <v>167</v>
      </c>
    </row>
    <row r="110" spans="1:16" ht="27.6">
      <c r="A110" s="32" t="s">
        <v>1410</v>
      </c>
      <c r="B110" s="39" t="s">
        <v>1610</v>
      </c>
      <c r="C110" s="39" t="s">
        <v>1611</v>
      </c>
      <c r="D110" s="39" t="s">
        <v>1612</v>
      </c>
      <c r="E110" s="41">
        <v>1</v>
      </c>
      <c r="F110" s="40"/>
      <c r="G110" s="39" t="s">
        <v>1455</v>
      </c>
      <c r="H110" s="39" t="s">
        <v>1441</v>
      </c>
      <c r="I110" s="39" t="s">
        <v>1613</v>
      </c>
      <c r="J110" s="38" t="s">
        <v>167</v>
      </c>
      <c r="K110" s="38" t="s">
        <v>167</v>
      </c>
      <c r="L110" s="38">
        <v>30000</v>
      </c>
      <c r="M110" s="38" t="s">
        <v>167</v>
      </c>
      <c r="N110" s="38" t="s">
        <v>167</v>
      </c>
      <c r="O110" s="38" t="s">
        <v>167</v>
      </c>
      <c r="P110" s="38" t="s">
        <v>167</v>
      </c>
    </row>
    <row r="111" spans="1:16" ht="41.45">
      <c r="A111" s="32" t="s">
        <v>1410</v>
      </c>
      <c r="B111" s="39" t="s">
        <v>1610</v>
      </c>
      <c r="C111" s="39" t="s">
        <v>1611</v>
      </c>
      <c r="D111" s="39" t="s">
        <v>1614</v>
      </c>
      <c r="E111" s="41">
        <v>1</v>
      </c>
      <c r="F111" s="40"/>
      <c r="G111" s="39" t="s">
        <v>1464</v>
      </c>
      <c r="H111" s="39" t="s">
        <v>1441</v>
      </c>
      <c r="I111" s="39" t="s">
        <v>1615</v>
      </c>
      <c r="J111" s="38">
        <v>36500</v>
      </c>
      <c r="K111" s="38" t="s">
        <v>167</v>
      </c>
      <c r="L111" s="38" t="s">
        <v>167</v>
      </c>
      <c r="M111" s="38" t="s">
        <v>167</v>
      </c>
      <c r="N111" s="38" t="s">
        <v>167</v>
      </c>
      <c r="O111" s="38" t="s">
        <v>167</v>
      </c>
      <c r="P111" s="38" t="s">
        <v>167</v>
      </c>
    </row>
    <row r="112" spans="1:16" ht="27.6">
      <c r="A112" s="32" t="s">
        <v>1410</v>
      </c>
      <c r="B112" s="39" t="s">
        <v>1610</v>
      </c>
      <c r="C112" s="39" t="s">
        <v>1611</v>
      </c>
      <c r="D112" s="39" t="s">
        <v>1468</v>
      </c>
      <c r="E112" s="41">
        <v>1</v>
      </c>
      <c r="F112" s="40"/>
      <c r="G112" s="39" t="s">
        <v>1464</v>
      </c>
      <c r="H112" s="39" t="s">
        <v>1441</v>
      </c>
      <c r="I112" s="39" t="s">
        <v>1616</v>
      </c>
      <c r="J112" s="38" t="s">
        <v>167</v>
      </c>
      <c r="K112" s="38">
        <v>33900</v>
      </c>
      <c r="L112" s="38" t="s">
        <v>167</v>
      </c>
      <c r="M112" s="38">
        <v>52500</v>
      </c>
      <c r="N112" s="38" t="s">
        <v>167</v>
      </c>
      <c r="O112" s="38" t="s">
        <v>167</v>
      </c>
      <c r="P112" s="38" t="s">
        <v>167</v>
      </c>
    </row>
    <row r="113" spans="1:16" s="42" customFormat="1">
      <c r="A113" s="46"/>
      <c r="B113" s="37"/>
      <c r="C113" s="37"/>
      <c r="D113" s="37"/>
      <c r="E113" s="45"/>
      <c r="F113" s="44"/>
      <c r="G113" s="37"/>
      <c r="H113" s="37"/>
      <c r="I113" s="37"/>
      <c r="J113" s="43"/>
      <c r="K113" s="43"/>
      <c r="L113" s="43"/>
      <c r="M113" s="43"/>
      <c r="N113" s="43"/>
      <c r="O113" s="43"/>
      <c r="P113" s="43"/>
    </row>
    <row r="114" spans="1:16" ht="41.45">
      <c r="A114" s="32" t="s">
        <v>1412</v>
      </c>
      <c r="B114" s="39" t="s">
        <v>1617</v>
      </c>
      <c r="C114" s="39" t="s">
        <v>1618</v>
      </c>
      <c r="D114" s="39" t="s">
        <v>1619</v>
      </c>
      <c r="E114" s="41">
        <v>1</v>
      </c>
      <c r="F114" s="40"/>
      <c r="G114" s="39" t="s">
        <v>1464</v>
      </c>
      <c r="H114" s="39" t="s">
        <v>1441</v>
      </c>
      <c r="I114" s="39" t="s">
        <v>1620</v>
      </c>
      <c r="J114" s="38">
        <v>30000</v>
      </c>
      <c r="K114" s="38" t="s">
        <v>167</v>
      </c>
      <c r="L114" s="38" t="s">
        <v>167</v>
      </c>
      <c r="M114" s="38" t="s">
        <v>167</v>
      </c>
      <c r="N114" s="38" t="s">
        <v>167</v>
      </c>
      <c r="O114" s="38" t="s">
        <v>167</v>
      </c>
      <c r="P114" s="38" t="s">
        <v>167</v>
      </c>
    </row>
    <row r="115" spans="1:16" ht="41.45">
      <c r="A115" s="32" t="s">
        <v>1412</v>
      </c>
      <c r="B115" s="39" t="s">
        <v>1617</v>
      </c>
      <c r="C115" s="39" t="s">
        <v>1618</v>
      </c>
      <c r="D115" s="39" t="s">
        <v>1473</v>
      </c>
      <c r="E115" s="41">
        <v>1</v>
      </c>
      <c r="F115" s="40"/>
      <c r="G115" s="39" t="s">
        <v>1455</v>
      </c>
      <c r="H115" s="39" t="s">
        <v>1441</v>
      </c>
      <c r="I115" s="39" t="s">
        <v>1621</v>
      </c>
      <c r="J115" s="38"/>
      <c r="K115" s="38" t="s">
        <v>167</v>
      </c>
      <c r="L115" s="38">
        <v>20000</v>
      </c>
      <c r="M115" s="38" t="s">
        <v>167</v>
      </c>
      <c r="N115" s="38" t="s">
        <v>167</v>
      </c>
      <c r="O115" s="38" t="s">
        <v>167</v>
      </c>
      <c r="P115" s="38" t="s">
        <v>167</v>
      </c>
    </row>
    <row r="116" spans="1:16">
      <c r="A116" s="32" t="s">
        <v>1412</v>
      </c>
      <c r="B116" s="39" t="s">
        <v>1622</v>
      </c>
      <c r="C116" s="39" t="s">
        <v>1623</v>
      </c>
      <c r="D116" s="39" t="s">
        <v>1446</v>
      </c>
      <c r="E116" s="41">
        <v>1</v>
      </c>
      <c r="F116" s="40"/>
      <c r="G116" s="39" t="s">
        <v>1446</v>
      </c>
      <c r="H116" s="39" t="s">
        <v>1441</v>
      </c>
      <c r="I116" s="39" t="s">
        <v>1624</v>
      </c>
      <c r="J116" s="38"/>
      <c r="K116" s="38" t="s">
        <v>167</v>
      </c>
      <c r="L116" s="38">
        <v>10000</v>
      </c>
      <c r="M116" s="38" t="s">
        <v>167</v>
      </c>
      <c r="N116" s="38" t="s">
        <v>167</v>
      </c>
      <c r="O116" s="38" t="s">
        <v>167</v>
      </c>
      <c r="P116" s="38" t="s">
        <v>167</v>
      </c>
    </row>
    <row r="117" spans="1:16" ht="27.6">
      <c r="A117" s="32" t="s">
        <v>1412</v>
      </c>
      <c r="B117" s="39" t="s">
        <v>1625</v>
      </c>
      <c r="C117" s="39" t="s">
        <v>1626</v>
      </c>
      <c r="D117" s="39" t="s">
        <v>1446</v>
      </c>
      <c r="E117" s="41">
        <v>1</v>
      </c>
      <c r="F117" s="40"/>
      <c r="G117" s="39" t="s">
        <v>1446</v>
      </c>
      <c r="H117" s="39" t="s">
        <v>1441</v>
      </c>
      <c r="I117" s="39" t="s">
        <v>1627</v>
      </c>
      <c r="J117" s="38"/>
      <c r="K117" s="38" t="s">
        <v>167</v>
      </c>
      <c r="L117" s="38">
        <v>5000</v>
      </c>
      <c r="M117" s="38">
        <v>5000</v>
      </c>
      <c r="N117" s="38">
        <v>5000</v>
      </c>
      <c r="O117" s="38" t="s">
        <v>167</v>
      </c>
      <c r="P117" s="38" t="s">
        <v>167</v>
      </c>
    </row>
    <row r="118" spans="1:16" ht="27.6">
      <c r="A118" s="32" t="s">
        <v>1412</v>
      </c>
      <c r="B118" s="39" t="s">
        <v>1625</v>
      </c>
      <c r="C118" s="39" t="s">
        <v>1626</v>
      </c>
      <c r="D118" s="39" t="s">
        <v>1473</v>
      </c>
      <c r="E118" s="41">
        <v>1</v>
      </c>
      <c r="F118" s="40"/>
      <c r="G118" s="39" t="s">
        <v>1602</v>
      </c>
      <c r="H118" s="39" t="s">
        <v>1441</v>
      </c>
      <c r="I118" s="39" t="s">
        <v>1628</v>
      </c>
      <c r="J118" s="38">
        <v>30000</v>
      </c>
      <c r="K118" s="38">
        <v>30000</v>
      </c>
      <c r="L118" s="38" t="s">
        <v>167</v>
      </c>
      <c r="M118" s="38" t="s">
        <v>167</v>
      </c>
      <c r="N118" s="38" t="s">
        <v>167</v>
      </c>
      <c r="O118" s="38" t="s">
        <v>167</v>
      </c>
      <c r="P118" s="38" t="s">
        <v>167</v>
      </c>
    </row>
    <row r="119" spans="1:16">
      <c r="A119" s="32" t="s">
        <v>1412</v>
      </c>
      <c r="B119" s="39" t="s">
        <v>1625</v>
      </c>
      <c r="C119" s="39" t="s">
        <v>1626</v>
      </c>
      <c r="D119" s="39" t="s">
        <v>1438</v>
      </c>
      <c r="E119" s="41">
        <v>1</v>
      </c>
      <c r="F119" s="40"/>
      <c r="G119" s="39" t="s">
        <v>1438</v>
      </c>
      <c r="H119" s="39" t="s">
        <v>1441</v>
      </c>
      <c r="I119" s="39" t="s">
        <v>1448</v>
      </c>
      <c r="J119" s="38" t="s">
        <v>167</v>
      </c>
      <c r="K119" s="38">
        <v>350000</v>
      </c>
      <c r="L119" s="38" t="s">
        <v>167</v>
      </c>
      <c r="M119" s="38" t="s">
        <v>167</v>
      </c>
      <c r="N119" s="38" t="s">
        <v>167</v>
      </c>
      <c r="O119" s="38" t="s">
        <v>167</v>
      </c>
      <c r="P119" s="38" t="s">
        <v>167</v>
      </c>
    </row>
    <row r="120" spans="1:16" ht="27.6">
      <c r="A120" s="32" t="s">
        <v>1412</v>
      </c>
      <c r="B120" s="39" t="s">
        <v>1629</v>
      </c>
      <c r="C120" s="39" t="s">
        <v>1630</v>
      </c>
      <c r="D120" s="39" t="s">
        <v>1446</v>
      </c>
      <c r="E120" s="41">
        <v>1</v>
      </c>
      <c r="F120" s="40"/>
      <c r="G120" s="39" t="s">
        <v>1446</v>
      </c>
      <c r="H120" s="39" t="s">
        <v>1441</v>
      </c>
      <c r="I120" s="39" t="s">
        <v>1631</v>
      </c>
      <c r="J120" s="38">
        <v>86500</v>
      </c>
      <c r="K120" s="38" t="s">
        <v>167</v>
      </c>
      <c r="L120" s="38" t="s">
        <v>167</v>
      </c>
      <c r="M120" s="38">
        <v>118000</v>
      </c>
      <c r="N120" s="38" t="s">
        <v>167</v>
      </c>
      <c r="O120" s="38" t="s">
        <v>167</v>
      </c>
      <c r="P120" s="38" t="s">
        <v>167</v>
      </c>
    </row>
    <row r="121" spans="1:16" ht="41.45">
      <c r="A121" s="32" t="s">
        <v>1412</v>
      </c>
      <c r="B121" s="39" t="s">
        <v>1629</v>
      </c>
      <c r="C121" s="39" t="s">
        <v>1630</v>
      </c>
      <c r="D121" s="39" t="s">
        <v>1438</v>
      </c>
      <c r="E121" s="41">
        <v>1</v>
      </c>
      <c r="F121" s="40"/>
      <c r="G121" s="39" t="s">
        <v>1438</v>
      </c>
      <c r="H121" s="39" t="s">
        <v>1441</v>
      </c>
      <c r="I121" s="39" t="s">
        <v>1632</v>
      </c>
      <c r="J121" s="38">
        <v>602800</v>
      </c>
      <c r="K121" s="38"/>
      <c r="L121" s="38" t="s">
        <v>167</v>
      </c>
      <c r="M121" s="38" t="s">
        <v>167</v>
      </c>
      <c r="N121" s="38" t="s">
        <v>167</v>
      </c>
      <c r="O121" s="38" t="s">
        <v>167</v>
      </c>
      <c r="P121" s="38" t="s">
        <v>167</v>
      </c>
    </row>
    <row r="122" spans="1:16">
      <c r="A122" s="32" t="s">
        <v>1412</v>
      </c>
      <c r="B122" s="39" t="s">
        <v>497</v>
      </c>
      <c r="C122" s="39" t="s">
        <v>500</v>
      </c>
      <c r="D122" s="39" t="s">
        <v>1445</v>
      </c>
      <c r="E122" s="41">
        <v>1</v>
      </c>
      <c r="F122" s="40"/>
      <c r="G122" s="39" t="s">
        <v>1446</v>
      </c>
      <c r="H122" s="39" t="s">
        <v>1441</v>
      </c>
      <c r="I122" s="39" t="s">
        <v>1570</v>
      </c>
      <c r="J122" s="38">
        <v>10000</v>
      </c>
      <c r="K122" s="38">
        <v>10000</v>
      </c>
      <c r="L122" s="38">
        <v>10000</v>
      </c>
      <c r="M122" s="38">
        <v>10000</v>
      </c>
      <c r="N122" s="38">
        <v>10000</v>
      </c>
      <c r="O122" s="38">
        <v>10000</v>
      </c>
      <c r="P122" s="38">
        <v>10000</v>
      </c>
    </row>
    <row r="123" spans="1:16" ht="27.6">
      <c r="A123" s="32" t="s">
        <v>1412</v>
      </c>
      <c r="B123" s="39" t="s">
        <v>497</v>
      </c>
      <c r="C123" s="39" t="s">
        <v>500</v>
      </c>
      <c r="D123" s="39" t="s">
        <v>1633</v>
      </c>
      <c r="E123" s="41">
        <v>1</v>
      </c>
      <c r="F123" s="40"/>
      <c r="G123" s="39" t="s">
        <v>1460</v>
      </c>
      <c r="H123" s="39" t="s">
        <v>1441</v>
      </c>
      <c r="I123" s="39" t="s">
        <v>1570</v>
      </c>
      <c r="J123" s="38">
        <v>71000</v>
      </c>
      <c r="K123" s="38" t="s">
        <v>167</v>
      </c>
      <c r="L123" s="38" t="s">
        <v>167</v>
      </c>
      <c r="M123" s="38" t="s">
        <v>167</v>
      </c>
      <c r="N123" s="38" t="s">
        <v>167</v>
      </c>
      <c r="O123" s="38" t="s">
        <v>167</v>
      </c>
      <c r="P123" s="38" t="s">
        <v>167</v>
      </c>
    </row>
    <row r="124" spans="1:16">
      <c r="A124" s="32" t="s">
        <v>1412</v>
      </c>
      <c r="B124" s="39" t="s">
        <v>373</v>
      </c>
      <c r="C124" s="39" t="s">
        <v>1634</v>
      </c>
      <c r="D124" s="39" t="s">
        <v>1508</v>
      </c>
      <c r="E124" s="41">
        <v>1</v>
      </c>
      <c r="F124" s="40"/>
      <c r="G124" s="39" t="s">
        <v>1438</v>
      </c>
      <c r="H124" s="39" t="s">
        <v>1441</v>
      </c>
      <c r="I124" s="39" t="s">
        <v>1635</v>
      </c>
      <c r="J124" s="38" t="s">
        <v>167</v>
      </c>
      <c r="K124" s="38">
        <v>226600</v>
      </c>
      <c r="L124" s="38" t="s">
        <v>167</v>
      </c>
      <c r="M124" s="38">
        <v>182000</v>
      </c>
      <c r="N124" s="38" t="s">
        <v>167</v>
      </c>
      <c r="O124" s="38" t="s">
        <v>167</v>
      </c>
      <c r="P124" s="38" t="s">
        <v>167</v>
      </c>
    </row>
    <row r="125" spans="1:16" ht="41.45">
      <c r="A125" s="32" t="s">
        <v>1412</v>
      </c>
      <c r="B125" s="39" t="s">
        <v>373</v>
      </c>
      <c r="C125" s="39" t="s">
        <v>1634</v>
      </c>
      <c r="D125" s="39" t="s">
        <v>1633</v>
      </c>
      <c r="E125" s="41">
        <v>1</v>
      </c>
      <c r="F125" s="40"/>
      <c r="G125" s="39" t="s">
        <v>1460</v>
      </c>
      <c r="H125" s="39" t="s">
        <v>1441</v>
      </c>
      <c r="I125" s="39" t="s">
        <v>1636</v>
      </c>
      <c r="J125" s="38">
        <v>41343</v>
      </c>
      <c r="K125" s="38" t="s">
        <v>167</v>
      </c>
      <c r="L125" s="38" t="s">
        <v>167</v>
      </c>
      <c r="M125" s="38" t="s">
        <v>167</v>
      </c>
      <c r="N125" s="38" t="s">
        <v>167</v>
      </c>
      <c r="O125" s="38" t="s">
        <v>167</v>
      </c>
      <c r="P125" s="38" t="s">
        <v>167</v>
      </c>
    </row>
    <row r="126" spans="1:16" ht="41.45">
      <c r="A126" s="32" t="s">
        <v>1412</v>
      </c>
      <c r="B126" s="39" t="s">
        <v>444</v>
      </c>
      <c r="C126" s="39" t="s">
        <v>442</v>
      </c>
      <c r="D126" s="39" t="s">
        <v>1508</v>
      </c>
      <c r="E126" s="41">
        <v>1</v>
      </c>
      <c r="F126" s="40"/>
      <c r="G126" s="39" t="s">
        <v>1438</v>
      </c>
      <c r="H126" s="39" t="s">
        <v>1441</v>
      </c>
      <c r="I126" s="39" t="s">
        <v>1637</v>
      </c>
      <c r="J126" s="38">
        <v>16000</v>
      </c>
      <c r="K126" s="38" t="s">
        <v>167</v>
      </c>
      <c r="L126" s="38">
        <v>184140</v>
      </c>
      <c r="M126" s="38" t="s">
        <v>167</v>
      </c>
      <c r="N126" s="38" t="s">
        <v>167</v>
      </c>
      <c r="O126" s="38" t="s">
        <v>167</v>
      </c>
      <c r="P126" s="38" t="s">
        <v>167</v>
      </c>
    </row>
    <row r="127" spans="1:16" ht="27.6">
      <c r="A127" s="32" t="s">
        <v>1412</v>
      </c>
      <c r="B127" s="39" t="s">
        <v>444</v>
      </c>
      <c r="C127" s="39" t="s">
        <v>442</v>
      </c>
      <c r="D127" s="39" t="s">
        <v>1633</v>
      </c>
      <c r="E127" s="41">
        <v>1</v>
      </c>
      <c r="F127" s="40"/>
      <c r="G127" s="39" t="s">
        <v>1460</v>
      </c>
      <c r="H127" s="39" t="s">
        <v>1441</v>
      </c>
      <c r="I127" s="39" t="s">
        <v>1570</v>
      </c>
      <c r="J127" s="38">
        <v>23554</v>
      </c>
      <c r="K127" s="38" t="s">
        <v>167</v>
      </c>
      <c r="L127" s="38" t="s">
        <v>167</v>
      </c>
      <c r="M127" s="38" t="s">
        <v>167</v>
      </c>
      <c r="N127" s="38" t="s">
        <v>167</v>
      </c>
      <c r="O127" s="38" t="s">
        <v>167</v>
      </c>
      <c r="P127" s="38" t="s">
        <v>167</v>
      </c>
    </row>
    <row r="128" spans="1:16" ht="55.15">
      <c r="A128" s="32" t="s">
        <v>1412</v>
      </c>
      <c r="B128" s="39" t="s">
        <v>1638</v>
      </c>
      <c r="C128" s="39" t="s">
        <v>1639</v>
      </c>
      <c r="D128" s="39" t="s">
        <v>1473</v>
      </c>
      <c r="E128" s="41">
        <v>1</v>
      </c>
      <c r="F128" s="40"/>
      <c r="G128" s="39" t="s">
        <v>1455</v>
      </c>
      <c r="H128" s="39" t="s">
        <v>1441</v>
      </c>
      <c r="I128" s="39" t="s">
        <v>1640</v>
      </c>
      <c r="J128" s="38"/>
      <c r="K128" s="38">
        <v>10000</v>
      </c>
      <c r="L128" s="38" t="s">
        <v>167</v>
      </c>
      <c r="M128" s="38">
        <v>5000</v>
      </c>
      <c r="N128" s="38" t="s">
        <v>167</v>
      </c>
      <c r="O128" s="38" t="s">
        <v>167</v>
      </c>
      <c r="P128" s="38" t="s">
        <v>167</v>
      </c>
    </row>
    <row r="129" spans="1:16">
      <c r="A129" s="32" t="s">
        <v>1412</v>
      </c>
      <c r="B129" s="39" t="s">
        <v>1638</v>
      </c>
      <c r="C129" s="39" t="s">
        <v>1639</v>
      </c>
      <c r="D129" s="39" t="s">
        <v>1438</v>
      </c>
      <c r="E129" s="41">
        <v>1</v>
      </c>
      <c r="F129" s="40"/>
      <c r="G129" s="39" t="s">
        <v>1438</v>
      </c>
      <c r="H129" s="39" t="s">
        <v>1441</v>
      </c>
      <c r="I129" s="39" t="s">
        <v>1448</v>
      </c>
      <c r="J129" s="38" t="s">
        <v>167</v>
      </c>
      <c r="K129" s="38" t="s">
        <v>167</v>
      </c>
      <c r="L129" s="38" t="s">
        <v>167</v>
      </c>
      <c r="M129" s="38" t="s">
        <v>167</v>
      </c>
      <c r="N129" s="38">
        <v>100000</v>
      </c>
      <c r="O129" s="38" t="s">
        <v>167</v>
      </c>
      <c r="P129" s="38" t="s">
        <v>167</v>
      </c>
    </row>
    <row r="130" spans="1:16" ht="41.45">
      <c r="A130" s="32" t="s">
        <v>1412</v>
      </c>
      <c r="B130" s="39" t="s">
        <v>466</v>
      </c>
      <c r="C130" s="39" t="s">
        <v>1641</v>
      </c>
      <c r="D130" s="39" t="s">
        <v>1446</v>
      </c>
      <c r="E130" s="41">
        <v>1</v>
      </c>
      <c r="F130" s="40"/>
      <c r="G130" s="39" t="s">
        <v>1446</v>
      </c>
      <c r="H130" s="39" t="s">
        <v>1441</v>
      </c>
      <c r="I130" s="39" t="s">
        <v>1642</v>
      </c>
      <c r="J130" s="38"/>
      <c r="K130" s="38" t="s">
        <v>167</v>
      </c>
      <c r="L130" s="38">
        <v>12100</v>
      </c>
      <c r="M130" s="38" t="s">
        <v>167</v>
      </c>
      <c r="N130" s="38" t="s">
        <v>167</v>
      </c>
      <c r="O130" s="38" t="s">
        <v>167</v>
      </c>
      <c r="P130" s="38" t="s">
        <v>167</v>
      </c>
    </row>
    <row r="131" spans="1:16" ht="41.45">
      <c r="A131" s="32" t="s">
        <v>1412</v>
      </c>
      <c r="B131" s="39" t="s">
        <v>466</v>
      </c>
      <c r="C131" s="39" t="s">
        <v>1641</v>
      </c>
      <c r="D131" s="39" t="s">
        <v>1473</v>
      </c>
      <c r="E131" s="41">
        <v>1</v>
      </c>
      <c r="F131" s="40"/>
      <c r="G131" s="39" t="s">
        <v>1455</v>
      </c>
      <c r="H131" s="39" t="s">
        <v>1441</v>
      </c>
      <c r="I131" s="39" t="s">
        <v>1642</v>
      </c>
      <c r="J131" s="38"/>
      <c r="K131" s="38">
        <v>3750</v>
      </c>
      <c r="L131" s="38">
        <v>3750</v>
      </c>
      <c r="M131" s="38">
        <v>3750</v>
      </c>
      <c r="N131" s="38">
        <v>3750</v>
      </c>
      <c r="O131" s="38">
        <v>3750</v>
      </c>
      <c r="P131" s="38" t="s">
        <v>167</v>
      </c>
    </row>
    <row r="132" spans="1:16">
      <c r="A132" s="32" t="s">
        <v>1412</v>
      </c>
      <c r="B132" s="39" t="s">
        <v>466</v>
      </c>
      <c r="C132" s="39" t="s">
        <v>1641</v>
      </c>
      <c r="D132" s="39" t="s">
        <v>1504</v>
      </c>
      <c r="E132" s="41">
        <v>1</v>
      </c>
      <c r="F132" s="40"/>
      <c r="G132" s="39" t="s">
        <v>1464</v>
      </c>
      <c r="H132" s="39" t="s">
        <v>1441</v>
      </c>
      <c r="I132" s="39" t="s">
        <v>1570</v>
      </c>
      <c r="J132" s="38" t="s">
        <v>167</v>
      </c>
      <c r="K132" s="38">
        <v>10000</v>
      </c>
      <c r="L132" s="38" t="s">
        <v>167</v>
      </c>
      <c r="M132" s="38" t="s">
        <v>167</v>
      </c>
      <c r="N132" s="38">
        <v>10000</v>
      </c>
      <c r="O132" s="38">
        <v>10000</v>
      </c>
      <c r="P132" s="38" t="s">
        <v>167</v>
      </c>
    </row>
    <row r="133" spans="1:16" ht="41.45">
      <c r="A133" s="32" t="s">
        <v>1412</v>
      </c>
      <c r="B133" s="39" t="s">
        <v>466</v>
      </c>
      <c r="C133" s="39" t="s">
        <v>1641</v>
      </c>
      <c r="D133" s="39" t="s">
        <v>1633</v>
      </c>
      <c r="E133" s="41">
        <v>1</v>
      </c>
      <c r="F133" s="40"/>
      <c r="G133" s="39" t="s">
        <v>1460</v>
      </c>
      <c r="H133" s="39" t="s">
        <v>1441</v>
      </c>
      <c r="I133" s="39" t="s">
        <v>1643</v>
      </c>
      <c r="J133" s="38"/>
      <c r="K133" s="38" t="s">
        <v>167</v>
      </c>
      <c r="L133" s="38">
        <v>22227</v>
      </c>
      <c r="M133" s="38" t="s">
        <v>167</v>
      </c>
      <c r="N133" s="38" t="s">
        <v>167</v>
      </c>
      <c r="O133" s="38" t="s">
        <v>167</v>
      </c>
      <c r="P133" s="38" t="s">
        <v>167</v>
      </c>
    </row>
    <row r="134" spans="1:16" ht="55.15">
      <c r="A134" s="32" t="s">
        <v>1412</v>
      </c>
      <c r="B134" s="39" t="s">
        <v>466</v>
      </c>
      <c r="C134" s="39" t="s">
        <v>1641</v>
      </c>
      <c r="D134" s="39" t="s">
        <v>104</v>
      </c>
      <c r="E134" s="41">
        <v>1</v>
      </c>
      <c r="F134" s="40"/>
      <c r="G134" s="39" t="s">
        <v>1460</v>
      </c>
      <c r="H134" s="39" t="s">
        <v>1441</v>
      </c>
      <c r="I134" s="39" t="s">
        <v>1644</v>
      </c>
      <c r="J134" s="38"/>
      <c r="K134" s="38" t="s">
        <v>167</v>
      </c>
      <c r="L134" s="38">
        <v>313000</v>
      </c>
      <c r="M134" s="38" t="s">
        <v>167</v>
      </c>
      <c r="N134" s="38" t="s">
        <v>167</v>
      </c>
      <c r="O134" s="38" t="s">
        <v>167</v>
      </c>
      <c r="P134" s="38" t="s">
        <v>167</v>
      </c>
    </row>
    <row r="135" spans="1:16">
      <c r="A135" s="32" t="s">
        <v>1412</v>
      </c>
      <c r="B135" s="39" t="s">
        <v>183</v>
      </c>
      <c r="C135" s="39" t="s">
        <v>180</v>
      </c>
      <c r="D135" s="39" t="s">
        <v>1438</v>
      </c>
      <c r="E135" s="41">
        <v>1</v>
      </c>
      <c r="F135" s="40"/>
      <c r="G135" s="39" t="s">
        <v>1438</v>
      </c>
      <c r="H135" s="39" t="s">
        <v>1441</v>
      </c>
      <c r="I135" s="39" t="s">
        <v>1596</v>
      </c>
      <c r="J135" s="38" t="s">
        <v>167</v>
      </c>
      <c r="K135" s="38" t="s">
        <v>167</v>
      </c>
      <c r="L135" s="38">
        <v>65650</v>
      </c>
      <c r="M135" s="38" t="s">
        <v>167</v>
      </c>
      <c r="N135" s="38">
        <v>308750</v>
      </c>
      <c r="O135" s="38" t="s">
        <v>167</v>
      </c>
      <c r="P135" s="38" t="s">
        <v>167</v>
      </c>
    </row>
    <row r="136" spans="1:16" ht="27.6">
      <c r="A136" s="32" t="s">
        <v>1412</v>
      </c>
      <c r="B136" s="39" t="s">
        <v>183</v>
      </c>
      <c r="C136" s="39" t="s">
        <v>180</v>
      </c>
      <c r="D136" s="39" t="s">
        <v>1473</v>
      </c>
      <c r="E136" s="41">
        <v>1</v>
      </c>
      <c r="F136" s="40"/>
      <c r="G136" s="39" t="s">
        <v>1455</v>
      </c>
      <c r="H136" s="39" t="s">
        <v>1441</v>
      </c>
      <c r="I136" s="39" t="s">
        <v>1645</v>
      </c>
      <c r="J136" s="38">
        <v>15000</v>
      </c>
      <c r="K136" s="38" t="s">
        <v>167</v>
      </c>
      <c r="L136" s="38" t="s">
        <v>167</v>
      </c>
      <c r="M136" s="38">
        <v>15000</v>
      </c>
      <c r="N136" s="38" t="s">
        <v>167</v>
      </c>
      <c r="O136" s="38" t="s">
        <v>167</v>
      </c>
      <c r="P136" s="38" t="s">
        <v>167</v>
      </c>
    </row>
    <row r="137" spans="1:16" ht="41.45">
      <c r="A137" s="32" t="s">
        <v>1412</v>
      </c>
      <c r="B137" s="39" t="s">
        <v>325</v>
      </c>
      <c r="C137" s="39" t="s">
        <v>682</v>
      </c>
      <c r="D137" s="39" t="s">
        <v>1445</v>
      </c>
      <c r="E137" s="41">
        <v>1</v>
      </c>
      <c r="F137" s="40"/>
      <c r="G137" s="39" t="s">
        <v>1446</v>
      </c>
      <c r="H137" s="39" t="s">
        <v>1441</v>
      </c>
      <c r="I137" s="39" t="s">
        <v>1646</v>
      </c>
      <c r="J137" s="38">
        <v>40000</v>
      </c>
      <c r="K137" s="38">
        <v>15000</v>
      </c>
      <c r="L137" s="38">
        <v>15000</v>
      </c>
      <c r="M137" s="38">
        <v>15000</v>
      </c>
      <c r="N137" s="38">
        <v>15000</v>
      </c>
      <c r="O137" s="38">
        <v>15000</v>
      </c>
      <c r="P137" s="38" t="s">
        <v>167</v>
      </c>
    </row>
    <row r="138" spans="1:16">
      <c r="A138" s="32" t="s">
        <v>1412</v>
      </c>
      <c r="B138" s="39" t="s">
        <v>325</v>
      </c>
      <c r="C138" s="39" t="s">
        <v>682</v>
      </c>
      <c r="D138" s="39" t="s">
        <v>1508</v>
      </c>
      <c r="E138" s="41">
        <v>1</v>
      </c>
      <c r="F138" s="40"/>
      <c r="G138" s="39" t="s">
        <v>1438</v>
      </c>
      <c r="H138" s="39" t="s">
        <v>1441</v>
      </c>
      <c r="I138" s="39" t="s">
        <v>1647</v>
      </c>
      <c r="J138" s="38" t="s">
        <v>167</v>
      </c>
      <c r="K138" s="38">
        <v>408750</v>
      </c>
      <c r="L138" s="38" t="s">
        <v>167</v>
      </c>
      <c r="M138" s="38">
        <v>385500</v>
      </c>
      <c r="N138" s="38" t="s">
        <v>167</v>
      </c>
      <c r="O138" s="38" t="s">
        <v>167</v>
      </c>
      <c r="P138" s="38" t="s">
        <v>167</v>
      </c>
    </row>
    <row r="139" spans="1:16" ht="41.45">
      <c r="A139" s="32" t="s">
        <v>1412</v>
      </c>
      <c r="B139" s="39" t="s">
        <v>325</v>
      </c>
      <c r="C139" s="39" t="s">
        <v>682</v>
      </c>
      <c r="D139" s="39" t="s">
        <v>1633</v>
      </c>
      <c r="E139" s="41">
        <v>1</v>
      </c>
      <c r="F139" s="40"/>
      <c r="G139" s="39" t="s">
        <v>1460</v>
      </c>
      <c r="H139" s="39" t="s">
        <v>1441</v>
      </c>
      <c r="I139" s="39" t="s">
        <v>1648</v>
      </c>
      <c r="J139" s="38">
        <v>52068</v>
      </c>
      <c r="K139" s="38" t="s">
        <v>167</v>
      </c>
      <c r="L139" s="38" t="s">
        <v>167</v>
      </c>
      <c r="M139" s="38" t="s">
        <v>167</v>
      </c>
      <c r="N139" s="38" t="s">
        <v>167</v>
      </c>
      <c r="O139" s="38" t="s">
        <v>167</v>
      </c>
      <c r="P139" s="38" t="s">
        <v>167</v>
      </c>
    </row>
    <row r="140" spans="1:16">
      <c r="A140" s="32" t="s">
        <v>1412</v>
      </c>
      <c r="B140" s="39" t="s">
        <v>325</v>
      </c>
      <c r="C140" s="39" t="s">
        <v>682</v>
      </c>
      <c r="D140" s="39" t="s">
        <v>104</v>
      </c>
      <c r="E140" s="41">
        <v>1</v>
      </c>
      <c r="F140" s="40"/>
      <c r="G140" s="39" t="s">
        <v>1460</v>
      </c>
      <c r="H140" s="39" t="s">
        <v>1441</v>
      </c>
      <c r="I140" s="39" t="s">
        <v>1649</v>
      </c>
      <c r="J140" s="38">
        <v>683768</v>
      </c>
      <c r="K140" s="38" t="s">
        <v>167</v>
      </c>
      <c r="L140" s="38" t="s">
        <v>167</v>
      </c>
      <c r="M140" s="38" t="s">
        <v>167</v>
      </c>
      <c r="N140" s="38" t="s">
        <v>167</v>
      </c>
      <c r="O140" s="38" t="s">
        <v>167</v>
      </c>
      <c r="P140" s="38" t="s">
        <v>167</v>
      </c>
    </row>
    <row r="141" spans="1:16" ht="41.45">
      <c r="A141" s="32" t="s">
        <v>1412</v>
      </c>
      <c r="B141" s="39" t="s">
        <v>250</v>
      </c>
      <c r="C141" s="39" t="s">
        <v>248</v>
      </c>
      <c r="D141" s="39" t="s">
        <v>1504</v>
      </c>
      <c r="E141" s="41">
        <v>1</v>
      </c>
      <c r="F141" s="40"/>
      <c r="G141" s="39" t="s">
        <v>1464</v>
      </c>
      <c r="H141" s="39" t="s">
        <v>1441</v>
      </c>
      <c r="I141" s="39" t="s">
        <v>1650</v>
      </c>
      <c r="J141" s="38">
        <v>45000</v>
      </c>
      <c r="K141" s="38" t="s">
        <v>167</v>
      </c>
      <c r="L141" s="38" t="s">
        <v>167</v>
      </c>
      <c r="M141" s="38" t="s">
        <v>167</v>
      </c>
      <c r="N141" s="38" t="s">
        <v>167</v>
      </c>
      <c r="O141" s="38" t="s">
        <v>167</v>
      </c>
      <c r="P141" s="38" t="s">
        <v>167</v>
      </c>
    </row>
    <row r="142" spans="1:16" ht="27.6">
      <c r="A142" s="32" t="s">
        <v>1412</v>
      </c>
      <c r="B142" s="39" t="s">
        <v>250</v>
      </c>
      <c r="C142" s="39" t="s">
        <v>248</v>
      </c>
      <c r="D142" s="39" t="s">
        <v>1633</v>
      </c>
      <c r="E142" s="41">
        <v>1</v>
      </c>
      <c r="F142" s="40"/>
      <c r="G142" s="39" t="s">
        <v>1460</v>
      </c>
      <c r="H142" s="39" t="s">
        <v>1441</v>
      </c>
      <c r="I142" s="39" t="s">
        <v>1570</v>
      </c>
      <c r="J142" s="38">
        <v>75899</v>
      </c>
      <c r="K142" s="38" t="s">
        <v>167</v>
      </c>
      <c r="L142" s="38" t="s">
        <v>167</v>
      </c>
      <c r="M142" s="38" t="s">
        <v>167</v>
      </c>
      <c r="N142" s="38" t="s">
        <v>167</v>
      </c>
      <c r="O142" s="38" t="s">
        <v>167</v>
      </c>
      <c r="P142" s="38" t="s">
        <v>167</v>
      </c>
    </row>
    <row r="143" spans="1:16">
      <c r="A143" s="32" t="s">
        <v>1412</v>
      </c>
      <c r="B143" s="39" t="s">
        <v>1651</v>
      </c>
      <c r="C143" s="39" t="s">
        <v>1652</v>
      </c>
      <c r="D143" s="39" t="s">
        <v>1508</v>
      </c>
      <c r="E143" s="41">
        <v>1</v>
      </c>
      <c r="F143" s="40"/>
      <c r="G143" s="39" t="s">
        <v>1438</v>
      </c>
      <c r="H143" s="39" t="s">
        <v>1441</v>
      </c>
      <c r="I143" s="39" t="s">
        <v>1596</v>
      </c>
      <c r="J143" s="38" t="s">
        <v>167</v>
      </c>
      <c r="K143" s="38" t="s">
        <v>167</v>
      </c>
      <c r="L143" s="38">
        <v>312000</v>
      </c>
      <c r="M143" s="38" t="s">
        <v>167</v>
      </c>
      <c r="N143" s="38" t="s">
        <v>167</v>
      </c>
      <c r="O143" s="38" t="s">
        <v>167</v>
      </c>
      <c r="P143" s="38" t="s">
        <v>167</v>
      </c>
    </row>
    <row r="144" spans="1:16" ht="27.6">
      <c r="A144" s="32" t="s">
        <v>1412</v>
      </c>
      <c r="B144" s="39" t="s">
        <v>1653</v>
      </c>
      <c r="C144" s="39" t="s">
        <v>1654</v>
      </c>
      <c r="D144" s="39" t="s">
        <v>1446</v>
      </c>
      <c r="E144" s="41">
        <v>1</v>
      </c>
      <c r="F144" s="40"/>
      <c r="G144" s="39" t="s">
        <v>1446</v>
      </c>
      <c r="H144" s="39" t="s">
        <v>1441</v>
      </c>
      <c r="I144" s="39" t="s">
        <v>1655</v>
      </c>
      <c r="J144" s="38">
        <v>25550</v>
      </c>
      <c r="K144" s="38" t="s">
        <v>167</v>
      </c>
      <c r="L144" s="38" t="s">
        <v>167</v>
      </c>
      <c r="M144" s="38" t="s">
        <v>167</v>
      </c>
      <c r="N144" s="38" t="s">
        <v>167</v>
      </c>
      <c r="O144" s="38" t="s">
        <v>167</v>
      </c>
      <c r="P144" s="38" t="s">
        <v>167</v>
      </c>
    </row>
    <row r="145" spans="1:16" ht="27.6">
      <c r="A145" s="32" t="s">
        <v>1412</v>
      </c>
      <c r="B145" s="39" t="s">
        <v>1653</v>
      </c>
      <c r="C145" s="39" t="s">
        <v>1654</v>
      </c>
      <c r="D145" s="39" t="s">
        <v>1473</v>
      </c>
      <c r="E145" s="41">
        <v>1</v>
      </c>
      <c r="F145" s="40"/>
      <c r="G145" s="39" t="s">
        <v>1455</v>
      </c>
      <c r="H145" s="39" t="s">
        <v>1441</v>
      </c>
      <c r="I145" s="39" t="s">
        <v>1656</v>
      </c>
      <c r="J145" s="38">
        <v>30000</v>
      </c>
      <c r="K145" s="38" t="s">
        <v>167</v>
      </c>
      <c r="L145" s="38">
        <v>30000</v>
      </c>
      <c r="M145" s="38">
        <v>30000</v>
      </c>
      <c r="N145" s="38" t="s">
        <v>167</v>
      </c>
      <c r="O145" s="38" t="s">
        <v>167</v>
      </c>
      <c r="P145" s="38" t="s">
        <v>167</v>
      </c>
    </row>
    <row r="146" spans="1:16" ht="27.6">
      <c r="A146" s="32" t="s">
        <v>1412</v>
      </c>
      <c r="B146" s="39" t="s">
        <v>1653</v>
      </c>
      <c r="C146" s="39" t="s">
        <v>1654</v>
      </c>
      <c r="D146" s="39" t="s">
        <v>1438</v>
      </c>
      <c r="E146" s="41">
        <v>1</v>
      </c>
      <c r="F146" s="40"/>
      <c r="G146" s="39" t="s">
        <v>1438</v>
      </c>
      <c r="H146" s="39" t="s">
        <v>1441</v>
      </c>
      <c r="I146" s="39" t="s">
        <v>1657</v>
      </c>
      <c r="J146" s="38">
        <v>250000</v>
      </c>
      <c r="K146" s="38" t="s">
        <v>167</v>
      </c>
      <c r="L146" s="38" t="s">
        <v>167</v>
      </c>
      <c r="M146" s="38" t="s">
        <v>167</v>
      </c>
      <c r="N146" s="38" t="s">
        <v>167</v>
      </c>
      <c r="O146" s="38" t="s">
        <v>167</v>
      </c>
      <c r="P146" s="38" t="s">
        <v>167</v>
      </c>
    </row>
    <row r="147" spans="1:16">
      <c r="A147" s="32" t="s">
        <v>1412</v>
      </c>
      <c r="B147" s="39" t="s">
        <v>484</v>
      </c>
      <c r="C147" s="39" t="s">
        <v>1658</v>
      </c>
      <c r="D147" s="39" t="s">
        <v>1508</v>
      </c>
      <c r="E147" s="41">
        <v>1</v>
      </c>
      <c r="F147" s="40"/>
      <c r="G147" s="39" t="s">
        <v>1438</v>
      </c>
      <c r="H147" s="39" t="s">
        <v>1441</v>
      </c>
      <c r="I147" s="39" t="s">
        <v>1570</v>
      </c>
      <c r="J147" s="38">
        <v>516000</v>
      </c>
      <c r="K147" s="38" t="s">
        <v>167</v>
      </c>
      <c r="L147" s="38" t="s">
        <v>167</v>
      </c>
      <c r="M147" s="38" t="s">
        <v>167</v>
      </c>
      <c r="N147" s="38" t="s">
        <v>167</v>
      </c>
      <c r="O147" s="38" t="s">
        <v>167</v>
      </c>
      <c r="P147" s="38" t="s">
        <v>167</v>
      </c>
    </row>
    <row r="148" spans="1:16" ht="27.6">
      <c r="A148" s="32" t="s">
        <v>1412</v>
      </c>
      <c r="B148" s="39" t="s">
        <v>484</v>
      </c>
      <c r="C148" s="39" t="s">
        <v>1658</v>
      </c>
      <c r="D148" s="39" t="s">
        <v>1633</v>
      </c>
      <c r="E148" s="41">
        <v>1</v>
      </c>
      <c r="F148" s="40"/>
      <c r="G148" s="39" t="s">
        <v>1460</v>
      </c>
      <c r="H148" s="39" t="s">
        <v>1441</v>
      </c>
      <c r="I148" s="39" t="s">
        <v>1570</v>
      </c>
      <c r="J148" s="38">
        <v>23932</v>
      </c>
      <c r="K148" s="38" t="s">
        <v>167</v>
      </c>
      <c r="L148" s="38" t="s">
        <v>167</v>
      </c>
      <c r="M148" s="38" t="s">
        <v>167</v>
      </c>
      <c r="N148" s="38" t="s">
        <v>167</v>
      </c>
      <c r="O148" s="38" t="s">
        <v>167</v>
      </c>
      <c r="P148" s="38" t="s">
        <v>167</v>
      </c>
    </row>
    <row r="149" spans="1:16" ht="27.6">
      <c r="A149" s="32" t="s">
        <v>1412</v>
      </c>
      <c r="B149" s="39" t="s">
        <v>1659</v>
      </c>
      <c r="C149" s="39" t="s">
        <v>1660</v>
      </c>
      <c r="D149" s="39" t="s">
        <v>1661</v>
      </c>
      <c r="E149" s="41">
        <v>1</v>
      </c>
      <c r="F149" s="40"/>
      <c r="G149" s="39" t="s">
        <v>1464</v>
      </c>
      <c r="H149" s="39" t="s">
        <v>1441</v>
      </c>
      <c r="I149" s="39" t="s">
        <v>1662</v>
      </c>
      <c r="J149" s="38">
        <v>18500</v>
      </c>
      <c r="K149" s="38" t="s">
        <v>167</v>
      </c>
      <c r="L149" s="38" t="s">
        <v>167</v>
      </c>
      <c r="M149" s="38" t="s">
        <v>167</v>
      </c>
      <c r="N149" s="38" t="s">
        <v>167</v>
      </c>
      <c r="O149" s="38" t="s">
        <v>167</v>
      </c>
      <c r="P149" s="38" t="s">
        <v>167</v>
      </c>
    </row>
    <row r="150" spans="1:16" ht="41.45">
      <c r="A150" s="32" t="s">
        <v>1412</v>
      </c>
      <c r="B150" s="39" t="s">
        <v>1659</v>
      </c>
      <c r="C150" s="39" t="s">
        <v>1660</v>
      </c>
      <c r="D150" s="39" t="s">
        <v>1532</v>
      </c>
      <c r="E150" s="41">
        <v>1</v>
      </c>
      <c r="F150" s="40"/>
      <c r="G150" s="39" t="s">
        <v>1455</v>
      </c>
      <c r="H150" s="39" t="s">
        <v>1441</v>
      </c>
      <c r="I150" s="39" t="s">
        <v>1663</v>
      </c>
      <c r="J150" s="38">
        <v>30000</v>
      </c>
      <c r="K150" s="38" t="s">
        <v>167</v>
      </c>
      <c r="L150" s="38" t="s">
        <v>167</v>
      </c>
      <c r="M150" s="38" t="s">
        <v>167</v>
      </c>
      <c r="N150" s="38" t="s">
        <v>167</v>
      </c>
      <c r="O150" s="38" t="s">
        <v>167</v>
      </c>
      <c r="P150" s="38" t="s">
        <v>167</v>
      </c>
    </row>
    <row r="151" spans="1:16" ht="27.6">
      <c r="A151" s="32" t="s">
        <v>1412</v>
      </c>
      <c r="B151" s="39" t="s">
        <v>1659</v>
      </c>
      <c r="C151" s="39" t="s">
        <v>1660</v>
      </c>
      <c r="D151" s="39" t="s">
        <v>1468</v>
      </c>
      <c r="E151" s="41">
        <v>1</v>
      </c>
      <c r="F151" s="40"/>
      <c r="G151" s="39" t="s">
        <v>1464</v>
      </c>
      <c r="H151" s="39" t="s">
        <v>1441</v>
      </c>
      <c r="I151" s="39" t="s">
        <v>1664</v>
      </c>
      <c r="J151" s="38">
        <v>50000</v>
      </c>
      <c r="K151" s="38" t="s">
        <v>167</v>
      </c>
      <c r="L151" s="38" t="s">
        <v>167</v>
      </c>
      <c r="M151" s="38" t="s">
        <v>167</v>
      </c>
      <c r="N151" s="38" t="s">
        <v>167</v>
      </c>
      <c r="O151" s="38" t="s">
        <v>167</v>
      </c>
      <c r="P151" s="38" t="s">
        <v>167</v>
      </c>
    </row>
    <row r="152" spans="1:16">
      <c r="A152" s="32" t="s">
        <v>1412</v>
      </c>
      <c r="B152" s="39" t="s">
        <v>1665</v>
      </c>
      <c r="C152" s="39" t="s">
        <v>1666</v>
      </c>
      <c r="D152" s="39" t="s">
        <v>1446</v>
      </c>
      <c r="E152" s="41">
        <v>1</v>
      </c>
      <c r="F152" s="40"/>
      <c r="G152" s="39" t="s">
        <v>1446</v>
      </c>
      <c r="H152" s="39" t="s">
        <v>1441</v>
      </c>
      <c r="I152" s="39" t="s">
        <v>1667</v>
      </c>
      <c r="J152" s="38">
        <v>52000</v>
      </c>
      <c r="K152" s="38">
        <v>52000</v>
      </c>
      <c r="L152" s="38" t="s">
        <v>167</v>
      </c>
      <c r="M152" s="38" t="s">
        <v>167</v>
      </c>
      <c r="N152" s="38" t="s">
        <v>167</v>
      </c>
      <c r="O152" s="38" t="s">
        <v>167</v>
      </c>
      <c r="P152" s="38" t="s">
        <v>167</v>
      </c>
    </row>
    <row r="153" spans="1:16" ht="69">
      <c r="A153" s="32" t="s">
        <v>1412</v>
      </c>
      <c r="B153" s="39" t="s">
        <v>1665</v>
      </c>
      <c r="C153" s="39" t="s">
        <v>1666</v>
      </c>
      <c r="D153" s="39" t="s">
        <v>1438</v>
      </c>
      <c r="E153" s="41">
        <v>1</v>
      </c>
      <c r="F153" s="40"/>
      <c r="G153" s="39" t="s">
        <v>1438</v>
      </c>
      <c r="H153" s="39" t="s">
        <v>1441</v>
      </c>
      <c r="I153" s="39" t="s">
        <v>1668</v>
      </c>
      <c r="J153" s="38">
        <v>373835</v>
      </c>
      <c r="K153" s="38"/>
      <c r="L153" s="38"/>
      <c r="M153" s="38"/>
      <c r="N153" s="38"/>
      <c r="O153" s="38" t="s">
        <v>167</v>
      </c>
      <c r="P153" s="38" t="s">
        <v>167</v>
      </c>
    </row>
    <row r="154" spans="1:16" ht="41.45">
      <c r="A154" s="32" t="s">
        <v>1412</v>
      </c>
      <c r="B154" s="39" t="s">
        <v>191</v>
      </c>
      <c r="C154" s="39" t="s">
        <v>188</v>
      </c>
      <c r="D154" s="39" t="s">
        <v>1446</v>
      </c>
      <c r="E154" s="41">
        <v>1</v>
      </c>
      <c r="F154" s="40"/>
      <c r="G154" s="39" t="s">
        <v>1446</v>
      </c>
      <c r="H154" s="39" t="s">
        <v>1441</v>
      </c>
      <c r="I154" s="39" t="s">
        <v>1669</v>
      </c>
      <c r="J154" s="38" t="s">
        <v>167</v>
      </c>
      <c r="K154" s="38" t="s">
        <v>167</v>
      </c>
      <c r="L154" s="38" t="s">
        <v>167</v>
      </c>
      <c r="M154" s="38">
        <v>58500</v>
      </c>
      <c r="N154" s="38" t="s">
        <v>167</v>
      </c>
      <c r="O154" s="38" t="s">
        <v>167</v>
      </c>
      <c r="P154" s="38" t="s">
        <v>167</v>
      </c>
    </row>
    <row r="155" spans="1:16" ht="41.45">
      <c r="A155" s="32" t="s">
        <v>1412</v>
      </c>
      <c r="B155" s="39" t="s">
        <v>191</v>
      </c>
      <c r="C155" s="39" t="s">
        <v>188</v>
      </c>
      <c r="D155" s="39" t="s">
        <v>1596</v>
      </c>
      <c r="E155" s="41">
        <v>1</v>
      </c>
      <c r="F155" s="40"/>
      <c r="G155" s="39" t="s">
        <v>1438</v>
      </c>
      <c r="H155" s="39" t="s">
        <v>1441</v>
      </c>
      <c r="I155" s="39" t="s">
        <v>1670</v>
      </c>
      <c r="J155" s="38">
        <v>18400</v>
      </c>
      <c r="K155" s="38" t="s">
        <v>167</v>
      </c>
      <c r="L155" s="38" t="s">
        <v>167</v>
      </c>
      <c r="M155" s="38" t="s">
        <v>167</v>
      </c>
      <c r="N155" s="38" t="s">
        <v>167</v>
      </c>
      <c r="O155" s="38" t="s">
        <v>167</v>
      </c>
      <c r="P155" s="38">
        <v>342000</v>
      </c>
    </row>
    <row r="156" spans="1:16" ht="27.6">
      <c r="A156" s="32" t="s">
        <v>1412</v>
      </c>
      <c r="B156" s="39" t="s">
        <v>725</v>
      </c>
      <c r="C156" s="39" t="s">
        <v>1671</v>
      </c>
      <c r="D156" s="39" t="s">
        <v>1633</v>
      </c>
      <c r="E156" s="41">
        <v>1</v>
      </c>
      <c r="F156" s="40"/>
      <c r="G156" s="39" t="s">
        <v>1460</v>
      </c>
      <c r="H156" s="39" t="s">
        <v>1441</v>
      </c>
      <c r="I156" s="39" t="s">
        <v>1672</v>
      </c>
      <c r="J156" s="38"/>
      <c r="K156" s="38">
        <v>75863</v>
      </c>
      <c r="L156" s="38" t="s">
        <v>167</v>
      </c>
      <c r="M156" s="38" t="s">
        <v>167</v>
      </c>
      <c r="N156" s="38" t="s">
        <v>167</v>
      </c>
      <c r="O156" s="38" t="s">
        <v>167</v>
      </c>
      <c r="P156" s="38" t="s">
        <v>167</v>
      </c>
    </row>
    <row r="157" spans="1:16" ht="27.6">
      <c r="A157" s="32" t="s">
        <v>1412</v>
      </c>
      <c r="B157" s="39" t="s">
        <v>302</v>
      </c>
      <c r="C157" s="39" t="s">
        <v>300</v>
      </c>
      <c r="D157" s="39" t="s">
        <v>1446</v>
      </c>
      <c r="E157" s="41">
        <v>1</v>
      </c>
      <c r="F157" s="40"/>
      <c r="G157" s="39" t="s">
        <v>1446</v>
      </c>
      <c r="H157" s="39" t="s">
        <v>1441</v>
      </c>
      <c r="I157" s="39" t="s">
        <v>1673</v>
      </c>
      <c r="J157" s="38" t="s">
        <v>167</v>
      </c>
      <c r="K157" s="38"/>
      <c r="L157" s="38">
        <v>3300</v>
      </c>
      <c r="M157" s="38">
        <v>3300</v>
      </c>
      <c r="N157" s="38">
        <v>3300</v>
      </c>
      <c r="O157" s="38" t="s">
        <v>167</v>
      </c>
      <c r="P157" s="38" t="s">
        <v>167</v>
      </c>
    </row>
    <row r="158" spans="1:16" ht="41.45">
      <c r="A158" s="32" t="s">
        <v>1412</v>
      </c>
      <c r="B158" s="39" t="s">
        <v>302</v>
      </c>
      <c r="C158" s="39" t="s">
        <v>300</v>
      </c>
      <c r="D158" s="39" t="s">
        <v>1674</v>
      </c>
      <c r="E158" s="41">
        <v>1</v>
      </c>
      <c r="F158" s="40"/>
      <c r="G158" s="39" t="s">
        <v>1464</v>
      </c>
      <c r="H158" s="39" t="s">
        <v>1441</v>
      </c>
      <c r="I158" s="39" t="s">
        <v>1675</v>
      </c>
      <c r="J158" s="38">
        <v>10000</v>
      </c>
      <c r="K158" s="38" t="s">
        <v>167</v>
      </c>
      <c r="L158" s="38" t="s">
        <v>167</v>
      </c>
      <c r="M158" s="38" t="s">
        <v>167</v>
      </c>
      <c r="N158" s="38" t="s">
        <v>167</v>
      </c>
      <c r="O158" s="38" t="s">
        <v>167</v>
      </c>
      <c r="P158" s="38" t="s">
        <v>167</v>
      </c>
    </row>
    <row r="159" spans="1:16" ht="27.6">
      <c r="A159" s="32" t="s">
        <v>1412</v>
      </c>
      <c r="B159" s="39" t="s">
        <v>302</v>
      </c>
      <c r="C159" s="39" t="s">
        <v>300</v>
      </c>
      <c r="D159" s="39" t="s">
        <v>1473</v>
      </c>
      <c r="E159" s="41">
        <v>1</v>
      </c>
      <c r="F159" s="40"/>
      <c r="G159" s="39" t="s">
        <v>1602</v>
      </c>
      <c r="H159" s="39" t="s">
        <v>1441</v>
      </c>
      <c r="I159" s="39" t="s">
        <v>1676</v>
      </c>
      <c r="J159" s="38">
        <v>135000</v>
      </c>
      <c r="K159" s="38" t="s">
        <v>167</v>
      </c>
      <c r="L159" s="38" t="s">
        <v>167</v>
      </c>
      <c r="M159" s="38" t="s">
        <v>167</v>
      </c>
      <c r="N159" s="38" t="s">
        <v>167</v>
      </c>
      <c r="O159" s="38" t="s">
        <v>167</v>
      </c>
      <c r="P159" s="38" t="s">
        <v>167</v>
      </c>
    </row>
    <row r="160" spans="1:16" ht="41.45">
      <c r="A160" s="32" t="s">
        <v>1412</v>
      </c>
      <c r="B160" s="39" t="s">
        <v>386</v>
      </c>
      <c r="C160" s="39" t="s">
        <v>695</v>
      </c>
      <c r="D160" s="39" t="s">
        <v>1661</v>
      </c>
      <c r="E160" s="41">
        <v>1</v>
      </c>
      <c r="F160" s="40"/>
      <c r="G160" s="39" t="s">
        <v>1464</v>
      </c>
      <c r="H160" s="39" t="s">
        <v>1441</v>
      </c>
      <c r="I160" s="39" t="s">
        <v>1677</v>
      </c>
      <c r="J160" s="38">
        <v>7500</v>
      </c>
      <c r="K160" s="38" t="s">
        <v>167</v>
      </c>
      <c r="L160" s="38" t="s">
        <v>167</v>
      </c>
      <c r="M160" s="38" t="s">
        <v>167</v>
      </c>
      <c r="N160" s="38" t="s">
        <v>167</v>
      </c>
      <c r="O160" s="38" t="s">
        <v>167</v>
      </c>
      <c r="P160" s="38" t="s">
        <v>167</v>
      </c>
    </row>
    <row r="161" spans="1:16" ht="27.6">
      <c r="A161" s="32" t="s">
        <v>1412</v>
      </c>
      <c r="B161" s="39" t="s">
        <v>386</v>
      </c>
      <c r="C161" s="39" t="s">
        <v>695</v>
      </c>
      <c r="D161" s="39" t="s">
        <v>1446</v>
      </c>
      <c r="E161" s="41">
        <v>1</v>
      </c>
      <c r="F161" s="40"/>
      <c r="G161" s="39" t="s">
        <v>1446</v>
      </c>
      <c r="H161" s="39" t="s">
        <v>1441</v>
      </c>
      <c r="I161" s="39" t="s">
        <v>1678</v>
      </c>
      <c r="J161" s="38" t="s">
        <v>167</v>
      </c>
      <c r="K161" s="38"/>
      <c r="L161" s="38">
        <v>3300</v>
      </c>
      <c r="M161" s="38">
        <v>3300</v>
      </c>
      <c r="N161" s="38">
        <v>3300</v>
      </c>
      <c r="O161" s="38" t="s">
        <v>167</v>
      </c>
      <c r="P161" s="38" t="s">
        <v>167</v>
      </c>
    </row>
    <row r="162" spans="1:16" ht="27.6">
      <c r="A162" s="32" t="s">
        <v>1412</v>
      </c>
      <c r="B162" s="39" t="s">
        <v>386</v>
      </c>
      <c r="C162" s="39" t="s">
        <v>695</v>
      </c>
      <c r="D162" s="39" t="s">
        <v>1454</v>
      </c>
      <c r="E162" s="41">
        <v>1</v>
      </c>
      <c r="F162" s="40"/>
      <c r="G162" s="39" t="s">
        <v>1455</v>
      </c>
      <c r="H162" s="39" t="s">
        <v>1441</v>
      </c>
      <c r="I162" s="39" t="s">
        <v>1679</v>
      </c>
      <c r="J162" s="38">
        <v>110000</v>
      </c>
      <c r="K162" s="38" t="s">
        <v>167</v>
      </c>
      <c r="L162" s="38" t="s">
        <v>167</v>
      </c>
      <c r="M162" s="38" t="s">
        <v>167</v>
      </c>
      <c r="N162" s="38" t="s">
        <v>167</v>
      </c>
      <c r="O162" s="38" t="s">
        <v>167</v>
      </c>
      <c r="P162" s="38" t="s">
        <v>167</v>
      </c>
    </row>
    <row r="163" spans="1:16" ht="27.6">
      <c r="A163" s="32" t="s">
        <v>1412</v>
      </c>
      <c r="B163" s="39" t="s">
        <v>1680</v>
      </c>
      <c r="C163" s="39" t="s">
        <v>1681</v>
      </c>
      <c r="D163" s="39" t="s">
        <v>1446</v>
      </c>
      <c r="E163" s="41">
        <v>1</v>
      </c>
      <c r="F163" s="40"/>
      <c r="G163" s="39" t="s">
        <v>1446</v>
      </c>
      <c r="H163" s="39" t="s">
        <v>1441</v>
      </c>
      <c r="I163" s="39" t="s">
        <v>1682</v>
      </c>
      <c r="J163" s="38">
        <v>10000</v>
      </c>
      <c r="K163" s="38" t="s">
        <v>167</v>
      </c>
      <c r="L163" s="38" t="s">
        <v>167</v>
      </c>
      <c r="M163" s="38" t="s">
        <v>167</v>
      </c>
      <c r="N163" s="38" t="s">
        <v>167</v>
      </c>
      <c r="O163" s="38" t="s">
        <v>167</v>
      </c>
      <c r="P163" s="38" t="s">
        <v>167</v>
      </c>
    </row>
    <row r="164" spans="1:16" ht="27.6">
      <c r="A164" s="32" t="s">
        <v>1412</v>
      </c>
      <c r="B164" s="39" t="s">
        <v>1680</v>
      </c>
      <c r="C164" s="39" t="s">
        <v>1681</v>
      </c>
      <c r="D164" s="39" t="s">
        <v>1532</v>
      </c>
      <c r="E164" s="41">
        <v>1</v>
      </c>
      <c r="F164" s="40"/>
      <c r="G164" s="39" t="s">
        <v>1455</v>
      </c>
      <c r="H164" s="39" t="s">
        <v>1441</v>
      </c>
      <c r="I164" s="39" t="s">
        <v>1516</v>
      </c>
      <c r="J164" s="38">
        <v>10000</v>
      </c>
      <c r="K164" s="38" t="s">
        <v>167</v>
      </c>
      <c r="L164" s="38">
        <v>50000</v>
      </c>
      <c r="M164" s="38" t="s">
        <v>167</v>
      </c>
      <c r="N164" s="38" t="s">
        <v>167</v>
      </c>
      <c r="O164" s="38" t="s">
        <v>167</v>
      </c>
      <c r="P164" s="38" t="s">
        <v>167</v>
      </c>
    </row>
    <row r="165" spans="1:16" ht="27.6">
      <c r="A165" s="32" t="s">
        <v>1412</v>
      </c>
      <c r="B165" s="39" t="s">
        <v>1680</v>
      </c>
      <c r="C165" s="39" t="s">
        <v>1681</v>
      </c>
      <c r="D165" s="39" t="s">
        <v>1438</v>
      </c>
      <c r="E165" s="41">
        <v>1</v>
      </c>
      <c r="F165" s="40"/>
      <c r="G165" s="39" t="s">
        <v>1438</v>
      </c>
      <c r="H165" s="39" t="s">
        <v>1441</v>
      </c>
      <c r="I165" s="39" t="s">
        <v>1683</v>
      </c>
      <c r="J165" s="38">
        <v>95000</v>
      </c>
      <c r="K165" s="38" t="s">
        <v>167</v>
      </c>
      <c r="L165" s="38" t="s">
        <v>167</v>
      </c>
      <c r="M165" s="38" t="s">
        <v>167</v>
      </c>
      <c r="N165" s="38">
        <v>210000</v>
      </c>
      <c r="O165" s="38" t="s">
        <v>167</v>
      </c>
      <c r="P165" s="38" t="s">
        <v>167</v>
      </c>
    </row>
    <row r="166" spans="1:16">
      <c r="A166" s="32" t="s">
        <v>1412</v>
      </c>
      <c r="B166" s="39" t="s">
        <v>1680</v>
      </c>
      <c r="C166" s="39" t="s">
        <v>1681</v>
      </c>
      <c r="D166" s="39" t="s">
        <v>1468</v>
      </c>
      <c r="E166" s="41">
        <v>1</v>
      </c>
      <c r="F166" s="40"/>
      <c r="G166" s="39" t="s">
        <v>1464</v>
      </c>
      <c r="H166" s="39" t="s">
        <v>1441</v>
      </c>
      <c r="I166" s="39" t="s">
        <v>1684</v>
      </c>
      <c r="J166" s="38" t="s">
        <v>167</v>
      </c>
      <c r="K166" s="38" t="s">
        <v>167</v>
      </c>
      <c r="L166" s="38" t="s">
        <v>167</v>
      </c>
      <c r="M166" s="38">
        <v>10000</v>
      </c>
      <c r="N166" s="38" t="s">
        <v>167</v>
      </c>
      <c r="O166" s="38" t="s">
        <v>167</v>
      </c>
      <c r="P166" s="38" t="s">
        <v>167</v>
      </c>
    </row>
    <row r="167" spans="1:16" ht="41.45">
      <c r="A167" s="32" t="s">
        <v>1412</v>
      </c>
      <c r="B167" s="39" t="s">
        <v>1685</v>
      </c>
      <c r="C167" s="39" t="s">
        <v>1686</v>
      </c>
      <c r="D167" s="39" t="s">
        <v>1508</v>
      </c>
      <c r="E167" s="41">
        <v>1</v>
      </c>
      <c r="F167" s="40"/>
      <c r="G167" s="39" t="s">
        <v>1438</v>
      </c>
      <c r="H167" s="39" t="s">
        <v>1441</v>
      </c>
      <c r="I167" s="39" t="s">
        <v>1687</v>
      </c>
      <c r="J167" s="38">
        <v>101900</v>
      </c>
      <c r="K167" s="38" t="s">
        <v>167</v>
      </c>
      <c r="L167" s="38">
        <v>356000</v>
      </c>
      <c r="M167" s="38" t="s">
        <v>167</v>
      </c>
      <c r="N167" s="38" t="s">
        <v>167</v>
      </c>
      <c r="O167" s="38" t="s">
        <v>167</v>
      </c>
      <c r="P167" s="38" t="s">
        <v>167</v>
      </c>
    </row>
    <row r="168" spans="1:16" ht="27.6">
      <c r="A168" s="32" t="s">
        <v>1412</v>
      </c>
      <c r="B168" s="39" t="s">
        <v>1685</v>
      </c>
      <c r="C168" s="39" t="s">
        <v>1686</v>
      </c>
      <c r="D168" s="39" t="s">
        <v>1633</v>
      </c>
      <c r="E168" s="41">
        <v>1</v>
      </c>
      <c r="F168" s="40"/>
      <c r="G168" s="39" t="s">
        <v>1460</v>
      </c>
      <c r="H168" s="39" t="s">
        <v>1441</v>
      </c>
      <c r="I168" s="39" t="s">
        <v>1688</v>
      </c>
      <c r="J168" s="38">
        <v>75400</v>
      </c>
      <c r="K168" s="38" t="s">
        <v>167</v>
      </c>
      <c r="L168" s="38" t="s">
        <v>167</v>
      </c>
      <c r="M168" s="38" t="s">
        <v>167</v>
      </c>
      <c r="N168" s="38" t="s">
        <v>167</v>
      </c>
      <c r="O168" s="38" t="s">
        <v>167</v>
      </c>
      <c r="P168" s="38" t="s">
        <v>167</v>
      </c>
    </row>
    <row r="169" spans="1:16" ht="55.15">
      <c r="A169" s="32" t="s">
        <v>1412</v>
      </c>
      <c r="B169" s="39" t="s">
        <v>1685</v>
      </c>
      <c r="C169" s="39" t="s">
        <v>1686</v>
      </c>
      <c r="D169" s="39" t="s">
        <v>1689</v>
      </c>
      <c r="E169" s="41">
        <v>1</v>
      </c>
      <c r="F169" s="40">
        <v>1</v>
      </c>
      <c r="G169" s="39" t="s">
        <v>1460</v>
      </c>
      <c r="H169" s="39" t="s">
        <v>1441</v>
      </c>
      <c r="I169" s="39" t="s">
        <v>1690</v>
      </c>
      <c r="J169" s="38">
        <v>13608</v>
      </c>
      <c r="K169" s="38" t="s">
        <v>167</v>
      </c>
      <c r="L169" s="38" t="s">
        <v>167</v>
      </c>
      <c r="M169" s="38" t="s">
        <v>167</v>
      </c>
      <c r="N169" s="38" t="s">
        <v>167</v>
      </c>
      <c r="O169" s="38" t="s">
        <v>167</v>
      </c>
      <c r="P169" s="38" t="s">
        <v>167</v>
      </c>
    </row>
    <row r="170" spans="1:16">
      <c r="A170" s="32" t="s">
        <v>1412</v>
      </c>
      <c r="B170" s="39" t="s">
        <v>1691</v>
      </c>
      <c r="C170" s="39" t="s">
        <v>1692</v>
      </c>
      <c r="D170" s="39" t="s">
        <v>1693</v>
      </c>
      <c r="E170" s="41">
        <v>1</v>
      </c>
      <c r="F170" s="40"/>
      <c r="G170" s="39" t="s">
        <v>1455</v>
      </c>
      <c r="H170" s="39" t="s">
        <v>1441</v>
      </c>
      <c r="I170" s="39" t="s">
        <v>1516</v>
      </c>
      <c r="J170" s="38" t="s">
        <v>167</v>
      </c>
      <c r="K170" s="38">
        <v>25000</v>
      </c>
      <c r="L170" s="38" t="s">
        <v>167</v>
      </c>
      <c r="M170" s="38" t="s">
        <v>167</v>
      </c>
      <c r="N170" s="38" t="s">
        <v>167</v>
      </c>
      <c r="O170" s="38" t="s">
        <v>167</v>
      </c>
      <c r="P170" s="38" t="s">
        <v>167</v>
      </c>
    </row>
    <row r="171" spans="1:16" ht="41.45">
      <c r="A171" s="32" t="s">
        <v>1412</v>
      </c>
      <c r="B171" s="39" t="s">
        <v>1691</v>
      </c>
      <c r="C171" s="39" t="s">
        <v>1692</v>
      </c>
      <c r="D171" s="39" t="s">
        <v>1694</v>
      </c>
      <c r="E171" s="41">
        <v>1</v>
      </c>
      <c r="F171" s="40"/>
      <c r="G171" s="39" t="s">
        <v>1455</v>
      </c>
      <c r="H171" s="39" t="s">
        <v>1441</v>
      </c>
      <c r="I171" s="39" t="s">
        <v>1516</v>
      </c>
      <c r="J171" s="38" t="s">
        <v>167</v>
      </c>
      <c r="K171" s="38">
        <v>5000</v>
      </c>
      <c r="L171" s="38" t="s">
        <v>167</v>
      </c>
      <c r="M171" s="38">
        <v>5000</v>
      </c>
      <c r="N171" s="38" t="s">
        <v>167</v>
      </c>
      <c r="O171" s="38" t="s">
        <v>167</v>
      </c>
      <c r="P171" s="38" t="s">
        <v>167</v>
      </c>
    </row>
    <row r="172" spans="1:16" ht="41.45">
      <c r="A172" s="32" t="s">
        <v>1412</v>
      </c>
      <c r="B172" s="39" t="s">
        <v>1691</v>
      </c>
      <c r="C172" s="39" t="s">
        <v>1692</v>
      </c>
      <c r="D172" s="39" t="s">
        <v>1695</v>
      </c>
      <c r="E172" s="41">
        <v>1</v>
      </c>
      <c r="F172" s="40"/>
      <c r="G172" s="39" t="s">
        <v>1438</v>
      </c>
      <c r="H172" s="39" t="s">
        <v>1441</v>
      </c>
      <c r="I172" s="39" t="s">
        <v>1682</v>
      </c>
      <c r="J172" s="38"/>
      <c r="K172" s="38"/>
      <c r="L172" s="38">
        <v>5000</v>
      </c>
      <c r="M172" s="38">
        <v>5000</v>
      </c>
      <c r="N172" s="38">
        <v>5000</v>
      </c>
      <c r="O172" s="38" t="s">
        <v>167</v>
      </c>
      <c r="P172" s="38" t="s">
        <v>167</v>
      </c>
    </row>
    <row r="173" spans="1:16" ht="27.6">
      <c r="A173" s="32" t="s">
        <v>1412</v>
      </c>
      <c r="B173" s="39" t="s">
        <v>1691</v>
      </c>
      <c r="C173" s="39" t="s">
        <v>1692</v>
      </c>
      <c r="D173" s="39" t="s">
        <v>1473</v>
      </c>
      <c r="E173" s="41">
        <v>1</v>
      </c>
      <c r="F173" s="40"/>
      <c r="G173" s="39" t="s">
        <v>1455</v>
      </c>
      <c r="H173" s="39" t="s">
        <v>1441</v>
      </c>
      <c r="I173" s="39" t="s">
        <v>1696</v>
      </c>
      <c r="J173" s="38"/>
      <c r="K173" s="38"/>
      <c r="L173" s="38" t="s">
        <v>167</v>
      </c>
      <c r="M173" s="38">
        <v>5000</v>
      </c>
      <c r="N173" s="38" t="s">
        <v>167</v>
      </c>
      <c r="O173" s="38">
        <v>5000</v>
      </c>
      <c r="P173" s="38" t="s">
        <v>167</v>
      </c>
    </row>
    <row r="174" spans="1:16" ht="27.6">
      <c r="A174" s="32" t="s">
        <v>1412</v>
      </c>
      <c r="B174" s="39" t="s">
        <v>1691</v>
      </c>
      <c r="C174" s="39" t="s">
        <v>1692</v>
      </c>
      <c r="D174" s="39" t="s">
        <v>1438</v>
      </c>
      <c r="E174" s="41">
        <v>1</v>
      </c>
      <c r="F174" s="40"/>
      <c r="G174" s="39" t="s">
        <v>1438</v>
      </c>
      <c r="H174" s="39" t="s">
        <v>1441</v>
      </c>
      <c r="I174" s="39" t="s">
        <v>1697</v>
      </c>
      <c r="J174" s="38"/>
      <c r="K174" s="38"/>
      <c r="L174" s="38">
        <v>5000</v>
      </c>
      <c r="M174" s="38">
        <v>5000</v>
      </c>
      <c r="N174" s="38">
        <v>5000</v>
      </c>
      <c r="O174" s="38">
        <v>5000</v>
      </c>
      <c r="P174" s="38" t="s">
        <v>167</v>
      </c>
    </row>
    <row r="175" spans="1:16" ht="27.6">
      <c r="A175" s="32" t="s">
        <v>1412</v>
      </c>
      <c r="B175" s="39" t="s">
        <v>1698</v>
      </c>
      <c r="C175" s="39" t="s">
        <v>1699</v>
      </c>
      <c r="D175" s="39" t="s">
        <v>1700</v>
      </c>
      <c r="E175" s="41">
        <v>1</v>
      </c>
      <c r="F175" s="40"/>
      <c r="G175" s="39" t="s">
        <v>1464</v>
      </c>
      <c r="H175" s="39" t="s">
        <v>1441</v>
      </c>
      <c r="I175" s="39" t="s">
        <v>1701</v>
      </c>
      <c r="J175" s="38">
        <v>10000</v>
      </c>
      <c r="K175" s="38" t="s">
        <v>167</v>
      </c>
      <c r="L175" s="38" t="s">
        <v>167</v>
      </c>
      <c r="M175" s="38" t="s">
        <v>167</v>
      </c>
      <c r="N175" s="38" t="s">
        <v>167</v>
      </c>
      <c r="O175" s="38" t="s">
        <v>167</v>
      </c>
      <c r="P175" s="38" t="s">
        <v>167</v>
      </c>
    </row>
    <row r="176" spans="1:16" ht="27.6">
      <c r="A176" s="32" t="s">
        <v>1412</v>
      </c>
      <c r="B176" s="39" t="s">
        <v>1698</v>
      </c>
      <c r="C176" s="39" t="s">
        <v>1699</v>
      </c>
      <c r="D176" s="39" t="s">
        <v>1473</v>
      </c>
      <c r="E176" s="41">
        <v>1</v>
      </c>
      <c r="F176" s="40"/>
      <c r="G176" s="39" t="s">
        <v>1602</v>
      </c>
      <c r="H176" s="39" t="s">
        <v>1441</v>
      </c>
      <c r="I176" s="39" t="s">
        <v>1628</v>
      </c>
      <c r="J176" s="38" t="s">
        <v>167</v>
      </c>
      <c r="K176" s="38">
        <v>75000</v>
      </c>
      <c r="L176" s="38" t="s">
        <v>167</v>
      </c>
      <c r="M176" s="38" t="s">
        <v>167</v>
      </c>
      <c r="N176" s="38" t="s">
        <v>167</v>
      </c>
      <c r="O176" s="38" t="s">
        <v>167</v>
      </c>
      <c r="P176" s="38" t="s">
        <v>167</v>
      </c>
    </row>
    <row r="177" spans="1:16">
      <c r="A177" s="32" t="s">
        <v>1412</v>
      </c>
      <c r="B177" s="39" t="s">
        <v>1698</v>
      </c>
      <c r="C177" s="39" t="s">
        <v>1699</v>
      </c>
      <c r="D177" s="39" t="s">
        <v>1468</v>
      </c>
      <c r="E177" s="41">
        <v>1</v>
      </c>
      <c r="F177" s="40"/>
      <c r="G177" s="39" t="s">
        <v>1464</v>
      </c>
      <c r="H177" s="39" t="s">
        <v>1441</v>
      </c>
      <c r="I177" s="39" t="s">
        <v>1702</v>
      </c>
      <c r="J177" s="38" t="s">
        <v>167</v>
      </c>
      <c r="K177" s="38">
        <v>4000</v>
      </c>
      <c r="L177" s="38" t="s">
        <v>167</v>
      </c>
      <c r="M177" s="38" t="s">
        <v>167</v>
      </c>
      <c r="N177" s="38" t="s">
        <v>167</v>
      </c>
      <c r="O177" s="38" t="s">
        <v>167</v>
      </c>
      <c r="P177" s="38" t="s">
        <v>167</v>
      </c>
    </row>
    <row r="178" spans="1:16">
      <c r="A178" s="32" t="s">
        <v>1412</v>
      </c>
      <c r="B178" s="39" t="s">
        <v>1703</v>
      </c>
      <c r="C178" s="39" t="s">
        <v>1704</v>
      </c>
      <c r="D178" s="39" t="s">
        <v>1438</v>
      </c>
      <c r="E178" s="41">
        <v>1</v>
      </c>
      <c r="F178" s="40"/>
      <c r="G178" s="39" t="s">
        <v>1438</v>
      </c>
      <c r="H178" s="39" t="s">
        <v>1441</v>
      </c>
      <c r="I178" s="39" t="s">
        <v>1596</v>
      </c>
      <c r="J178" s="38" t="s">
        <v>167</v>
      </c>
      <c r="K178" s="38">
        <v>175000</v>
      </c>
      <c r="L178" s="38" t="s">
        <v>167</v>
      </c>
      <c r="M178" s="38" t="s">
        <v>167</v>
      </c>
      <c r="N178" s="38" t="s">
        <v>167</v>
      </c>
      <c r="O178" s="38" t="s">
        <v>167</v>
      </c>
      <c r="P178" s="38" t="s">
        <v>167</v>
      </c>
    </row>
    <row r="179" spans="1:16">
      <c r="A179" s="32" t="s">
        <v>1412</v>
      </c>
      <c r="B179" s="39" t="s">
        <v>1703</v>
      </c>
      <c r="C179" s="39" t="s">
        <v>1704</v>
      </c>
      <c r="D179" s="39" t="s">
        <v>1446</v>
      </c>
      <c r="E179" s="41">
        <v>1</v>
      </c>
      <c r="F179" s="40"/>
      <c r="G179" s="39" t="s">
        <v>1446</v>
      </c>
      <c r="H179" s="39" t="s">
        <v>1441</v>
      </c>
      <c r="I179" s="39" t="s">
        <v>1705</v>
      </c>
      <c r="J179" s="38" t="s">
        <v>167</v>
      </c>
      <c r="K179" s="38">
        <v>45000</v>
      </c>
      <c r="L179" s="38" t="s">
        <v>167</v>
      </c>
      <c r="M179" s="38" t="s">
        <v>167</v>
      </c>
      <c r="N179" s="38" t="s">
        <v>167</v>
      </c>
      <c r="O179" s="38" t="s">
        <v>167</v>
      </c>
      <c r="P179" s="38" t="s">
        <v>167</v>
      </c>
    </row>
    <row r="180" spans="1:16" ht="27.6">
      <c r="A180" s="32" t="s">
        <v>1412</v>
      </c>
      <c r="B180" s="39" t="s">
        <v>1706</v>
      </c>
      <c r="C180" s="39" t="s">
        <v>1707</v>
      </c>
      <c r="D180" s="39" t="s">
        <v>1446</v>
      </c>
      <c r="E180" s="41">
        <v>1</v>
      </c>
      <c r="F180" s="40"/>
      <c r="G180" s="39" t="s">
        <v>1446</v>
      </c>
      <c r="H180" s="39" t="s">
        <v>1441</v>
      </c>
      <c r="I180" s="39" t="s">
        <v>1655</v>
      </c>
      <c r="J180" s="38">
        <v>10000</v>
      </c>
      <c r="K180" s="38">
        <v>5000</v>
      </c>
      <c r="L180" s="38" t="s">
        <v>167</v>
      </c>
      <c r="M180" s="38">
        <v>5000</v>
      </c>
      <c r="N180" s="38" t="s">
        <v>167</v>
      </c>
      <c r="O180" s="38" t="s">
        <v>167</v>
      </c>
      <c r="P180" s="38" t="s">
        <v>167</v>
      </c>
    </row>
    <row r="181" spans="1:16" ht="27.6">
      <c r="A181" s="32" t="s">
        <v>1412</v>
      </c>
      <c r="B181" s="39" t="s">
        <v>1706</v>
      </c>
      <c r="C181" s="39" t="s">
        <v>1707</v>
      </c>
      <c r="D181" s="39" t="s">
        <v>1473</v>
      </c>
      <c r="E181" s="41">
        <v>1</v>
      </c>
      <c r="F181" s="40"/>
      <c r="G181" s="39" t="s">
        <v>1602</v>
      </c>
      <c r="H181" s="39" t="s">
        <v>1441</v>
      </c>
      <c r="I181" s="39" t="s">
        <v>1628</v>
      </c>
      <c r="J181" s="38" t="s">
        <v>167</v>
      </c>
      <c r="K181" s="38" t="s">
        <v>167</v>
      </c>
      <c r="L181" s="38">
        <v>35000</v>
      </c>
      <c r="M181" s="38" t="s">
        <v>167</v>
      </c>
      <c r="N181" s="38" t="s">
        <v>167</v>
      </c>
      <c r="O181" s="38" t="s">
        <v>167</v>
      </c>
      <c r="P181" s="38" t="s">
        <v>167</v>
      </c>
    </row>
    <row r="182" spans="1:16" ht="27.6">
      <c r="A182" s="32" t="s">
        <v>1412</v>
      </c>
      <c r="B182" s="39" t="s">
        <v>1706</v>
      </c>
      <c r="C182" s="39" t="s">
        <v>1707</v>
      </c>
      <c r="D182" s="39" t="s">
        <v>1438</v>
      </c>
      <c r="E182" s="41">
        <v>1</v>
      </c>
      <c r="F182" s="40"/>
      <c r="G182" s="39" t="s">
        <v>1438</v>
      </c>
      <c r="H182" s="39" t="s">
        <v>1441</v>
      </c>
      <c r="I182" s="39" t="s">
        <v>1708</v>
      </c>
      <c r="J182" s="38"/>
      <c r="K182" s="38"/>
      <c r="L182" s="38">
        <v>1200</v>
      </c>
      <c r="M182" s="38">
        <v>1200</v>
      </c>
      <c r="N182" s="38">
        <v>1200</v>
      </c>
      <c r="O182" s="38" t="s">
        <v>167</v>
      </c>
      <c r="P182" s="38" t="s">
        <v>167</v>
      </c>
    </row>
    <row r="183" spans="1:16" ht="27.6">
      <c r="A183" s="32" t="s">
        <v>1412</v>
      </c>
      <c r="B183" s="39" t="s">
        <v>1709</v>
      </c>
      <c r="C183" s="39" t="s">
        <v>1710</v>
      </c>
      <c r="D183" s="39" t="s">
        <v>1446</v>
      </c>
      <c r="E183" s="41">
        <v>1</v>
      </c>
      <c r="F183" s="40"/>
      <c r="G183" s="39" t="s">
        <v>1446</v>
      </c>
      <c r="H183" s="39" t="s">
        <v>1441</v>
      </c>
      <c r="I183" s="39" t="s">
        <v>1711</v>
      </c>
      <c r="J183" s="38">
        <v>10000</v>
      </c>
      <c r="K183" s="38" t="s">
        <v>167</v>
      </c>
      <c r="L183" s="38" t="s">
        <v>167</v>
      </c>
      <c r="M183" s="38" t="s">
        <v>167</v>
      </c>
      <c r="N183" s="38" t="s">
        <v>167</v>
      </c>
      <c r="O183" s="38" t="s">
        <v>167</v>
      </c>
      <c r="P183" s="38" t="s">
        <v>167</v>
      </c>
    </row>
    <row r="184" spans="1:16">
      <c r="A184" s="32" t="s">
        <v>1412</v>
      </c>
      <c r="B184" s="39" t="s">
        <v>1709</v>
      </c>
      <c r="C184" s="39" t="s">
        <v>1710</v>
      </c>
      <c r="D184" s="39" t="s">
        <v>1438</v>
      </c>
      <c r="E184" s="41">
        <v>1</v>
      </c>
      <c r="F184" s="40"/>
      <c r="G184" s="39" t="s">
        <v>1438</v>
      </c>
      <c r="H184" s="39" t="s">
        <v>1441</v>
      </c>
      <c r="I184" s="39" t="s">
        <v>1475</v>
      </c>
      <c r="J184" s="38">
        <v>2000</v>
      </c>
      <c r="K184" s="38" t="s">
        <v>167</v>
      </c>
      <c r="L184" s="38" t="s">
        <v>167</v>
      </c>
      <c r="M184" s="38" t="s">
        <v>167</v>
      </c>
      <c r="N184" s="38" t="s">
        <v>167</v>
      </c>
      <c r="O184" s="38" t="s">
        <v>167</v>
      </c>
      <c r="P184" s="38" t="s">
        <v>167</v>
      </c>
    </row>
    <row r="185" spans="1:16" ht="41.45">
      <c r="A185" s="32" t="s">
        <v>1412</v>
      </c>
      <c r="B185" s="39" t="s">
        <v>403</v>
      </c>
      <c r="C185" s="39" t="s">
        <v>401</v>
      </c>
      <c r="D185" s="39" t="s">
        <v>1446</v>
      </c>
      <c r="E185" s="41">
        <v>1</v>
      </c>
      <c r="F185" s="40"/>
      <c r="G185" s="39" t="s">
        <v>1446</v>
      </c>
      <c r="H185" s="39" t="s">
        <v>1441</v>
      </c>
      <c r="I185" s="39" t="s">
        <v>1712</v>
      </c>
      <c r="J185" s="38">
        <v>5000</v>
      </c>
      <c r="K185" s="38">
        <v>20000</v>
      </c>
      <c r="L185" s="38">
        <v>5000</v>
      </c>
      <c r="M185" s="38">
        <v>5000</v>
      </c>
      <c r="N185" s="38">
        <v>5000</v>
      </c>
      <c r="O185" s="38">
        <v>5000</v>
      </c>
      <c r="P185" s="38">
        <v>5000</v>
      </c>
    </row>
    <row r="186" spans="1:16" ht="27.6">
      <c r="A186" s="32" t="s">
        <v>1412</v>
      </c>
      <c r="B186" s="39" t="s">
        <v>403</v>
      </c>
      <c r="C186" s="39" t="s">
        <v>401</v>
      </c>
      <c r="D186" s="39" t="s">
        <v>1532</v>
      </c>
      <c r="E186" s="41">
        <v>1</v>
      </c>
      <c r="F186" s="40"/>
      <c r="G186" s="39" t="s">
        <v>1455</v>
      </c>
      <c r="H186" s="39" t="s">
        <v>1441</v>
      </c>
      <c r="I186" s="39" t="s">
        <v>1713</v>
      </c>
      <c r="J186" s="38">
        <v>15000</v>
      </c>
      <c r="K186" s="38" t="s">
        <v>167</v>
      </c>
      <c r="L186" s="38">
        <v>10000</v>
      </c>
      <c r="M186" s="38" t="s">
        <v>167</v>
      </c>
      <c r="N186" s="38" t="s">
        <v>167</v>
      </c>
      <c r="O186" s="38" t="s">
        <v>167</v>
      </c>
      <c r="P186" s="38" t="s">
        <v>167</v>
      </c>
    </row>
    <row r="187" spans="1:16" ht="27.6">
      <c r="A187" s="32" t="s">
        <v>1412</v>
      </c>
      <c r="B187" s="39" t="s">
        <v>403</v>
      </c>
      <c r="C187" s="39" t="s">
        <v>401</v>
      </c>
      <c r="D187" s="39" t="s">
        <v>1508</v>
      </c>
      <c r="E187" s="41">
        <v>1</v>
      </c>
      <c r="F187" s="40"/>
      <c r="G187" s="39" t="s">
        <v>1438</v>
      </c>
      <c r="H187" s="39" t="s">
        <v>1441</v>
      </c>
      <c r="I187" s="39" t="s">
        <v>1714</v>
      </c>
      <c r="J187" s="38" t="s">
        <v>167</v>
      </c>
      <c r="K187" s="38">
        <v>257250</v>
      </c>
      <c r="L187" s="38" t="s">
        <v>167</v>
      </c>
      <c r="M187" s="38" t="s">
        <v>167</v>
      </c>
      <c r="N187" s="38" t="s">
        <v>167</v>
      </c>
      <c r="O187" s="38" t="s">
        <v>167</v>
      </c>
      <c r="P187" s="38" t="s">
        <v>167</v>
      </c>
    </row>
    <row r="188" spans="1:16" ht="27.6">
      <c r="A188" s="32" t="s">
        <v>1412</v>
      </c>
      <c r="B188" s="39" t="s">
        <v>479</v>
      </c>
      <c r="C188" s="39" t="s">
        <v>1715</v>
      </c>
      <c r="D188" s="39" t="s">
        <v>1446</v>
      </c>
      <c r="E188" s="41">
        <v>1</v>
      </c>
      <c r="F188" s="40"/>
      <c r="G188" s="39" t="s">
        <v>1446</v>
      </c>
      <c r="H188" s="39" t="s">
        <v>1441</v>
      </c>
      <c r="I188" s="39" t="s">
        <v>1716</v>
      </c>
      <c r="J188" s="38">
        <v>37500</v>
      </c>
      <c r="K188" s="38" t="s">
        <v>167</v>
      </c>
      <c r="L188" s="38" t="s">
        <v>167</v>
      </c>
      <c r="M188" s="38" t="s">
        <v>167</v>
      </c>
      <c r="N188" s="38" t="s">
        <v>167</v>
      </c>
      <c r="O188" s="38" t="s">
        <v>167</v>
      </c>
      <c r="P188" s="38" t="s">
        <v>167</v>
      </c>
    </row>
    <row r="189" spans="1:16" ht="27.6">
      <c r="A189" s="32" t="s">
        <v>1412</v>
      </c>
      <c r="B189" s="39" t="s">
        <v>479</v>
      </c>
      <c r="C189" s="39" t="s">
        <v>1715</v>
      </c>
      <c r="D189" s="39" t="s">
        <v>1473</v>
      </c>
      <c r="E189" s="41">
        <v>1</v>
      </c>
      <c r="F189" s="40"/>
      <c r="G189" s="39" t="s">
        <v>1455</v>
      </c>
      <c r="H189" s="39" t="s">
        <v>1441</v>
      </c>
      <c r="I189" s="39" t="s">
        <v>1717</v>
      </c>
      <c r="J189" s="38">
        <v>17763</v>
      </c>
      <c r="K189" s="38" t="s">
        <v>167</v>
      </c>
      <c r="L189" s="38" t="s">
        <v>167</v>
      </c>
      <c r="M189" s="38" t="s">
        <v>167</v>
      </c>
      <c r="N189" s="38" t="s">
        <v>167</v>
      </c>
      <c r="O189" s="38" t="s">
        <v>167</v>
      </c>
      <c r="P189" s="38" t="s">
        <v>167</v>
      </c>
    </row>
    <row r="190" spans="1:16" ht="41.45">
      <c r="A190" s="32" t="s">
        <v>1412</v>
      </c>
      <c r="B190" s="39" t="s">
        <v>479</v>
      </c>
      <c r="C190" s="39" t="s">
        <v>1715</v>
      </c>
      <c r="D190" s="39" t="s">
        <v>1608</v>
      </c>
      <c r="E190" s="41">
        <v>1</v>
      </c>
      <c r="F190" s="40"/>
      <c r="G190" s="39" t="s">
        <v>1438</v>
      </c>
      <c r="H190" s="39" t="s">
        <v>1441</v>
      </c>
      <c r="I190" s="39" t="s">
        <v>1448</v>
      </c>
      <c r="J190" s="38">
        <v>105000</v>
      </c>
      <c r="K190" s="38" t="s">
        <v>167</v>
      </c>
      <c r="L190" s="38" t="s">
        <v>167</v>
      </c>
      <c r="M190" s="38" t="s">
        <v>167</v>
      </c>
      <c r="N190" s="38" t="s">
        <v>167</v>
      </c>
      <c r="O190" s="38" t="s">
        <v>167</v>
      </c>
      <c r="P190" s="38" t="s">
        <v>167</v>
      </c>
    </row>
    <row r="191" spans="1:16" ht="27.6">
      <c r="A191" s="32" t="s">
        <v>1412</v>
      </c>
      <c r="B191" s="39" t="s">
        <v>479</v>
      </c>
      <c r="C191" s="39" t="s">
        <v>1715</v>
      </c>
      <c r="D191" s="39" t="s">
        <v>1520</v>
      </c>
      <c r="E191" s="41">
        <v>1</v>
      </c>
      <c r="F191" s="40"/>
      <c r="G191" s="39" t="s">
        <v>1464</v>
      </c>
      <c r="H191" s="39" t="s">
        <v>1441</v>
      </c>
      <c r="I191" s="39" t="s">
        <v>1718</v>
      </c>
      <c r="J191" s="38">
        <v>6000</v>
      </c>
      <c r="K191" s="38" t="s">
        <v>167</v>
      </c>
      <c r="L191" s="38" t="s">
        <v>167</v>
      </c>
      <c r="M191" s="38" t="s">
        <v>167</v>
      </c>
      <c r="N191" s="38" t="s">
        <v>167</v>
      </c>
      <c r="O191" s="38" t="s">
        <v>167</v>
      </c>
      <c r="P191" s="38" t="s">
        <v>167</v>
      </c>
    </row>
    <row r="192" spans="1:16" ht="27.6">
      <c r="A192" s="32" t="s">
        <v>1412</v>
      </c>
      <c r="B192" s="39" t="s">
        <v>479</v>
      </c>
      <c r="C192" s="39" t="s">
        <v>1715</v>
      </c>
      <c r="D192" s="39" t="s">
        <v>1719</v>
      </c>
      <c r="E192" s="41">
        <v>1</v>
      </c>
      <c r="F192" s="40"/>
      <c r="G192" s="39" t="s">
        <v>1464</v>
      </c>
      <c r="H192" s="39" t="s">
        <v>1441</v>
      </c>
      <c r="I192" s="39" t="s">
        <v>1720</v>
      </c>
      <c r="J192" s="38">
        <v>30000</v>
      </c>
      <c r="K192" s="38" t="s">
        <v>167</v>
      </c>
      <c r="L192" s="38" t="s">
        <v>167</v>
      </c>
      <c r="M192" s="38" t="s">
        <v>167</v>
      </c>
      <c r="N192" s="38" t="s">
        <v>167</v>
      </c>
      <c r="O192" s="38" t="s">
        <v>167</v>
      </c>
      <c r="P192" s="38" t="s">
        <v>167</v>
      </c>
    </row>
    <row r="193" spans="1:16" ht="55.15">
      <c r="A193" s="32" t="s">
        <v>1412</v>
      </c>
      <c r="B193" s="39" t="s">
        <v>1721</v>
      </c>
      <c r="C193" s="39" t="s">
        <v>1722</v>
      </c>
      <c r="D193" s="39" t="s">
        <v>1608</v>
      </c>
      <c r="E193" s="41">
        <v>1</v>
      </c>
      <c r="F193" s="40"/>
      <c r="G193" s="39" t="s">
        <v>1438</v>
      </c>
      <c r="H193" s="39" t="s">
        <v>1441</v>
      </c>
      <c r="I193" s="39" t="s">
        <v>1723</v>
      </c>
      <c r="J193" s="38">
        <v>185000</v>
      </c>
      <c r="K193" s="38" t="s">
        <v>167</v>
      </c>
      <c r="L193" s="38" t="s">
        <v>167</v>
      </c>
      <c r="M193" s="38" t="s">
        <v>167</v>
      </c>
      <c r="N193" s="38" t="s">
        <v>167</v>
      </c>
      <c r="O193" s="38" t="s">
        <v>167</v>
      </c>
      <c r="P193" s="38" t="s">
        <v>167</v>
      </c>
    </row>
    <row r="194" spans="1:16" ht="27.6">
      <c r="A194" s="32" t="s">
        <v>1412</v>
      </c>
      <c r="B194" s="39" t="s">
        <v>1721</v>
      </c>
      <c r="C194" s="39" t="s">
        <v>1722</v>
      </c>
      <c r="D194" s="39" t="s">
        <v>1532</v>
      </c>
      <c r="E194" s="41">
        <v>1</v>
      </c>
      <c r="F194" s="40"/>
      <c r="G194" s="39" t="s">
        <v>1455</v>
      </c>
      <c r="H194" s="39" t="s">
        <v>1441</v>
      </c>
      <c r="I194" s="39" t="s">
        <v>1724</v>
      </c>
      <c r="J194" s="38" t="s">
        <v>167</v>
      </c>
      <c r="K194" s="38">
        <v>75000</v>
      </c>
      <c r="L194" s="38" t="s">
        <v>167</v>
      </c>
      <c r="M194" s="38" t="s">
        <v>167</v>
      </c>
      <c r="N194" s="38" t="s">
        <v>167</v>
      </c>
      <c r="O194" s="38" t="s">
        <v>167</v>
      </c>
      <c r="P194" s="38" t="s">
        <v>167</v>
      </c>
    </row>
    <row r="195" spans="1:16" ht="41.45">
      <c r="A195" s="32" t="s">
        <v>1412</v>
      </c>
      <c r="B195" s="39" t="s">
        <v>1721</v>
      </c>
      <c r="C195" s="39" t="s">
        <v>1722</v>
      </c>
      <c r="D195" s="39" t="s">
        <v>1725</v>
      </c>
      <c r="E195" s="41">
        <v>1</v>
      </c>
      <c r="F195" s="40"/>
      <c r="G195" s="39" t="s">
        <v>1464</v>
      </c>
      <c r="H195" s="39" t="s">
        <v>1441</v>
      </c>
      <c r="I195" s="39" t="s">
        <v>1726</v>
      </c>
      <c r="J195" s="38">
        <v>25000</v>
      </c>
      <c r="K195" s="38" t="s">
        <v>167</v>
      </c>
      <c r="L195" s="38" t="s">
        <v>167</v>
      </c>
      <c r="M195" s="38" t="s">
        <v>167</v>
      </c>
      <c r="N195" s="38">
        <v>45938</v>
      </c>
      <c r="O195" s="38" t="s">
        <v>167</v>
      </c>
      <c r="P195" s="38" t="s">
        <v>167</v>
      </c>
    </row>
    <row r="196" spans="1:16" ht="27.6">
      <c r="A196" s="32" t="s">
        <v>1412</v>
      </c>
      <c r="B196" s="39" t="s">
        <v>340</v>
      </c>
      <c r="C196" s="39" t="s">
        <v>1727</v>
      </c>
      <c r="D196" s="39" t="s">
        <v>1473</v>
      </c>
      <c r="E196" s="41">
        <v>1</v>
      </c>
      <c r="F196" s="40"/>
      <c r="G196" s="39" t="s">
        <v>1602</v>
      </c>
      <c r="H196" s="39" t="s">
        <v>1441</v>
      </c>
      <c r="I196" s="39" t="s">
        <v>1728</v>
      </c>
      <c r="J196" s="38">
        <v>55000</v>
      </c>
      <c r="K196" s="38" t="s">
        <v>167</v>
      </c>
      <c r="L196" s="38" t="s">
        <v>167</v>
      </c>
      <c r="M196" s="38" t="s">
        <v>167</v>
      </c>
      <c r="N196" s="38" t="s">
        <v>167</v>
      </c>
      <c r="O196" s="38" t="s">
        <v>167</v>
      </c>
      <c r="P196" s="38" t="s">
        <v>167</v>
      </c>
    </row>
    <row r="197" spans="1:16">
      <c r="A197" s="32" t="s">
        <v>1412</v>
      </c>
      <c r="B197" s="39" t="s">
        <v>340</v>
      </c>
      <c r="C197" s="39" t="s">
        <v>1727</v>
      </c>
      <c r="D197" s="39" t="s">
        <v>1729</v>
      </c>
      <c r="E197" s="41">
        <v>1</v>
      </c>
      <c r="F197" s="40"/>
      <c r="G197" s="39" t="s">
        <v>1460</v>
      </c>
      <c r="H197" s="39" t="s">
        <v>1441</v>
      </c>
      <c r="I197" s="39" t="s">
        <v>1730</v>
      </c>
      <c r="J197" s="38">
        <v>20000</v>
      </c>
      <c r="K197" s="38" t="s">
        <v>167</v>
      </c>
      <c r="L197" s="38" t="s">
        <v>167</v>
      </c>
      <c r="M197" s="38" t="s">
        <v>167</v>
      </c>
      <c r="N197" s="38" t="s">
        <v>167</v>
      </c>
      <c r="O197" s="38" t="s">
        <v>167</v>
      </c>
      <c r="P197" s="38" t="s">
        <v>167</v>
      </c>
    </row>
    <row r="198" spans="1:16" ht="27.6">
      <c r="A198" s="32" t="s">
        <v>1412</v>
      </c>
      <c r="B198" s="39" t="s">
        <v>240</v>
      </c>
      <c r="C198" s="39" t="s">
        <v>1731</v>
      </c>
      <c r="D198" s="39" t="s">
        <v>1473</v>
      </c>
      <c r="E198" s="41">
        <v>1</v>
      </c>
      <c r="F198" s="40"/>
      <c r="G198" s="39" t="s">
        <v>1602</v>
      </c>
      <c r="H198" s="39" t="s">
        <v>1441</v>
      </c>
      <c r="I198" s="39" t="s">
        <v>1728</v>
      </c>
      <c r="J198" s="38">
        <v>55000</v>
      </c>
      <c r="K198" s="38" t="s">
        <v>167</v>
      </c>
      <c r="L198" s="38" t="s">
        <v>167</v>
      </c>
      <c r="M198" s="38" t="s">
        <v>167</v>
      </c>
      <c r="N198" s="38" t="s">
        <v>167</v>
      </c>
      <c r="O198" s="38" t="s">
        <v>167</v>
      </c>
      <c r="P198" s="38" t="s">
        <v>167</v>
      </c>
    </row>
    <row r="199" spans="1:16">
      <c r="A199" s="32" t="s">
        <v>1412</v>
      </c>
      <c r="B199" s="39" t="s">
        <v>240</v>
      </c>
      <c r="C199" s="39" t="s">
        <v>1731</v>
      </c>
      <c r="D199" s="39" t="s">
        <v>1729</v>
      </c>
      <c r="E199" s="41">
        <v>1</v>
      </c>
      <c r="F199" s="40"/>
      <c r="G199" s="39" t="s">
        <v>1460</v>
      </c>
      <c r="H199" s="39" t="s">
        <v>1441</v>
      </c>
      <c r="I199" s="39" t="s">
        <v>1730</v>
      </c>
      <c r="J199" s="38">
        <v>20000</v>
      </c>
      <c r="K199" s="38" t="s">
        <v>167</v>
      </c>
      <c r="L199" s="38" t="s">
        <v>167</v>
      </c>
      <c r="M199" s="38" t="s">
        <v>167</v>
      </c>
      <c r="N199" s="38" t="s">
        <v>167</v>
      </c>
      <c r="O199" s="38" t="s">
        <v>167</v>
      </c>
      <c r="P199" s="38" t="s">
        <v>167</v>
      </c>
    </row>
    <row r="200" spans="1:16" ht="27.6">
      <c r="A200" s="32" t="s">
        <v>1412</v>
      </c>
      <c r="B200" s="39" t="s">
        <v>316</v>
      </c>
      <c r="C200" s="39" t="s">
        <v>1732</v>
      </c>
      <c r="D200" s="39" t="s">
        <v>1473</v>
      </c>
      <c r="E200" s="41">
        <v>1</v>
      </c>
      <c r="F200" s="40"/>
      <c r="G200" s="39" t="s">
        <v>1602</v>
      </c>
      <c r="H200" s="39" t="s">
        <v>1441</v>
      </c>
      <c r="I200" s="39" t="s">
        <v>1728</v>
      </c>
      <c r="J200" s="38">
        <v>55000</v>
      </c>
      <c r="K200" s="38" t="s">
        <v>167</v>
      </c>
      <c r="L200" s="38" t="s">
        <v>167</v>
      </c>
      <c r="M200" s="38" t="s">
        <v>167</v>
      </c>
      <c r="N200" s="38" t="s">
        <v>167</v>
      </c>
      <c r="O200" s="38" t="s">
        <v>167</v>
      </c>
      <c r="P200" s="38" t="s">
        <v>167</v>
      </c>
    </row>
    <row r="201" spans="1:16">
      <c r="A201" s="32" t="s">
        <v>1412</v>
      </c>
      <c r="B201" s="39" t="s">
        <v>316</v>
      </c>
      <c r="C201" s="39" t="s">
        <v>1732</v>
      </c>
      <c r="D201" s="39" t="s">
        <v>1729</v>
      </c>
      <c r="E201" s="41">
        <v>1</v>
      </c>
      <c r="F201" s="40"/>
      <c r="G201" s="39" t="s">
        <v>1460</v>
      </c>
      <c r="H201" s="39" t="s">
        <v>1441</v>
      </c>
      <c r="I201" s="39" t="s">
        <v>1730</v>
      </c>
      <c r="J201" s="38">
        <v>20000</v>
      </c>
      <c r="K201" s="38" t="s">
        <v>167</v>
      </c>
      <c r="L201" s="38" t="s">
        <v>167</v>
      </c>
      <c r="M201" s="38" t="s">
        <v>167</v>
      </c>
      <c r="N201" s="38" t="s">
        <v>167</v>
      </c>
      <c r="O201" s="38" t="s">
        <v>167</v>
      </c>
      <c r="P201" s="38" t="s">
        <v>167</v>
      </c>
    </row>
    <row r="202" spans="1:16" ht="27.6">
      <c r="A202" s="32" t="s">
        <v>1412</v>
      </c>
      <c r="B202" s="39" t="s">
        <v>310</v>
      </c>
      <c r="C202" s="39" t="s">
        <v>1733</v>
      </c>
      <c r="D202" s="39" t="s">
        <v>1473</v>
      </c>
      <c r="E202" s="41">
        <v>1</v>
      </c>
      <c r="F202" s="40"/>
      <c r="G202" s="39" t="s">
        <v>1602</v>
      </c>
      <c r="H202" s="39" t="s">
        <v>1441</v>
      </c>
      <c r="I202" s="39" t="s">
        <v>1728</v>
      </c>
      <c r="J202" s="38">
        <v>55000</v>
      </c>
      <c r="K202" s="38" t="s">
        <v>167</v>
      </c>
      <c r="L202" s="38" t="s">
        <v>167</v>
      </c>
      <c r="M202" s="38" t="s">
        <v>167</v>
      </c>
      <c r="N202" s="38" t="s">
        <v>167</v>
      </c>
      <c r="O202" s="38" t="s">
        <v>167</v>
      </c>
      <c r="P202" s="38" t="s">
        <v>167</v>
      </c>
    </row>
    <row r="203" spans="1:16">
      <c r="A203" s="32" t="s">
        <v>1412</v>
      </c>
      <c r="B203" s="39" t="s">
        <v>310</v>
      </c>
      <c r="C203" s="39" t="s">
        <v>1733</v>
      </c>
      <c r="D203" s="39" t="s">
        <v>1729</v>
      </c>
      <c r="E203" s="41">
        <v>1</v>
      </c>
      <c r="F203" s="40"/>
      <c r="G203" s="39" t="s">
        <v>1460</v>
      </c>
      <c r="H203" s="39" t="s">
        <v>1441</v>
      </c>
      <c r="I203" s="39" t="s">
        <v>1730</v>
      </c>
      <c r="J203" s="38">
        <v>20000</v>
      </c>
      <c r="K203" s="38" t="s">
        <v>167</v>
      </c>
      <c r="L203" s="38" t="s">
        <v>167</v>
      </c>
      <c r="M203" s="38" t="s">
        <v>167</v>
      </c>
      <c r="N203" s="38" t="s">
        <v>167</v>
      </c>
      <c r="O203" s="38" t="s">
        <v>167</v>
      </c>
      <c r="P203" s="38" t="s">
        <v>167</v>
      </c>
    </row>
    <row r="204" spans="1:16" s="42" customFormat="1">
      <c r="A204" s="46"/>
      <c r="B204" s="37"/>
      <c r="C204" s="37"/>
      <c r="D204" s="37"/>
      <c r="E204" s="45"/>
      <c r="F204" s="44"/>
      <c r="G204" s="37"/>
      <c r="H204" s="37"/>
      <c r="I204" s="37"/>
      <c r="J204" s="43"/>
      <c r="K204" s="43"/>
      <c r="L204" s="43"/>
      <c r="M204" s="43"/>
      <c r="N204" s="43"/>
      <c r="O204" s="43"/>
      <c r="P204" s="43"/>
    </row>
    <row r="205" spans="1:16" ht="27.6">
      <c r="A205" s="32" t="s">
        <v>1413</v>
      </c>
      <c r="B205" s="39" t="s">
        <v>469</v>
      </c>
      <c r="C205" s="39" t="s">
        <v>1734</v>
      </c>
      <c r="D205" s="39" t="s">
        <v>1445</v>
      </c>
      <c r="E205" s="41">
        <v>1</v>
      </c>
      <c r="F205" s="40"/>
      <c r="G205" s="39" t="s">
        <v>1446</v>
      </c>
      <c r="H205" s="39" t="s">
        <v>1441</v>
      </c>
      <c r="I205" s="39" t="s">
        <v>1735</v>
      </c>
      <c r="J205" s="38">
        <v>40000</v>
      </c>
      <c r="K205" s="38" t="s">
        <v>167</v>
      </c>
      <c r="L205" s="38" t="s">
        <v>167</v>
      </c>
      <c r="M205" s="38" t="s">
        <v>167</v>
      </c>
      <c r="N205" s="38" t="s">
        <v>167</v>
      </c>
      <c r="O205" s="38" t="s">
        <v>167</v>
      </c>
      <c r="P205" s="38" t="s">
        <v>167</v>
      </c>
    </row>
    <row r="206" spans="1:16" ht="41.45">
      <c r="A206" s="32" t="s">
        <v>1413</v>
      </c>
      <c r="B206" s="39" t="s">
        <v>469</v>
      </c>
      <c r="C206" s="39" t="s">
        <v>1734</v>
      </c>
      <c r="D206" s="39" t="s">
        <v>1736</v>
      </c>
      <c r="E206" s="41">
        <v>1</v>
      </c>
      <c r="F206" s="40"/>
      <c r="G206" s="39" t="s">
        <v>1464</v>
      </c>
      <c r="H206" s="39" t="s">
        <v>1441</v>
      </c>
      <c r="I206" s="39" t="s">
        <v>1737</v>
      </c>
      <c r="J206" s="38"/>
      <c r="K206" s="38">
        <v>10000</v>
      </c>
      <c r="L206" s="38" t="s">
        <v>167</v>
      </c>
      <c r="M206" s="38" t="s">
        <v>167</v>
      </c>
      <c r="N206" s="38" t="s">
        <v>167</v>
      </c>
      <c r="O206" s="38" t="s">
        <v>167</v>
      </c>
      <c r="P206" s="38" t="s">
        <v>167</v>
      </c>
    </row>
    <row r="207" spans="1:16">
      <c r="A207" s="32" t="s">
        <v>1413</v>
      </c>
      <c r="B207" s="39" t="s">
        <v>469</v>
      </c>
      <c r="C207" s="39" t="s">
        <v>1734</v>
      </c>
      <c r="D207" s="39" t="s">
        <v>1454</v>
      </c>
      <c r="E207" s="41">
        <v>1</v>
      </c>
      <c r="F207" s="40"/>
      <c r="G207" s="39" t="s">
        <v>1455</v>
      </c>
      <c r="H207" s="39" t="s">
        <v>1441</v>
      </c>
      <c r="I207" s="39" t="s">
        <v>1570</v>
      </c>
      <c r="J207" s="38">
        <v>30000</v>
      </c>
      <c r="K207" s="38" t="s">
        <v>167</v>
      </c>
      <c r="L207" s="38">
        <v>10000</v>
      </c>
      <c r="M207" s="38" t="s">
        <v>167</v>
      </c>
      <c r="N207" s="38" t="s">
        <v>167</v>
      </c>
      <c r="O207" s="38" t="s">
        <v>167</v>
      </c>
      <c r="P207" s="38" t="s">
        <v>167</v>
      </c>
    </row>
    <row r="208" spans="1:16" ht="82.9">
      <c r="A208" s="32" t="s">
        <v>1413</v>
      </c>
      <c r="B208" s="39" t="s">
        <v>469</v>
      </c>
      <c r="C208" s="39" t="s">
        <v>1734</v>
      </c>
      <c r="D208" s="39" t="s">
        <v>1508</v>
      </c>
      <c r="E208" s="41">
        <v>1</v>
      </c>
      <c r="F208" s="40"/>
      <c r="G208" s="39" t="s">
        <v>1438</v>
      </c>
      <c r="H208" s="39" t="s">
        <v>1441</v>
      </c>
      <c r="I208" s="39" t="s">
        <v>1738</v>
      </c>
      <c r="J208" s="38"/>
      <c r="K208" s="38">
        <v>242500</v>
      </c>
      <c r="L208" s="38" t="s">
        <v>167</v>
      </c>
      <c r="M208" s="38" t="s">
        <v>167</v>
      </c>
      <c r="N208" s="38">
        <v>173000</v>
      </c>
      <c r="O208" s="38" t="s">
        <v>167</v>
      </c>
      <c r="P208" s="38" t="s">
        <v>167</v>
      </c>
    </row>
    <row r="209" spans="1:16" ht="41.45">
      <c r="A209" s="32" t="s">
        <v>1413</v>
      </c>
      <c r="B209" s="39" t="s">
        <v>469</v>
      </c>
      <c r="C209" s="39" t="s">
        <v>1734</v>
      </c>
      <c r="D209" s="39" t="s">
        <v>1739</v>
      </c>
      <c r="E209" s="41">
        <v>1</v>
      </c>
      <c r="F209" s="40"/>
      <c r="G209" s="39" t="s">
        <v>1464</v>
      </c>
      <c r="H209" s="39" t="s">
        <v>1441</v>
      </c>
      <c r="I209" s="39" t="s">
        <v>1570</v>
      </c>
      <c r="J209" s="38">
        <v>6000</v>
      </c>
      <c r="K209" s="38" t="s">
        <v>167</v>
      </c>
      <c r="L209" s="38" t="s">
        <v>167</v>
      </c>
      <c r="M209" s="38" t="s">
        <v>167</v>
      </c>
      <c r="N209" s="38" t="s">
        <v>167</v>
      </c>
      <c r="O209" s="38" t="s">
        <v>167</v>
      </c>
      <c r="P209" s="38" t="s">
        <v>167</v>
      </c>
    </row>
    <row r="210" spans="1:16">
      <c r="A210" s="32" t="s">
        <v>1413</v>
      </c>
      <c r="B210" s="39" t="s">
        <v>469</v>
      </c>
      <c r="C210" s="39" t="s">
        <v>1734</v>
      </c>
      <c r="D210" s="39" t="s">
        <v>1740</v>
      </c>
      <c r="E210" s="41">
        <v>1</v>
      </c>
      <c r="F210" s="40"/>
      <c r="G210" s="39" t="s">
        <v>1464</v>
      </c>
      <c r="H210" s="39" t="s">
        <v>1441</v>
      </c>
      <c r="I210" s="39" t="s">
        <v>1741</v>
      </c>
      <c r="J210" s="38">
        <v>150000</v>
      </c>
      <c r="K210" s="38" t="s">
        <v>167</v>
      </c>
      <c r="L210" s="38" t="s">
        <v>167</v>
      </c>
      <c r="M210" s="38" t="s">
        <v>167</v>
      </c>
      <c r="N210" s="38" t="s">
        <v>167</v>
      </c>
      <c r="O210" s="38" t="s">
        <v>167</v>
      </c>
      <c r="P210" s="38" t="s">
        <v>167</v>
      </c>
    </row>
    <row r="211" spans="1:16" ht="27.6">
      <c r="A211" s="32" t="s">
        <v>1413</v>
      </c>
      <c r="B211" s="39" t="s">
        <v>1742</v>
      </c>
      <c r="C211" s="39" t="s">
        <v>1743</v>
      </c>
      <c r="D211" s="39" t="s">
        <v>1446</v>
      </c>
      <c r="E211" s="41">
        <v>1</v>
      </c>
      <c r="F211" s="40"/>
      <c r="G211" s="39" t="s">
        <v>1446</v>
      </c>
      <c r="H211" s="39" t="s">
        <v>1441</v>
      </c>
      <c r="I211" s="39" t="s">
        <v>1682</v>
      </c>
      <c r="J211" s="38">
        <v>5000</v>
      </c>
      <c r="K211" s="38" t="s">
        <v>167</v>
      </c>
      <c r="L211" s="38" t="s">
        <v>167</v>
      </c>
      <c r="M211" s="38" t="s">
        <v>167</v>
      </c>
      <c r="N211" s="38" t="s">
        <v>167</v>
      </c>
      <c r="O211" s="38" t="s">
        <v>167</v>
      </c>
      <c r="P211" s="38" t="s">
        <v>167</v>
      </c>
    </row>
    <row r="212" spans="1:16" ht="41.45">
      <c r="A212" s="32" t="s">
        <v>1413</v>
      </c>
      <c r="B212" s="39" t="s">
        <v>1742</v>
      </c>
      <c r="C212" s="39" t="s">
        <v>1743</v>
      </c>
      <c r="D212" s="39" t="s">
        <v>1532</v>
      </c>
      <c r="E212" s="41">
        <v>1</v>
      </c>
      <c r="F212" s="40"/>
      <c r="G212" s="39" t="s">
        <v>1455</v>
      </c>
      <c r="H212" s="39" t="s">
        <v>1441</v>
      </c>
      <c r="I212" s="39" t="s">
        <v>1744</v>
      </c>
      <c r="J212" s="38"/>
      <c r="K212" s="38">
        <v>5000</v>
      </c>
      <c r="L212" s="38" t="s">
        <v>167</v>
      </c>
      <c r="M212" s="38" t="s">
        <v>167</v>
      </c>
      <c r="N212" s="38" t="s">
        <v>167</v>
      </c>
      <c r="O212" s="38" t="s">
        <v>167</v>
      </c>
      <c r="P212" s="38" t="s">
        <v>167</v>
      </c>
    </row>
    <row r="213" spans="1:16">
      <c r="A213" s="32" t="s">
        <v>1413</v>
      </c>
      <c r="B213" s="39" t="s">
        <v>1742</v>
      </c>
      <c r="C213" s="39" t="s">
        <v>1743</v>
      </c>
      <c r="D213" s="39" t="s">
        <v>1468</v>
      </c>
      <c r="E213" s="41">
        <v>1</v>
      </c>
      <c r="F213" s="40"/>
      <c r="G213" s="39" t="s">
        <v>1464</v>
      </c>
      <c r="H213" s="39" t="s">
        <v>1441</v>
      </c>
      <c r="I213" s="39" t="s">
        <v>1745</v>
      </c>
      <c r="J213" s="38">
        <v>15000</v>
      </c>
      <c r="K213" s="38" t="s">
        <v>167</v>
      </c>
      <c r="L213" s="38" t="s">
        <v>167</v>
      </c>
      <c r="M213" s="38" t="s">
        <v>167</v>
      </c>
      <c r="N213" s="38" t="s">
        <v>167</v>
      </c>
      <c r="O213" s="38" t="s">
        <v>167</v>
      </c>
      <c r="P213" s="38" t="s">
        <v>167</v>
      </c>
    </row>
    <row r="214" spans="1:16" ht="27.6">
      <c r="A214" s="32" t="s">
        <v>1413</v>
      </c>
      <c r="B214" s="39" t="s">
        <v>1746</v>
      </c>
      <c r="C214" s="39" t="s">
        <v>1747</v>
      </c>
      <c r="D214" s="39" t="s">
        <v>1446</v>
      </c>
      <c r="E214" s="41">
        <v>1</v>
      </c>
      <c r="F214" s="40"/>
      <c r="G214" s="39" t="s">
        <v>1446</v>
      </c>
      <c r="H214" s="39" t="s">
        <v>1441</v>
      </c>
      <c r="I214" s="39" t="s">
        <v>1655</v>
      </c>
      <c r="J214" s="38"/>
      <c r="K214" s="38">
        <v>73400</v>
      </c>
      <c r="L214" s="38" t="s">
        <v>167</v>
      </c>
      <c r="M214" s="38" t="s">
        <v>167</v>
      </c>
      <c r="N214" s="38" t="s">
        <v>167</v>
      </c>
      <c r="O214" s="38" t="s">
        <v>167</v>
      </c>
      <c r="P214" s="38" t="s">
        <v>167</v>
      </c>
    </row>
    <row r="215" spans="1:16">
      <c r="A215" s="32" t="s">
        <v>1413</v>
      </c>
      <c r="B215" s="39" t="s">
        <v>1746</v>
      </c>
      <c r="C215" s="39" t="s">
        <v>1747</v>
      </c>
      <c r="D215" s="39" t="s">
        <v>1508</v>
      </c>
      <c r="E215" s="41">
        <v>1</v>
      </c>
      <c r="F215" s="40"/>
      <c r="G215" s="39" t="s">
        <v>1438</v>
      </c>
      <c r="H215" s="39" t="s">
        <v>1441</v>
      </c>
      <c r="I215" s="39" t="s">
        <v>1748</v>
      </c>
      <c r="J215" s="38" t="s">
        <v>167</v>
      </c>
      <c r="K215" s="38" t="s">
        <v>167</v>
      </c>
      <c r="L215" s="38">
        <v>223000</v>
      </c>
      <c r="M215" s="38">
        <v>43300</v>
      </c>
      <c r="N215" s="38">
        <v>9900</v>
      </c>
      <c r="O215" s="38" t="s">
        <v>167</v>
      </c>
      <c r="P215" s="38" t="s">
        <v>167</v>
      </c>
    </row>
    <row r="216" spans="1:16" ht="27.6">
      <c r="A216" s="32" t="s">
        <v>1413</v>
      </c>
      <c r="B216" s="39" t="s">
        <v>1746</v>
      </c>
      <c r="C216" s="39" t="s">
        <v>1747</v>
      </c>
      <c r="D216" s="39" t="s">
        <v>1532</v>
      </c>
      <c r="E216" s="41">
        <v>1</v>
      </c>
      <c r="F216" s="40"/>
      <c r="G216" s="39" t="s">
        <v>1602</v>
      </c>
      <c r="H216" s="39" t="s">
        <v>1441</v>
      </c>
      <c r="I216" s="39" t="s">
        <v>1628</v>
      </c>
      <c r="J216" s="38" t="s">
        <v>167</v>
      </c>
      <c r="K216" s="38">
        <v>186600</v>
      </c>
      <c r="L216" s="38" t="s">
        <v>167</v>
      </c>
      <c r="M216" s="38" t="s">
        <v>167</v>
      </c>
      <c r="N216" s="38" t="s">
        <v>167</v>
      </c>
      <c r="O216" s="38" t="s">
        <v>167</v>
      </c>
      <c r="P216" s="38" t="s">
        <v>167</v>
      </c>
    </row>
    <row r="217" spans="1:16" ht="27.6">
      <c r="A217" s="32" t="s">
        <v>1413</v>
      </c>
      <c r="B217" s="39" t="s">
        <v>254</v>
      </c>
      <c r="C217" s="39" t="s">
        <v>1749</v>
      </c>
      <c r="D217" s="39" t="s">
        <v>1438</v>
      </c>
      <c r="E217" s="41">
        <v>1</v>
      </c>
      <c r="F217" s="40"/>
      <c r="G217" s="39" t="s">
        <v>1438</v>
      </c>
      <c r="H217" s="39" t="s">
        <v>1441</v>
      </c>
      <c r="I217" s="39" t="s">
        <v>1750</v>
      </c>
      <c r="J217" s="38">
        <v>480000</v>
      </c>
      <c r="K217" s="38" t="s">
        <v>167</v>
      </c>
      <c r="L217" s="38" t="s">
        <v>167</v>
      </c>
      <c r="M217" s="38" t="s">
        <v>167</v>
      </c>
      <c r="N217" s="38" t="s">
        <v>167</v>
      </c>
      <c r="O217" s="38" t="s">
        <v>167</v>
      </c>
      <c r="P217" s="38" t="s">
        <v>167</v>
      </c>
    </row>
    <row r="218" spans="1:16">
      <c r="A218" s="32" t="s">
        <v>1413</v>
      </c>
      <c r="B218" s="39" t="s">
        <v>254</v>
      </c>
      <c r="C218" s="39" t="s">
        <v>1749</v>
      </c>
      <c r="D218" s="39" t="s">
        <v>1751</v>
      </c>
      <c r="E218" s="41">
        <v>1</v>
      </c>
      <c r="F218" s="40"/>
      <c r="G218" s="39" t="s">
        <v>1464</v>
      </c>
      <c r="H218" s="39" t="s">
        <v>1441</v>
      </c>
      <c r="I218" s="39" t="s">
        <v>1752</v>
      </c>
      <c r="J218" s="38">
        <v>7500</v>
      </c>
      <c r="K218" s="38" t="s">
        <v>167</v>
      </c>
      <c r="L218" s="38" t="s">
        <v>167</v>
      </c>
      <c r="M218" s="38" t="s">
        <v>167</v>
      </c>
      <c r="N218" s="38" t="s">
        <v>167</v>
      </c>
      <c r="O218" s="38" t="s">
        <v>167</v>
      </c>
      <c r="P218" s="38" t="s">
        <v>167</v>
      </c>
    </row>
    <row r="219" spans="1:16" ht="179.45">
      <c r="A219" s="32" t="s">
        <v>1413</v>
      </c>
      <c r="B219" s="39" t="s">
        <v>254</v>
      </c>
      <c r="C219" s="39" t="s">
        <v>1749</v>
      </c>
      <c r="D219" s="39" t="s">
        <v>1753</v>
      </c>
      <c r="E219" s="41">
        <v>1</v>
      </c>
      <c r="F219" s="40"/>
      <c r="G219" s="39" t="s">
        <v>1464</v>
      </c>
      <c r="H219" s="39" t="s">
        <v>1441</v>
      </c>
      <c r="I219" s="39" t="s">
        <v>1754</v>
      </c>
      <c r="J219" s="38">
        <v>120000</v>
      </c>
      <c r="K219" s="38" t="s">
        <v>167</v>
      </c>
      <c r="L219" s="38" t="s">
        <v>167</v>
      </c>
      <c r="M219" s="38" t="s">
        <v>167</v>
      </c>
      <c r="N219" s="38" t="s">
        <v>167</v>
      </c>
      <c r="O219" s="38" t="s">
        <v>167</v>
      </c>
      <c r="P219" s="38" t="s">
        <v>167</v>
      </c>
    </row>
    <row r="220" spans="1:16">
      <c r="A220" s="32" t="s">
        <v>1413</v>
      </c>
      <c r="B220" s="39" t="s">
        <v>1755</v>
      </c>
      <c r="C220" s="39" t="s">
        <v>1756</v>
      </c>
      <c r="D220" s="39" t="s">
        <v>1454</v>
      </c>
      <c r="E220" s="41">
        <v>1</v>
      </c>
      <c r="F220" s="40"/>
      <c r="G220" s="39" t="s">
        <v>1455</v>
      </c>
      <c r="H220" s="39" t="s">
        <v>1441</v>
      </c>
      <c r="I220" s="39" t="s">
        <v>1757</v>
      </c>
      <c r="J220" s="38">
        <v>20000</v>
      </c>
      <c r="K220" s="38">
        <v>20000</v>
      </c>
      <c r="L220" s="38">
        <v>20000</v>
      </c>
      <c r="M220" s="38" t="s">
        <v>167</v>
      </c>
      <c r="N220" s="38" t="s">
        <v>167</v>
      </c>
      <c r="O220" s="38" t="s">
        <v>167</v>
      </c>
      <c r="P220" s="38" t="s">
        <v>167</v>
      </c>
    </row>
    <row r="221" spans="1:16" ht="41.45">
      <c r="A221" s="32" t="s">
        <v>1413</v>
      </c>
      <c r="B221" s="39" t="s">
        <v>1755</v>
      </c>
      <c r="C221" s="39" t="s">
        <v>1756</v>
      </c>
      <c r="D221" s="39" t="s">
        <v>1438</v>
      </c>
      <c r="E221" s="41">
        <v>1</v>
      </c>
      <c r="F221" s="40"/>
      <c r="G221" s="39" t="s">
        <v>1438</v>
      </c>
      <c r="H221" s="39" t="s">
        <v>1441</v>
      </c>
      <c r="I221" s="39" t="s">
        <v>1758</v>
      </c>
      <c r="J221" s="38">
        <v>638000</v>
      </c>
      <c r="K221" s="38" t="s">
        <v>167</v>
      </c>
      <c r="L221" s="38" t="s">
        <v>167</v>
      </c>
      <c r="M221" s="38" t="s">
        <v>167</v>
      </c>
      <c r="N221" s="38" t="s">
        <v>167</v>
      </c>
      <c r="O221" s="38" t="s">
        <v>167</v>
      </c>
      <c r="P221" s="38" t="s">
        <v>167</v>
      </c>
    </row>
    <row r="222" spans="1:16" ht="27.6">
      <c r="A222" s="32" t="s">
        <v>1413</v>
      </c>
      <c r="B222" s="39" t="s">
        <v>1755</v>
      </c>
      <c r="C222" s="39" t="s">
        <v>1756</v>
      </c>
      <c r="D222" s="39" t="s">
        <v>1759</v>
      </c>
      <c r="E222" s="41">
        <v>1</v>
      </c>
      <c r="F222" s="40"/>
      <c r="G222" s="39" t="s">
        <v>1464</v>
      </c>
      <c r="H222" s="39" t="s">
        <v>1441</v>
      </c>
      <c r="I222" s="39" t="s">
        <v>1760</v>
      </c>
      <c r="J222" s="38">
        <v>15000</v>
      </c>
      <c r="K222" s="38" t="s">
        <v>167</v>
      </c>
      <c r="L222" s="38" t="s">
        <v>167</v>
      </c>
      <c r="M222" s="38" t="s">
        <v>167</v>
      </c>
      <c r="N222" s="38" t="s">
        <v>167</v>
      </c>
      <c r="O222" s="38" t="s">
        <v>167</v>
      </c>
      <c r="P222" s="38" t="s">
        <v>167</v>
      </c>
    </row>
    <row r="223" spans="1:16" s="42" customFormat="1">
      <c r="A223" s="46"/>
      <c r="B223" s="37"/>
      <c r="C223" s="37"/>
      <c r="D223" s="37"/>
      <c r="E223" s="45"/>
      <c r="F223" s="44"/>
      <c r="G223" s="37"/>
      <c r="H223" s="37"/>
      <c r="I223" s="37"/>
      <c r="J223" s="43"/>
      <c r="K223" s="43"/>
      <c r="L223" s="43"/>
      <c r="M223" s="43"/>
      <c r="N223" s="43"/>
      <c r="O223" s="43"/>
      <c r="P223" s="43"/>
    </row>
    <row r="224" spans="1:16" ht="27.6">
      <c r="A224" s="32" t="s">
        <v>158</v>
      </c>
      <c r="B224" s="39" t="s">
        <v>1761</v>
      </c>
      <c r="C224" s="39" t="s">
        <v>1762</v>
      </c>
      <c r="D224" s="39" t="s">
        <v>1532</v>
      </c>
      <c r="E224" s="41">
        <v>1</v>
      </c>
      <c r="F224" s="40"/>
      <c r="G224" s="39" t="s">
        <v>1455</v>
      </c>
      <c r="H224" s="39" t="s">
        <v>1441</v>
      </c>
      <c r="I224" s="39" t="s">
        <v>1516</v>
      </c>
      <c r="J224" s="38">
        <v>17500</v>
      </c>
      <c r="K224" s="38">
        <v>17500</v>
      </c>
      <c r="L224" s="38">
        <v>17500</v>
      </c>
      <c r="M224" s="38" t="s">
        <v>167</v>
      </c>
      <c r="N224" s="38" t="s">
        <v>167</v>
      </c>
      <c r="O224" s="38" t="s">
        <v>167</v>
      </c>
      <c r="P224" s="38" t="s">
        <v>167</v>
      </c>
    </row>
    <row r="225" spans="1:16" ht="27.6">
      <c r="A225" s="32" t="s">
        <v>158</v>
      </c>
      <c r="B225" s="39" t="s">
        <v>436</v>
      </c>
      <c r="C225" s="39" t="s">
        <v>1763</v>
      </c>
      <c r="D225" s="39" t="s">
        <v>1532</v>
      </c>
      <c r="E225" s="41">
        <v>1</v>
      </c>
      <c r="F225" s="40"/>
      <c r="G225" s="39" t="s">
        <v>1455</v>
      </c>
      <c r="H225" s="39" t="s">
        <v>1441</v>
      </c>
      <c r="I225" s="39" t="s">
        <v>1516</v>
      </c>
      <c r="J225" s="38">
        <v>17500</v>
      </c>
      <c r="K225" s="38">
        <v>17500</v>
      </c>
      <c r="L225" s="38">
        <v>17500</v>
      </c>
      <c r="M225" s="38" t="s">
        <v>167</v>
      </c>
      <c r="N225" s="38" t="s">
        <v>167</v>
      </c>
      <c r="O225" s="38" t="s">
        <v>167</v>
      </c>
      <c r="P225" s="38" t="s">
        <v>167</v>
      </c>
    </row>
    <row r="226" spans="1:16" ht="27.6">
      <c r="A226" s="32" t="s">
        <v>158</v>
      </c>
      <c r="B226" s="39" t="s">
        <v>331</v>
      </c>
      <c r="C226" s="39" t="s">
        <v>1764</v>
      </c>
      <c r="D226" s="39" t="s">
        <v>1438</v>
      </c>
      <c r="E226" s="41">
        <v>1</v>
      </c>
      <c r="F226" s="40"/>
      <c r="G226" s="39" t="s">
        <v>1438</v>
      </c>
      <c r="H226" s="39" t="s">
        <v>1441</v>
      </c>
      <c r="I226" s="39" t="s">
        <v>1765</v>
      </c>
      <c r="J226" s="38"/>
      <c r="K226" s="38" t="s">
        <v>167</v>
      </c>
      <c r="L226" s="38">
        <v>850000</v>
      </c>
      <c r="M226" s="38" t="s">
        <v>167</v>
      </c>
      <c r="N226" s="38" t="s">
        <v>167</v>
      </c>
      <c r="O226" s="38" t="s">
        <v>167</v>
      </c>
      <c r="P226" s="38" t="s">
        <v>167</v>
      </c>
    </row>
    <row r="227" spans="1:16" s="42" customFormat="1">
      <c r="A227" s="46"/>
      <c r="B227" s="37"/>
      <c r="C227" s="37"/>
      <c r="D227" s="37"/>
      <c r="E227" s="45"/>
      <c r="F227" s="44"/>
      <c r="G227" s="37"/>
      <c r="H227" s="37"/>
      <c r="I227" s="37"/>
      <c r="J227" s="43"/>
      <c r="K227" s="43"/>
      <c r="L227" s="43"/>
      <c r="M227" s="43"/>
      <c r="N227" s="43"/>
      <c r="O227" s="43"/>
      <c r="P227" s="43"/>
    </row>
    <row r="228" spans="1:16">
      <c r="A228" s="32" t="s">
        <v>1414</v>
      </c>
      <c r="B228" s="39" t="s">
        <v>1766</v>
      </c>
      <c r="C228" s="39" t="s">
        <v>1767</v>
      </c>
      <c r="D228" s="39" t="s">
        <v>1446</v>
      </c>
      <c r="E228" s="41">
        <v>1</v>
      </c>
      <c r="F228" s="40"/>
      <c r="G228" s="39" t="s">
        <v>1446</v>
      </c>
      <c r="H228" s="39" t="s">
        <v>1441</v>
      </c>
      <c r="I228" s="39" t="s">
        <v>1535</v>
      </c>
      <c r="J228" s="38">
        <v>14000</v>
      </c>
      <c r="K228" s="38" t="s">
        <v>167</v>
      </c>
      <c r="L228" s="38" t="s">
        <v>167</v>
      </c>
      <c r="M228" s="38" t="s">
        <v>167</v>
      </c>
      <c r="N228" s="38" t="s">
        <v>167</v>
      </c>
      <c r="O228" s="38" t="s">
        <v>167</v>
      </c>
      <c r="P228" s="38" t="s">
        <v>167</v>
      </c>
    </row>
    <row r="229" spans="1:16">
      <c r="A229" s="32" t="s">
        <v>1414</v>
      </c>
      <c r="B229" s="39" t="s">
        <v>1766</v>
      </c>
      <c r="C229" s="39" t="s">
        <v>1767</v>
      </c>
      <c r="D229" s="39" t="s">
        <v>1438</v>
      </c>
      <c r="E229" s="41">
        <v>1</v>
      </c>
      <c r="F229" s="40"/>
      <c r="G229" s="39" t="s">
        <v>1438</v>
      </c>
      <c r="H229" s="39" t="s">
        <v>1441</v>
      </c>
      <c r="I229" s="39" t="s">
        <v>1535</v>
      </c>
      <c r="J229" s="38">
        <v>274500</v>
      </c>
      <c r="K229" s="38" t="s">
        <v>167</v>
      </c>
      <c r="L229" s="38" t="s">
        <v>167</v>
      </c>
      <c r="M229" s="38" t="s">
        <v>167</v>
      </c>
      <c r="N229" s="38" t="s">
        <v>167</v>
      </c>
      <c r="O229" s="38" t="s">
        <v>167</v>
      </c>
      <c r="P229" s="38" t="s">
        <v>167</v>
      </c>
    </row>
    <row r="230" spans="1:16" ht="27.6">
      <c r="A230" s="32" t="s">
        <v>1414</v>
      </c>
      <c r="B230" s="39" t="s">
        <v>1766</v>
      </c>
      <c r="C230" s="39" t="s">
        <v>1767</v>
      </c>
      <c r="D230" s="39" t="s">
        <v>1768</v>
      </c>
      <c r="E230" s="41">
        <v>1</v>
      </c>
      <c r="F230" s="40"/>
      <c r="G230" s="39" t="s">
        <v>1460</v>
      </c>
      <c r="H230" s="39" t="s">
        <v>1441</v>
      </c>
      <c r="I230" s="39" t="s">
        <v>1769</v>
      </c>
      <c r="J230" s="38">
        <v>410000</v>
      </c>
      <c r="K230" s="38" t="s">
        <v>167</v>
      </c>
      <c r="L230" s="38" t="s">
        <v>167</v>
      </c>
      <c r="M230" s="38" t="s">
        <v>167</v>
      </c>
      <c r="N230" s="38" t="s">
        <v>167</v>
      </c>
      <c r="O230" s="38" t="s">
        <v>167</v>
      </c>
      <c r="P230" s="38" t="s">
        <v>167</v>
      </c>
    </row>
    <row r="231" spans="1:16" ht="27.6">
      <c r="A231" s="32" t="s">
        <v>1414</v>
      </c>
      <c r="B231" s="39" t="s">
        <v>1770</v>
      </c>
      <c r="C231" s="39" t="s">
        <v>1771</v>
      </c>
      <c r="D231" s="39" t="s">
        <v>1454</v>
      </c>
      <c r="E231" s="41">
        <v>1</v>
      </c>
      <c r="F231" s="40"/>
      <c r="G231" s="39" t="s">
        <v>1455</v>
      </c>
      <c r="H231" s="39" t="s">
        <v>1441</v>
      </c>
      <c r="I231" s="39" t="s">
        <v>1772</v>
      </c>
      <c r="J231" s="38">
        <v>40000</v>
      </c>
      <c r="K231" s="38" t="s">
        <v>167</v>
      </c>
      <c r="L231" s="38" t="s">
        <v>167</v>
      </c>
      <c r="M231" s="38" t="s">
        <v>167</v>
      </c>
      <c r="N231" s="38" t="s">
        <v>167</v>
      </c>
      <c r="O231" s="38" t="s">
        <v>167</v>
      </c>
      <c r="P231" s="38" t="s">
        <v>167</v>
      </c>
    </row>
    <row r="232" spans="1:16">
      <c r="A232" s="32" t="s">
        <v>1414</v>
      </c>
      <c r="B232" s="39" t="s">
        <v>1770</v>
      </c>
      <c r="C232" s="39" t="s">
        <v>1771</v>
      </c>
      <c r="D232" s="39" t="s">
        <v>1504</v>
      </c>
      <c r="E232" s="41">
        <v>1</v>
      </c>
      <c r="F232" s="40"/>
      <c r="G232" s="39" t="s">
        <v>1464</v>
      </c>
      <c r="H232" s="39" t="s">
        <v>1441</v>
      </c>
      <c r="I232" s="39" t="s">
        <v>1773</v>
      </c>
      <c r="J232" s="38" t="s">
        <v>167</v>
      </c>
      <c r="K232" s="38" t="s">
        <v>167</v>
      </c>
      <c r="L232" s="38" t="s">
        <v>167</v>
      </c>
      <c r="M232" s="38">
        <v>25000</v>
      </c>
      <c r="N232" s="38" t="s">
        <v>167</v>
      </c>
      <c r="O232" s="38" t="s">
        <v>167</v>
      </c>
      <c r="P232" s="38" t="s">
        <v>167</v>
      </c>
    </row>
    <row r="233" spans="1:16">
      <c r="A233" s="32" t="s">
        <v>1414</v>
      </c>
      <c r="B233" s="39" t="s">
        <v>246</v>
      </c>
      <c r="C233" s="39" t="s">
        <v>243</v>
      </c>
      <c r="D233" s="39" t="s">
        <v>1446</v>
      </c>
      <c r="E233" s="41">
        <v>1</v>
      </c>
      <c r="F233" s="40"/>
      <c r="G233" s="39" t="s">
        <v>1446</v>
      </c>
      <c r="H233" s="39" t="s">
        <v>1441</v>
      </c>
      <c r="I233" s="39" t="s">
        <v>1774</v>
      </c>
      <c r="J233" s="38" t="s">
        <v>167</v>
      </c>
      <c r="K233" s="38" t="s">
        <v>167</v>
      </c>
      <c r="L233" s="38" t="s">
        <v>167</v>
      </c>
      <c r="M233" s="38">
        <v>14000</v>
      </c>
      <c r="N233" s="38" t="s">
        <v>167</v>
      </c>
      <c r="O233" s="38" t="s">
        <v>167</v>
      </c>
      <c r="P233" s="38" t="s">
        <v>167</v>
      </c>
    </row>
    <row r="234" spans="1:16">
      <c r="A234" s="32" t="s">
        <v>1414</v>
      </c>
      <c r="B234" s="39" t="s">
        <v>246</v>
      </c>
      <c r="C234" s="39" t="s">
        <v>243</v>
      </c>
      <c r="D234" s="39" t="s">
        <v>1508</v>
      </c>
      <c r="E234" s="41">
        <v>1</v>
      </c>
      <c r="F234" s="40"/>
      <c r="G234" s="39" t="s">
        <v>1438</v>
      </c>
      <c r="H234" s="39" t="s">
        <v>1441</v>
      </c>
      <c r="I234" s="39" t="s">
        <v>1604</v>
      </c>
      <c r="J234" s="38" t="s">
        <v>167</v>
      </c>
      <c r="K234" s="38">
        <v>165000</v>
      </c>
      <c r="L234" s="38" t="s">
        <v>167</v>
      </c>
      <c r="M234" s="38" t="s">
        <v>167</v>
      </c>
      <c r="N234" s="38" t="s">
        <v>167</v>
      </c>
      <c r="O234" s="38" t="s">
        <v>167</v>
      </c>
      <c r="P234" s="38" t="s">
        <v>167</v>
      </c>
    </row>
    <row r="235" spans="1:16">
      <c r="A235" s="32" t="s">
        <v>1414</v>
      </c>
      <c r="B235" s="39" t="s">
        <v>605</v>
      </c>
      <c r="C235" s="39" t="s">
        <v>1775</v>
      </c>
      <c r="D235" s="39" t="s">
        <v>1776</v>
      </c>
      <c r="E235" s="41">
        <v>1</v>
      </c>
      <c r="F235" s="40"/>
      <c r="G235" s="39" t="s">
        <v>1455</v>
      </c>
      <c r="H235" s="39" t="s">
        <v>1441</v>
      </c>
      <c r="I235" s="39" t="s">
        <v>1535</v>
      </c>
      <c r="J235" s="38">
        <v>10000</v>
      </c>
      <c r="K235" s="38" t="s">
        <v>167</v>
      </c>
      <c r="L235" s="38" t="s">
        <v>167</v>
      </c>
      <c r="M235" s="38" t="s">
        <v>167</v>
      </c>
      <c r="N235" s="38" t="s">
        <v>167</v>
      </c>
      <c r="O235" s="38" t="s">
        <v>167</v>
      </c>
      <c r="P235" s="38" t="s">
        <v>167</v>
      </c>
    </row>
    <row r="236" spans="1:16">
      <c r="A236" s="32" t="s">
        <v>1414</v>
      </c>
      <c r="B236" s="39" t="s">
        <v>656</v>
      </c>
      <c r="C236" s="39" t="s">
        <v>1777</v>
      </c>
      <c r="D236" s="39" t="s">
        <v>1446</v>
      </c>
      <c r="E236" s="41">
        <v>1</v>
      </c>
      <c r="F236" s="40"/>
      <c r="G236" s="39" t="s">
        <v>1446</v>
      </c>
      <c r="H236" s="39" t="s">
        <v>1441</v>
      </c>
      <c r="I236" s="39" t="s">
        <v>1535</v>
      </c>
      <c r="J236" s="38">
        <v>9100</v>
      </c>
      <c r="K236" s="38">
        <v>9100</v>
      </c>
      <c r="L236" s="38">
        <v>9100</v>
      </c>
      <c r="M236" s="38">
        <v>9100</v>
      </c>
      <c r="N236" s="38">
        <v>9100</v>
      </c>
      <c r="O236" s="38" t="s">
        <v>167</v>
      </c>
      <c r="P236" s="38" t="s">
        <v>167</v>
      </c>
    </row>
    <row r="237" spans="1:16">
      <c r="A237" s="32" t="s">
        <v>1414</v>
      </c>
      <c r="B237" s="39" t="s">
        <v>355</v>
      </c>
      <c r="C237" s="39" t="s">
        <v>353</v>
      </c>
      <c r="D237" s="39" t="s">
        <v>1445</v>
      </c>
      <c r="E237" s="41">
        <v>1</v>
      </c>
      <c r="F237" s="40"/>
      <c r="G237" s="39" t="s">
        <v>1446</v>
      </c>
      <c r="H237" s="39" t="s">
        <v>1441</v>
      </c>
      <c r="I237" s="39" t="s">
        <v>1570</v>
      </c>
      <c r="J237" s="38">
        <v>34500</v>
      </c>
      <c r="K237" s="38">
        <v>17500</v>
      </c>
      <c r="L237" s="38">
        <v>17500</v>
      </c>
      <c r="M237" s="38" t="s">
        <v>167</v>
      </c>
      <c r="N237" s="38" t="s">
        <v>167</v>
      </c>
      <c r="O237" s="38" t="s">
        <v>167</v>
      </c>
      <c r="P237" s="38" t="s">
        <v>167</v>
      </c>
    </row>
    <row r="238" spans="1:16">
      <c r="A238" s="32" t="s">
        <v>1414</v>
      </c>
      <c r="B238" s="39" t="s">
        <v>355</v>
      </c>
      <c r="C238" s="39" t="s">
        <v>353</v>
      </c>
      <c r="D238" s="39" t="s">
        <v>1454</v>
      </c>
      <c r="E238" s="41">
        <v>1</v>
      </c>
      <c r="F238" s="40"/>
      <c r="G238" s="39" t="s">
        <v>1455</v>
      </c>
      <c r="H238" s="39" t="s">
        <v>1441</v>
      </c>
      <c r="I238" s="39" t="s">
        <v>1570</v>
      </c>
      <c r="J238" s="38">
        <v>90000</v>
      </c>
      <c r="K238" s="38" t="s">
        <v>167</v>
      </c>
      <c r="L238" s="38" t="s">
        <v>167</v>
      </c>
      <c r="M238" s="38" t="s">
        <v>167</v>
      </c>
      <c r="N238" s="38" t="s">
        <v>167</v>
      </c>
      <c r="O238" s="38" t="s">
        <v>167</v>
      </c>
      <c r="P238" s="38" t="s">
        <v>167</v>
      </c>
    </row>
    <row r="239" spans="1:16" ht="41.45">
      <c r="A239" s="32" t="s">
        <v>1414</v>
      </c>
      <c r="B239" s="39" t="s">
        <v>602</v>
      </c>
      <c r="C239" s="39" t="s">
        <v>1778</v>
      </c>
      <c r="D239" s="39" t="s">
        <v>1438</v>
      </c>
      <c r="E239" s="41">
        <v>1</v>
      </c>
      <c r="F239" s="40"/>
      <c r="G239" s="39" t="s">
        <v>1438</v>
      </c>
      <c r="H239" s="39" t="s">
        <v>1441</v>
      </c>
      <c r="I239" s="39" t="s">
        <v>1779</v>
      </c>
      <c r="J239" s="38" t="s">
        <v>167</v>
      </c>
      <c r="K239" s="38" t="s">
        <v>167</v>
      </c>
      <c r="L239" s="38">
        <v>137000</v>
      </c>
      <c r="M239" s="38" t="s">
        <v>167</v>
      </c>
      <c r="N239" s="38" t="s">
        <v>167</v>
      </c>
      <c r="O239" s="38" t="s">
        <v>167</v>
      </c>
      <c r="P239" s="38" t="s">
        <v>167</v>
      </c>
    </row>
    <row r="240" spans="1:16">
      <c r="A240" s="32" t="s">
        <v>1414</v>
      </c>
      <c r="B240" s="39" t="s">
        <v>1780</v>
      </c>
      <c r="C240" s="39" t="s">
        <v>1781</v>
      </c>
      <c r="D240" s="39" t="s">
        <v>1446</v>
      </c>
      <c r="E240" s="41">
        <v>1</v>
      </c>
      <c r="F240" s="40"/>
      <c r="G240" s="39" t="s">
        <v>1446</v>
      </c>
      <c r="H240" s="39" t="s">
        <v>1441</v>
      </c>
      <c r="I240" s="39" t="s">
        <v>1516</v>
      </c>
      <c r="J240" s="38">
        <v>7300</v>
      </c>
      <c r="K240" s="38" t="s">
        <v>167</v>
      </c>
      <c r="L240" s="38" t="s">
        <v>167</v>
      </c>
      <c r="M240" s="38" t="s">
        <v>167</v>
      </c>
      <c r="N240" s="38" t="s">
        <v>167</v>
      </c>
      <c r="O240" s="38" t="s">
        <v>167</v>
      </c>
      <c r="P240" s="38" t="s">
        <v>167</v>
      </c>
    </row>
    <row r="241" spans="1:19" ht="41.45">
      <c r="A241" s="32" t="s">
        <v>1414</v>
      </c>
      <c r="B241" s="39" t="s">
        <v>1780</v>
      </c>
      <c r="C241" s="39" t="s">
        <v>1781</v>
      </c>
      <c r="D241" s="39" t="s">
        <v>1438</v>
      </c>
      <c r="E241" s="41">
        <v>1</v>
      </c>
      <c r="F241" s="40"/>
      <c r="G241" s="39" t="s">
        <v>1438</v>
      </c>
      <c r="H241" s="39" t="s">
        <v>1441</v>
      </c>
      <c r="I241" s="39" t="s">
        <v>1782</v>
      </c>
      <c r="J241" s="38" t="s">
        <v>167</v>
      </c>
      <c r="K241" s="38">
        <v>580420</v>
      </c>
      <c r="L241" s="38" t="s">
        <v>167</v>
      </c>
      <c r="M241" s="38" t="s">
        <v>167</v>
      </c>
      <c r="N241" s="38">
        <v>580420</v>
      </c>
      <c r="O241" s="38" t="s">
        <v>167</v>
      </c>
      <c r="P241" s="38" t="s">
        <v>167</v>
      </c>
    </row>
    <row r="242" spans="1:19">
      <c r="A242" s="32" t="s">
        <v>1414</v>
      </c>
      <c r="B242" s="39" t="s">
        <v>1783</v>
      </c>
      <c r="C242" s="39" t="s">
        <v>1784</v>
      </c>
      <c r="D242" s="39" t="s">
        <v>1468</v>
      </c>
      <c r="E242" s="41">
        <v>1</v>
      </c>
      <c r="F242" s="40"/>
      <c r="G242" s="39" t="s">
        <v>1464</v>
      </c>
      <c r="H242" s="39" t="s">
        <v>1441</v>
      </c>
      <c r="I242" s="39" t="s">
        <v>1785</v>
      </c>
      <c r="J242" s="38">
        <v>13000</v>
      </c>
      <c r="K242" s="38">
        <v>13000</v>
      </c>
      <c r="L242" s="38" t="s">
        <v>167</v>
      </c>
      <c r="M242" s="38" t="s">
        <v>167</v>
      </c>
      <c r="N242" s="38" t="s">
        <v>167</v>
      </c>
      <c r="O242" s="38" t="s">
        <v>167</v>
      </c>
      <c r="P242" s="38" t="s">
        <v>167</v>
      </c>
    </row>
    <row r="243" spans="1:19">
      <c r="A243" s="32" t="s">
        <v>1414</v>
      </c>
      <c r="B243" s="39" t="s">
        <v>1786</v>
      </c>
      <c r="C243" s="39" t="s">
        <v>1787</v>
      </c>
      <c r="D243" s="39" t="s">
        <v>1438</v>
      </c>
      <c r="E243" s="41">
        <v>1</v>
      </c>
      <c r="F243" s="40"/>
      <c r="G243" s="39" t="s">
        <v>1438</v>
      </c>
      <c r="H243" s="39" t="s">
        <v>1441</v>
      </c>
      <c r="I243" s="39" t="s">
        <v>1516</v>
      </c>
      <c r="J243" s="38" t="s">
        <v>167</v>
      </c>
      <c r="K243" s="38" t="s">
        <v>167</v>
      </c>
      <c r="L243" s="38">
        <v>113750</v>
      </c>
      <c r="M243" s="38" t="s">
        <v>167</v>
      </c>
      <c r="N243" s="38" t="s">
        <v>167</v>
      </c>
      <c r="O243" s="38" t="s">
        <v>167</v>
      </c>
      <c r="P243" s="38" t="s">
        <v>167</v>
      </c>
    </row>
    <row r="244" spans="1:19">
      <c r="A244" s="32" t="s">
        <v>1414</v>
      </c>
      <c r="B244" s="39" t="s">
        <v>1786</v>
      </c>
      <c r="C244" s="39" t="s">
        <v>1787</v>
      </c>
      <c r="D244" s="39" t="s">
        <v>1468</v>
      </c>
      <c r="E244" s="41">
        <v>1</v>
      </c>
      <c r="F244" s="40"/>
      <c r="G244" s="39" t="s">
        <v>1464</v>
      </c>
      <c r="H244" s="39" t="s">
        <v>1441</v>
      </c>
      <c r="I244" s="39" t="s">
        <v>1788</v>
      </c>
      <c r="J244" s="38">
        <v>12000</v>
      </c>
      <c r="K244" s="38" t="s">
        <v>167</v>
      </c>
      <c r="L244" s="38">
        <v>12000</v>
      </c>
      <c r="M244" s="38" t="s">
        <v>167</v>
      </c>
      <c r="N244" s="38" t="s">
        <v>167</v>
      </c>
      <c r="O244" s="38" t="s">
        <v>167</v>
      </c>
      <c r="P244" s="38" t="s">
        <v>167</v>
      </c>
    </row>
    <row r="245" spans="1:19">
      <c r="A245" s="32" t="s">
        <v>1414</v>
      </c>
      <c r="B245" s="39" t="s">
        <v>389</v>
      </c>
      <c r="C245" s="39" t="s">
        <v>1789</v>
      </c>
      <c r="D245" s="39" t="s">
        <v>1473</v>
      </c>
      <c r="E245" s="41">
        <v>3</v>
      </c>
      <c r="F245" s="40"/>
      <c r="G245" s="39" t="s">
        <v>1455</v>
      </c>
      <c r="H245" s="39" t="s">
        <v>1441</v>
      </c>
      <c r="I245" s="39" t="s">
        <v>1790</v>
      </c>
      <c r="J245" s="38">
        <v>15000</v>
      </c>
      <c r="K245" s="38" t="s">
        <v>167</v>
      </c>
      <c r="L245" s="38" t="s">
        <v>167</v>
      </c>
      <c r="M245" s="38" t="s">
        <v>167</v>
      </c>
      <c r="N245" s="38" t="s">
        <v>167</v>
      </c>
      <c r="O245" s="38" t="s">
        <v>167</v>
      </c>
      <c r="P245" s="38" t="s">
        <v>167</v>
      </c>
    </row>
    <row r="246" spans="1:19">
      <c r="A246" s="32" t="s">
        <v>1414</v>
      </c>
      <c r="B246" s="39" t="s">
        <v>389</v>
      </c>
      <c r="C246" s="39" t="s">
        <v>1789</v>
      </c>
      <c r="D246" s="39" t="s">
        <v>1438</v>
      </c>
      <c r="E246" s="41">
        <v>3</v>
      </c>
      <c r="F246" s="40"/>
      <c r="G246" s="39" t="s">
        <v>1438</v>
      </c>
      <c r="H246" s="39" t="s">
        <v>1441</v>
      </c>
      <c r="I246" s="39" t="s">
        <v>1724</v>
      </c>
      <c r="J246" s="38" t="s">
        <v>167</v>
      </c>
      <c r="K246" s="38" t="s">
        <v>167</v>
      </c>
      <c r="L246" s="38" t="s">
        <v>167</v>
      </c>
      <c r="M246" s="38" t="s">
        <v>167</v>
      </c>
      <c r="N246" s="38">
        <v>282000</v>
      </c>
      <c r="O246" s="38" t="s">
        <v>167</v>
      </c>
      <c r="P246" s="38" t="s">
        <v>167</v>
      </c>
    </row>
    <row r="248" spans="1:19">
      <c r="I248" s="37" t="s">
        <v>1415</v>
      </c>
      <c r="J248" s="36">
        <f t="shared" ref="J248:P248" si="0">SUM(J2:J247)</f>
        <v>9549169</v>
      </c>
      <c r="K248" s="36">
        <f t="shared" si="0"/>
        <v>6325004</v>
      </c>
      <c r="L248" s="36">
        <f t="shared" si="0"/>
        <v>6216006</v>
      </c>
      <c r="M248" s="36">
        <f t="shared" si="0"/>
        <v>2712415</v>
      </c>
      <c r="N248" s="36">
        <f t="shared" si="0"/>
        <v>2679477</v>
      </c>
      <c r="O248" s="36">
        <f t="shared" si="0"/>
        <v>113750</v>
      </c>
      <c r="P248" s="36">
        <f t="shared" si="0"/>
        <v>357000</v>
      </c>
      <c r="Q248" s="35"/>
      <c r="S248" s="35"/>
    </row>
    <row r="250" spans="1:19">
      <c r="I250" s="34" t="s">
        <v>1791</v>
      </c>
      <c r="J250" s="33">
        <f>J248+K248+L248+M248+N248+O248+P248</f>
        <v>27952821</v>
      </c>
    </row>
    <row r="252" spans="1:19">
      <c r="I252" s="33" t="s">
        <v>1792</v>
      </c>
      <c r="J252" s="36" t="s">
        <v>1793</v>
      </c>
      <c r="K252" s="36"/>
      <c r="L252" s="36"/>
      <c r="M252" s="36"/>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CED0E-0027-413A-8C11-FBB3828F8E97}">
  <sheetPr codeName="Sheet12">
    <tabColor theme="9"/>
  </sheetPr>
  <dimension ref="B2:M41"/>
  <sheetViews>
    <sheetView zoomScale="70" zoomScaleNormal="70" workbookViewId="0">
      <selection activeCell="O36" sqref="O36"/>
    </sheetView>
  </sheetViews>
  <sheetFormatPr defaultColWidth="8.625" defaultRowHeight="15.6"/>
  <cols>
    <col min="1" max="1" width="8.625" style="16"/>
    <col min="2" max="2" width="35.125" style="16" bestFit="1" customWidth="1"/>
    <col min="3" max="3" width="15.625" style="16" bestFit="1" customWidth="1"/>
    <col min="4" max="7" width="14.625" style="16" bestFit="1" customWidth="1"/>
    <col min="8" max="9" width="13.125" style="16" bestFit="1" customWidth="1"/>
    <col min="10" max="10" width="15.625" style="16" bestFit="1" customWidth="1"/>
    <col min="11" max="11" width="12.625" style="16" customWidth="1"/>
    <col min="12" max="12" width="11.125" style="16" bestFit="1" customWidth="1"/>
    <col min="13" max="13" width="9.625" style="16" bestFit="1" customWidth="1"/>
    <col min="14" max="16384" width="8.625" style="16"/>
  </cols>
  <sheetData>
    <row r="2" spans="2:13">
      <c r="B2" s="29" t="s">
        <v>1397</v>
      </c>
      <c r="D2" s="28" t="s">
        <v>1398</v>
      </c>
      <c r="I2" s="16" t="s">
        <v>1399</v>
      </c>
      <c r="J2" s="16" t="s">
        <v>1794</v>
      </c>
    </row>
    <row r="3" spans="2:13">
      <c r="B3" s="29" t="s">
        <v>1401</v>
      </c>
      <c r="D3" s="28" t="s">
        <v>1795</v>
      </c>
      <c r="I3" s="16" t="s">
        <v>1403</v>
      </c>
      <c r="J3" s="16" t="s">
        <v>1404</v>
      </c>
    </row>
    <row r="4" spans="2:13">
      <c r="M4" s="55"/>
    </row>
    <row r="6" spans="2:13">
      <c r="B6" s="19" t="s">
        <v>1405</v>
      </c>
      <c r="C6" s="27">
        <f>COUNT('Capex Items exc. below $10000'!J2:P246)</f>
        <v>226</v>
      </c>
      <c r="F6" s="16" t="s">
        <v>1406</v>
      </c>
    </row>
    <row r="7" spans="2:13">
      <c r="B7" s="19" t="s">
        <v>1407</v>
      </c>
      <c r="C7" s="26">
        <f>SUM('Capex Items exc. below $10000'!J2:P246)</f>
        <v>26258696</v>
      </c>
    </row>
    <row r="9" spans="2:13" ht="16.149999999999999" thickBot="1">
      <c r="B9" s="19" t="s">
        <v>1408</v>
      </c>
    </row>
    <row r="10" spans="2:13" ht="16.149999999999999" thickBot="1">
      <c r="B10" s="20"/>
      <c r="C10" s="20">
        <v>2022</v>
      </c>
      <c r="D10" s="20">
        <v>2023</v>
      </c>
      <c r="E10" s="20">
        <v>2024</v>
      </c>
      <c r="F10" s="20">
        <v>2025</v>
      </c>
      <c r="G10" s="20">
        <v>2026</v>
      </c>
      <c r="H10" s="20">
        <v>2027</v>
      </c>
      <c r="I10" s="20">
        <v>2028</v>
      </c>
      <c r="J10" s="20" t="s">
        <v>1409</v>
      </c>
      <c r="K10" s="56"/>
    </row>
    <row r="11" spans="2:13">
      <c r="B11" s="16" t="s">
        <v>153</v>
      </c>
      <c r="C11" s="24">
        <f>SUM('Capex Items exc. below $10000'!J2:J77)</f>
        <v>1479699</v>
      </c>
      <c r="D11" s="24">
        <f>SUM('Capex Items exc. below $10000'!K2:K77)</f>
        <v>1275096</v>
      </c>
      <c r="E11" s="24">
        <f>SUM('Capex Items exc. below $10000'!L2:L77)</f>
        <v>904226</v>
      </c>
      <c r="F11" s="24">
        <f>SUM('Capex Items exc. below $10000'!M2:M77)</f>
        <v>1017540</v>
      </c>
      <c r="G11" s="24">
        <f>SUM('Capex Items exc. below $10000'!N2:N77)</f>
        <v>177500</v>
      </c>
      <c r="H11" s="24">
        <f>SUM('Capex Items exc. below $10000'!O2:O77)</f>
        <v>0</v>
      </c>
      <c r="I11" s="24">
        <f>SUM('Capex Items exc. below $10000'!P2:P77)</f>
        <v>0</v>
      </c>
      <c r="J11" s="24">
        <f>SUM(C11:I11)</f>
        <v>4854061</v>
      </c>
    </row>
    <row r="12" spans="2:13">
      <c r="B12" s="16" t="s">
        <v>1410</v>
      </c>
      <c r="C12" s="24">
        <f>SUM('Capex Items exc. below $10000'!J103:J112)</f>
        <v>36500</v>
      </c>
      <c r="D12" s="24">
        <f>SUM('Capex Items exc. below $10000'!K103:K112)</f>
        <v>533900</v>
      </c>
      <c r="E12" s="24">
        <f>SUM('Capex Items exc. below $10000'!L103:L112)</f>
        <v>1902763</v>
      </c>
      <c r="F12" s="24">
        <f>SUM('Capex Items exc. below $10000'!M103:M112)</f>
        <v>77675</v>
      </c>
      <c r="G12" s="24">
        <f>SUM('Capex Items exc. below $10000'!N103:N112)</f>
        <v>220469</v>
      </c>
      <c r="H12" s="24">
        <f>SUM('Capex Items exc. below $10000'!O103:O112)</f>
        <v>0</v>
      </c>
      <c r="I12" s="24">
        <f>SUM('Capex Items exc. below $10000'!P103:P112)</f>
        <v>0</v>
      </c>
      <c r="J12" s="24">
        <f t="shared" ref="J12:J17" si="0">SUM(C12:I12)</f>
        <v>2771307</v>
      </c>
    </row>
    <row r="13" spans="2:13">
      <c r="B13" s="16" t="s">
        <v>144</v>
      </c>
      <c r="C13" s="24">
        <f>SUM('Capex Items exc. below $10000'!J79:J97)</f>
        <v>763750</v>
      </c>
      <c r="D13" s="24">
        <f>SUM('Capex Items exc. below $10000'!K79:K97)</f>
        <v>940000</v>
      </c>
      <c r="E13" s="24">
        <f>SUM('Capex Items exc. below $10000'!L79:L97)</f>
        <v>104000</v>
      </c>
      <c r="F13" s="24">
        <f>SUM('Capex Items exc. below $10000'!M79:M97)</f>
        <v>340000</v>
      </c>
      <c r="G13" s="24">
        <f>SUM('Capex Items exc. below $10000'!N79:N97)</f>
        <v>275850</v>
      </c>
      <c r="H13" s="24">
        <f>SUM('Capex Items exc. below $10000'!O79:O97)</f>
        <v>0</v>
      </c>
      <c r="I13" s="24">
        <f>SUM('Capex Items exc. below $10000'!P79:P97)</f>
        <v>0</v>
      </c>
      <c r="J13" s="24">
        <f t="shared" si="0"/>
        <v>2423600</v>
      </c>
      <c r="L13" s="21"/>
      <c r="M13" s="57"/>
    </row>
    <row r="14" spans="2:13">
      <c r="B14" s="16" t="s">
        <v>1411</v>
      </c>
      <c r="C14" s="24">
        <f>SUM('Capex Items exc. below $10000'!J99:J101)</f>
        <v>120000</v>
      </c>
      <c r="D14" s="24">
        <f>SUM('Capex Items exc. below $10000'!K99:K101)</f>
        <v>0</v>
      </c>
      <c r="E14" s="24">
        <f>SUM('Capex Items exc. below $10000'!L99:L101)</f>
        <v>250000</v>
      </c>
      <c r="F14" s="24">
        <f>SUM('Capex Items exc. below $10000'!M99:M101)</f>
        <v>128250</v>
      </c>
      <c r="G14" s="24">
        <f>SUM('Capex Items exc. below $10000'!N99:N101)</f>
        <v>0</v>
      </c>
      <c r="H14" s="24">
        <f>SUM('Capex Items exc. below $10000'!O99:O101)</f>
        <v>0</v>
      </c>
      <c r="I14" s="24">
        <f>SUM('[6]Capex Items'!M232:M234)</f>
        <v>0</v>
      </c>
      <c r="J14" s="24">
        <f t="shared" si="0"/>
        <v>498250</v>
      </c>
    </row>
    <row r="15" spans="2:13">
      <c r="B15" s="16" t="s">
        <v>158</v>
      </c>
      <c r="C15" s="24">
        <f>SUM('Capex Items exc. below $10000'!J224:J226)</f>
        <v>0</v>
      </c>
      <c r="D15" s="24">
        <f>SUM('Capex Items exc. below $10000'!K224:K226)</f>
        <v>35000</v>
      </c>
      <c r="E15" s="24">
        <f>SUM('Capex Items exc. below $10000'!L224:L226)</f>
        <v>850000</v>
      </c>
      <c r="F15" s="24">
        <f>SUM('Capex Items exc. below $10000'!M224:M226)</f>
        <v>0</v>
      </c>
      <c r="G15" s="24">
        <f>SUM('Capex Items exc. below $10000'!N224:N226)</f>
        <v>0</v>
      </c>
      <c r="H15" s="24">
        <f>SUM('Capex Items exc. below $10000'!O224:O226)</f>
        <v>0</v>
      </c>
      <c r="I15" s="24">
        <f>SUM('Capex Items exc. below $10000'!P224:P226)</f>
        <v>0</v>
      </c>
      <c r="J15" s="24">
        <f t="shared" si="0"/>
        <v>885000</v>
      </c>
    </row>
    <row r="16" spans="2:13">
      <c r="B16" s="16" t="s">
        <v>1796</v>
      </c>
      <c r="C16" s="24">
        <f>SUM('Capex Items exc. below $10000'!J114:J222)</f>
        <v>5935320</v>
      </c>
      <c r="D16" s="24">
        <f>SUM('Capex Items exc. below $10000'!K114:K222)</f>
        <v>2347963</v>
      </c>
      <c r="E16" s="24">
        <f>SUM('Capex Items exc. below $10000'!L114:L222)</f>
        <v>1663117</v>
      </c>
      <c r="F16" s="24">
        <f>SUM('Capex Items exc. below $10000'!M114:M222)</f>
        <v>847300</v>
      </c>
      <c r="G16" s="24">
        <f>SUM('Capex Items exc. below $10000'!N114:N222)</f>
        <v>837688</v>
      </c>
      <c r="H16" s="24">
        <f>SUM('Capex Items exc. below $10000'!O114:O222)</f>
        <v>0</v>
      </c>
      <c r="I16" s="24">
        <f>SUM('Capex Items exc. below $10000'!P114:P222)</f>
        <v>342000</v>
      </c>
      <c r="J16" s="24">
        <f t="shared" si="0"/>
        <v>11973388</v>
      </c>
    </row>
    <row r="17" spans="2:12" ht="16.149999999999999" thickBot="1">
      <c r="B17" s="18" t="s">
        <v>1414</v>
      </c>
      <c r="C17" s="25">
        <f>SUM('Capex Items exc. below $10000'!J228:J246)</f>
        <v>913000</v>
      </c>
      <c r="D17" s="25">
        <f>SUM('Capex Items exc. below $10000'!K228:K246)</f>
        <v>758420</v>
      </c>
      <c r="E17" s="25">
        <f>SUM('Capex Items exc. below $10000'!L228:L246)</f>
        <v>280250</v>
      </c>
      <c r="F17" s="25">
        <f>SUM('Capex Items exc. below $10000'!M228:M246)</f>
        <v>39000</v>
      </c>
      <c r="G17" s="25">
        <f>SUM('Capex Items exc. below $10000'!N228:N246)</f>
        <v>862420</v>
      </c>
      <c r="H17" s="25">
        <f>SUM('Capex Items exc. below $10000'!O228:O246)</f>
        <v>0</v>
      </c>
      <c r="I17" s="25">
        <f>SUM('Capex Items exc. below $10000'!P228:P246)</f>
        <v>0</v>
      </c>
      <c r="J17" s="25">
        <f t="shared" si="0"/>
        <v>2853090</v>
      </c>
    </row>
    <row r="18" spans="2:12" ht="16.149999999999999" thickTop="1">
      <c r="B18" s="16" t="s">
        <v>1415</v>
      </c>
      <c r="C18" s="24">
        <f t="shared" ref="C18:J18" si="1">SUM(C11:C17)</f>
        <v>9248269</v>
      </c>
      <c r="D18" s="24">
        <f t="shared" si="1"/>
        <v>5890379</v>
      </c>
      <c r="E18" s="24">
        <f t="shared" si="1"/>
        <v>5954356</v>
      </c>
      <c r="F18" s="24">
        <f t="shared" si="1"/>
        <v>2449765</v>
      </c>
      <c r="G18" s="24">
        <f t="shared" si="1"/>
        <v>2373927</v>
      </c>
      <c r="H18" s="24">
        <f t="shared" si="1"/>
        <v>0</v>
      </c>
      <c r="I18" s="24">
        <f t="shared" si="1"/>
        <v>342000</v>
      </c>
      <c r="J18" s="23">
        <f t="shared" si="1"/>
        <v>26258696</v>
      </c>
    </row>
    <row r="19" spans="2:12">
      <c r="B19" s="22"/>
      <c r="C19" s="21"/>
    </row>
    <row r="20" spans="2:12" ht="16.149999999999999" thickBot="1">
      <c r="B20" s="19" t="s">
        <v>1416</v>
      </c>
    </row>
    <row r="21" spans="2:12" ht="16.149999999999999" thickBot="1">
      <c r="B21" s="20"/>
      <c r="C21" s="20">
        <v>2022</v>
      </c>
      <c r="D21" s="20">
        <v>2023</v>
      </c>
      <c r="E21" s="20">
        <v>2024</v>
      </c>
      <c r="F21" s="20">
        <v>2025</v>
      </c>
      <c r="G21" s="20">
        <v>2026</v>
      </c>
      <c r="H21" s="20">
        <v>2027</v>
      </c>
      <c r="I21" s="20">
        <v>2028</v>
      </c>
      <c r="J21" s="20" t="s">
        <v>1409</v>
      </c>
    </row>
    <row r="22" spans="2:12">
      <c r="B22" s="16" t="s">
        <v>1417</v>
      </c>
      <c r="C22" s="16">
        <f>COUNTIFS('Capex Items exc. below $10000'!J2:J246,"&gt;0",'Capex Items exc. below $10000'!J2:J246,"&lt;=50000")</f>
        <v>56</v>
      </c>
      <c r="D22" s="16">
        <f>COUNTIFS('Capex Items exc. below $10000'!K2:K246,"&gt;0",'Capex Items exc. below $10000'!K2:K246,"&lt;=50000")</f>
        <v>21</v>
      </c>
      <c r="E22" s="16">
        <f>COUNTIFS('Capex Items exc. below $10000'!L2:L246,"&gt;0",'Capex Items exc. below $10000'!L2:L246,"&lt;=50000")</f>
        <v>23</v>
      </c>
      <c r="F22" s="16">
        <f>COUNTIFS('Capex Items exc. below $10000'!M2:M246,"&gt;0",'Capex Items exc. below $10000'!M2:M246,"&lt;=50000")</f>
        <v>11</v>
      </c>
      <c r="G22" s="16">
        <f>COUNTIFS('Capex Items exc. below $10000'!N2:N246,"&gt;0",'Capex Items exc. below $10000'!N2:N246,"&lt;=50000")</f>
        <v>9</v>
      </c>
      <c r="H22" s="16">
        <f>COUNTIFS('Capex Items exc. below $10000'!O2:O246,"&gt;0",'Capex Items exc. below $10000'!O2:O246,"&lt;=50000")</f>
        <v>0</v>
      </c>
      <c r="I22" s="16">
        <f>COUNTIFS('Capex Items exc. below $10000'!P2:P246,"&gt;0",'Capex Items exc. below $10000'!P2:P246,"&lt;=50000")</f>
        <v>0</v>
      </c>
      <c r="J22" s="16">
        <f>SUM(C22:I22)</f>
        <v>120</v>
      </c>
    </row>
    <row r="23" spans="2:12">
      <c r="B23" s="16" t="s">
        <v>1418</v>
      </c>
      <c r="C23" s="16">
        <f>COUNTIFS('Capex Items exc. below $10000'!J2:J246,"&gt;50000",'Capex Items exc. below $10000'!J2:J246,"&lt;=200000")</f>
        <v>29</v>
      </c>
      <c r="D23" s="16">
        <f>COUNTIFS('Capex Items exc. below $10000'!K2:K246,"&gt;50000",'Capex Items exc. below $10000'!K2:K246,"&lt;=200000")</f>
        <v>16</v>
      </c>
      <c r="E23" s="16">
        <f>COUNTIFS('Capex Items exc. below $10000'!L2:L246,"&gt;50000",'Capex Items exc. below $10000'!L2:L246,"&lt;=200000")</f>
        <v>7</v>
      </c>
      <c r="F23" s="16">
        <f>COUNTIFS('Capex Items exc. below $10000'!M2:M246,"&gt;50000",'Capex Items exc. below $10000'!M2:M246,"&lt;=200000")</f>
        <v>8</v>
      </c>
      <c r="G23" s="16">
        <f>COUNTIFS('Capex Items exc. below $10000'!N2:N246,"&gt;50000",'Capex Items exc. below $10000'!N2:N246,"&lt;=200000")</f>
        <v>5</v>
      </c>
      <c r="H23" s="16">
        <f>COUNTIFS('Capex Items exc. below $10000'!O2:O246,"&gt;50000",'Capex Items exc. below $10000'!O2:O246,"&lt;=200000")</f>
        <v>0</v>
      </c>
      <c r="I23" s="16">
        <f>COUNTIFS('Capex Items exc. below $10000'!P2:P246,"&gt;50000",'Capex Items exc. below $10000'!P2:P246,"&lt;=200000")</f>
        <v>0</v>
      </c>
      <c r="J23" s="16">
        <f t="shared" ref="J23:J25" si="2">SUM(C23:I23)</f>
        <v>65</v>
      </c>
    </row>
    <row r="24" spans="2:12">
      <c r="B24" s="16" t="s">
        <v>1419</v>
      </c>
      <c r="C24" s="16">
        <f>COUNTIFS('Capex Items exc. below $10000'!J2:J246,"&gt;200000",'Capex Items exc. below $10000'!J2:J246,"&lt;=1000000")</f>
        <v>11</v>
      </c>
      <c r="D24" s="16">
        <f>COUNTIFS('Capex Items exc. below $10000'!K2:K246,"&gt;200000",'Capex Items exc. below $10000'!K2:K246,"&lt;=1000000")</f>
        <v>10</v>
      </c>
      <c r="E24" s="16">
        <f>COUNTIFS('Capex Items exc. below $10000'!L2:L246,"&gt;200000",'Capex Items exc. below $10000'!L2:L246,"&lt;=1000000")</f>
        <v>11</v>
      </c>
      <c r="F24" s="16">
        <f>COUNTIFS('Capex Items exc. below $10000'!M2:M246,"&gt;200000",'Capex Items exc. below $10000'!M2:M246,"&lt;=1000000")</f>
        <v>4</v>
      </c>
      <c r="G24" s="16">
        <f>COUNTIFS('Capex Items exc. below $10000'!N2:N246,"&gt;200000",'Capex Items exc. below $10000'!N2:N246,"&lt;=1000000")</f>
        <v>4</v>
      </c>
      <c r="H24" s="16">
        <f>COUNTIFS('Capex Items exc. below $10000'!O2:O246,"&gt;200000",'Capex Items exc. below $10000'!O2:O246,"&lt;=1000000")</f>
        <v>0</v>
      </c>
      <c r="I24" s="16">
        <f>COUNTIFS('Capex Items exc. below $10000'!P2:P246,"&gt;200000",'Capex Items exc. below $10000'!P2:P246,"&lt;=1000000")</f>
        <v>1</v>
      </c>
      <c r="J24" s="16">
        <f t="shared" si="2"/>
        <v>41</v>
      </c>
    </row>
    <row r="25" spans="2:12" ht="16.149999999999999" thickBot="1">
      <c r="B25" s="18" t="s">
        <v>1420</v>
      </c>
      <c r="C25" s="18">
        <f>COUNTIFS('Capex Items exc. below $10000'!J2:J246,"&gt;1000000")</f>
        <v>0</v>
      </c>
      <c r="D25" s="18">
        <f>COUNTIFS('Capex Items exc. below $10000'!K2:K246,"&gt;1000000")</f>
        <v>0</v>
      </c>
      <c r="E25" s="18">
        <f>COUNTIFS('Capex Items exc. below $10000'!L2:L246,"&gt;1000000")</f>
        <v>0</v>
      </c>
      <c r="F25" s="18">
        <f>COUNTIFS('Capex Items exc. below $10000'!M2:M246,"&gt;1000000")</f>
        <v>0</v>
      </c>
      <c r="G25" s="18">
        <f>COUNTIFS('Capex Items exc. below $10000'!N2:N246,"&gt;1000000")</f>
        <v>0</v>
      </c>
      <c r="H25" s="18">
        <f>COUNTIFS('Capex Items exc. below $10000'!O2:O246,"&gt;1000000")</f>
        <v>0</v>
      </c>
      <c r="I25" s="18">
        <f>COUNTIFS('Capex Items exc. below $10000'!P2:P246,"&gt;1000000")</f>
        <v>0</v>
      </c>
      <c r="J25" s="18">
        <f t="shared" si="2"/>
        <v>0</v>
      </c>
    </row>
    <row r="26" spans="2:12" ht="16.149999999999999" thickTop="1">
      <c r="B26" s="16" t="s">
        <v>1409</v>
      </c>
      <c r="C26" s="16">
        <f>SUM(C22:C25)</f>
        <v>96</v>
      </c>
      <c r="D26" s="16">
        <f t="shared" ref="D26:J26" si="3">SUM(D22:D25)</f>
        <v>47</v>
      </c>
      <c r="E26" s="16">
        <f t="shared" si="3"/>
        <v>41</v>
      </c>
      <c r="F26" s="16">
        <f t="shared" si="3"/>
        <v>23</v>
      </c>
      <c r="G26" s="16">
        <f t="shared" si="3"/>
        <v>18</v>
      </c>
      <c r="H26" s="16">
        <f t="shared" si="3"/>
        <v>0</v>
      </c>
      <c r="I26" s="16">
        <f t="shared" si="3"/>
        <v>1</v>
      </c>
      <c r="J26" s="17">
        <f t="shared" si="3"/>
        <v>226</v>
      </c>
    </row>
    <row r="28" spans="2:12" ht="16.149999999999999" thickBot="1">
      <c r="B28" s="19" t="s">
        <v>1421</v>
      </c>
    </row>
    <row r="29" spans="2:12" ht="16.149999999999999" thickBot="1">
      <c r="B29" s="20"/>
      <c r="C29" s="20">
        <v>2022</v>
      </c>
      <c r="D29" s="20">
        <v>2023</v>
      </c>
      <c r="E29" s="20">
        <v>2024</v>
      </c>
      <c r="F29" s="20">
        <v>2025</v>
      </c>
      <c r="G29" s="20">
        <v>2026</v>
      </c>
      <c r="H29" s="20">
        <v>2027</v>
      </c>
      <c r="I29" s="20">
        <v>2028</v>
      </c>
      <c r="J29" s="20" t="s">
        <v>1409</v>
      </c>
      <c r="K29" s="20" t="s">
        <v>1797</v>
      </c>
      <c r="L29" s="56"/>
    </row>
    <row r="30" spans="2:12">
      <c r="B30" s="16" t="s">
        <v>153</v>
      </c>
      <c r="C30" s="16">
        <f>COUNT('Capex Items exc. below $10000'!J2:J77)</f>
        <v>25</v>
      </c>
      <c r="D30" s="16">
        <f>COUNT('Capex Items exc. below $10000'!K2:K77)</f>
        <v>16</v>
      </c>
      <c r="E30" s="16">
        <f>COUNT('Capex Items exc. below $10000'!L2:L77)</f>
        <v>10</v>
      </c>
      <c r="F30" s="16">
        <f>COUNT('Capex Items exc. below $10000'!M2:M77)</f>
        <v>7</v>
      </c>
      <c r="G30" s="16">
        <f>COUNT('Capex Items exc. below $10000'!N2:N77)</f>
        <v>5</v>
      </c>
      <c r="H30" s="16">
        <f>COUNT('Capex Items exc. below $10000'!O2:O77)</f>
        <v>0</v>
      </c>
      <c r="I30" s="16">
        <f>COUNT('Capex Items exc. below $10000'!P2:P77)</f>
        <v>0</v>
      </c>
      <c r="J30" s="16">
        <f t="shared" ref="J30:J36" si="4">SUM(C30:I30)</f>
        <v>63</v>
      </c>
      <c r="K30" s="58" t="s">
        <v>1798</v>
      </c>
    </row>
    <row r="31" spans="2:12">
      <c r="B31" s="16" t="s">
        <v>1410</v>
      </c>
      <c r="C31" s="16">
        <f>COUNT('Capex Items exc. below $10000'!J103:J112)</f>
        <v>1</v>
      </c>
      <c r="D31" s="16">
        <f>COUNT('Capex Items exc. below $10000'!K103:K112)</f>
        <v>2</v>
      </c>
      <c r="E31" s="16">
        <f>COUNT('Capex Items exc. below $10000'!L103:L112)</f>
        <v>7</v>
      </c>
      <c r="F31" s="16">
        <f>COUNT('Capex Items exc. below $10000'!M103:M112)</f>
        <v>2</v>
      </c>
      <c r="G31" s="16">
        <f>COUNT('Capex Items exc. below $10000'!N103:N112)</f>
        <v>2</v>
      </c>
      <c r="H31" s="16">
        <f>COUNT('Capex Items exc. below $10000'!O103:O112)</f>
        <v>0</v>
      </c>
      <c r="I31" s="16">
        <f>COUNT('Capex Items exc. below $10000'!P103:P112)</f>
        <v>0</v>
      </c>
      <c r="J31" s="16">
        <f t="shared" si="4"/>
        <v>14</v>
      </c>
      <c r="K31" s="58"/>
    </row>
    <row r="32" spans="2:12">
      <c r="B32" s="16" t="s">
        <v>144</v>
      </c>
      <c r="C32" s="16">
        <f>COUNT('Capex Items exc. below $10000'!J79:J97)</f>
        <v>4</v>
      </c>
      <c r="D32" s="16">
        <f>COUNT('Capex Items exc. below $10000'!K79:K97)</f>
        <v>6</v>
      </c>
      <c r="E32" s="16">
        <f>COUNT('Capex Items exc. below $10000'!L79:L97)</f>
        <v>3</v>
      </c>
      <c r="F32" s="16">
        <f>COUNT('Capex Items exc. below $10000'!M79:M97)</f>
        <v>2</v>
      </c>
      <c r="G32" s="16">
        <f>COUNT('Capex Items exc. below $10000'!N79:N97)</f>
        <v>4</v>
      </c>
      <c r="H32" s="16">
        <f>COUNT('Capex Items exc. below $10000'!O79:O97)</f>
        <v>0</v>
      </c>
      <c r="I32" s="16">
        <f>COUNT('Capex Items exc. below $10000'!P79:P97)</f>
        <v>0</v>
      </c>
      <c r="J32" s="16">
        <f t="shared" si="4"/>
        <v>19</v>
      </c>
      <c r="K32" s="58" t="s">
        <v>1798</v>
      </c>
    </row>
    <row r="33" spans="2:13">
      <c r="B33" s="16" t="s">
        <v>1411</v>
      </c>
      <c r="C33" s="16">
        <f>COUNT('Capex Items exc. below $10000'!J99:J101)</f>
        <v>1</v>
      </c>
      <c r="D33" s="16">
        <f>COUNT('Capex Items exc. below $10000'!K99:K101)</f>
        <v>0</v>
      </c>
      <c r="E33" s="16">
        <f>COUNT('Capex Items exc. below $10000'!L99:L101)</f>
        <v>1</v>
      </c>
      <c r="F33" s="16">
        <f>COUNT('Capex Items exc. below $10000'!M99:M101)</f>
        <v>2</v>
      </c>
      <c r="G33" s="16">
        <f>COUNT('Capex Items exc. below $10000'!N99:N101)</f>
        <v>0</v>
      </c>
      <c r="H33" s="16">
        <f>COUNT('Capex Items exc. below $10000'!O99:O101)</f>
        <v>0</v>
      </c>
      <c r="I33" s="16">
        <f>COUNT('Capex Items exc. below $10000'!P99:P101)</f>
        <v>0</v>
      </c>
      <c r="J33" s="16">
        <f t="shared" si="4"/>
        <v>4</v>
      </c>
      <c r="K33" s="58"/>
    </row>
    <row r="34" spans="2:13">
      <c r="B34" s="16" t="s">
        <v>158</v>
      </c>
      <c r="C34" s="16">
        <f>COUNT('Capex Items exc. below $10000'!J224:J226)</f>
        <v>0</v>
      </c>
      <c r="D34" s="16">
        <f>COUNT('Capex Items exc. below $10000'!K224:K226)</f>
        <v>2</v>
      </c>
      <c r="E34" s="16">
        <f>COUNT('Capex Items exc. below $10000'!L224:L226)</f>
        <v>1</v>
      </c>
      <c r="F34" s="16">
        <f>COUNT('Capex Items exc. below $10000'!M224:M226)</f>
        <v>0</v>
      </c>
      <c r="G34" s="16">
        <f>COUNT('Capex Items exc. below $10000'!N224:N226)</f>
        <v>0</v>
      </c>
      <c r="H34" s="16">
        <f>COUNT('Capex Items exc. below $10000'!O224:O226)</f>
        <v>0</v>
      </c>
      <c r="I34" s="16">
        <f>COUNT('Capex Items exc. below $10000'!P224:P226)</f>
        <v>0</v>
      </c>
      <c r="J34" s="16">
        <f t="shared" si="4"/>
        <v>3</v>
      </c>
      <c r="K34" s="58" t="s">
        <v>1798</v>
      </c>
    </row>
    <row r="35" spans="2:13">
      <c r="B35" s="16" t="s">
        <v>1796</v>
      </c>
      <c r="C35" s="16">
        <f>COUNT('Capex Items exc. below $10000'!J114:J222)</f>
        <v>55</v>
      </c>
      <c r="D35" s="16">
        <f>COUNT('Capex Items exc. below $10000'!K114:K222)</f>
        <v>18</v>
      </c>
      <c r="E35" s="16">
        <f>COUNT('Capex Items exc. below $10000'!L114:L222)</f>
        <v>15</v>
      </c>
      <c r="F35" s="16">
        <f>COUNT('Capex Items exc. below $10000'!M114:M222)</f>
        <v>8</v>
      </c>
      <c r="G35" s="16">
        <f>COUNT('Capex Items exc. below $10000'!N114:N222)</f>
        <v>5</v>
      </c>
      <c r="H35" s="16">
        <f>COUNT('Capex Items exc. below $10000'!O114:O222)</f>
        <v>0</v>
      </c>
      <c r="I35" s="16">
        <f>COUNT('Capex Items exc. below $10000'!P114:P222)</f>
        <v>1</v>
      </c>
      <c r="J35" s="16">
        <f t="shared" si="4"/>
        <v>102</v>
      </c>
      <c r="K35" s="58" t="s">
        <v>1798</v>
      </c>
    </row>
    <row r="36" spans="2:13" ht="16.149999999999999" thickBot="1">
      <c r="B36" s="18" t="s">
        <v>1414</v>
      </c>
      <c r="C36" s="18">
        <f>COUNT('Capex Items exc. below $10000'!J228:J246)</f>
        <v>10</v>
      </c>
      <c r="D36" s="18">
        <f>COUNT('Capex Items exc. below $10000'!K228:K246)</f>
        <v>3</v>
      </c>
      <c r="E36" s="18">
        <f>COUNT('Capex Items exc. below $10000'!L228:L246)</f>
        <v>4</v>
      </c>
      <c r="F36" s="18">
        <f>COUNT('Capex Items exc. below $10000'!M228:M246)</f>
        <v>2</v>
      </c>
      <c r="G36" s="18">
        <f>COUNT('Capex Items exc. below $10000'!N228:N246)</f>
        <v>2</v>
      </c>
      <c r="H36" s="18">
        <f>COUNT('Capex Items exc. below $10000'!O228:O246)</f>
        <v>0</v>
      </c>
      <c r="I36" s="18">
        <f>COUNT('Capex Items exc. below $10000'!P228:P246)</f>
        <v>0</v>
      </c>
      <c r="J36" s="18">
        <f t="shared" si="4"/>
        <v>21</v>
      </c>
      <c r="K36" s="18"/>
      <c r="M36" s="58"/>
    </row>
    <row r="37" spans="2:13" ht="16.149999999999999" thickTop="1">
      <c r="B37" s="16" t="s">
        <v>1409</v>
      </c>
      <c r="C37" s="16">
        <f t="shared" ref="C37:J37" si="5">SUM(C30:C36)</f>
        <v>96</v>
      </c>
      <c r="D37" s="16">
        <f t="shared" si="5"/>
        <v>47</v>
      </c>
      <c r="E37" s="16">
        <f t="shared" si="5"/>
        <v>41</v>
      </c>
      <c r="F37" s="16">
        <f t="shared" si="5"/>
        <v>23</v>
      </c>
      <c r="G37" s="16">
        <f t="shared" si="5"/>
        <v>18</v>
      </c>
      <c r="H37" s="16">
        <f t="shared" si="5"/>
        <v>0</v>
      </c>
      <c r="I37" s="16">
        <f t="shared" si="5"/>
        <v>1</v>
      </c>
      <c r="J37" s="17">
        <f t="shared" si="5"/>
        <v>226</v>
      </c>
    </row>
    <row r="41" spans="2:13">
      <c r="B41" s="53" t="s">
        <v>1422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7E27D-2E7F-479F-A8A6-F6BF88E78F97}">
  <sheetPr codeName="Sheet13"/>
  <dimension ref="A1:S252"/>
  <sheetViews>
    <sheetView zoomScale="85" zoomScaleNormal="85" workbookViewId="0">
      <pane ySplit="1" topLeftCell="A89" activePane="bottomLeft" state="frozen"/>
      <selection pane="bottomLeft" activeCell="I252" sqref="I252:M252"/>
      <selection activeCell="I252" sqref="I252:M252"/>
    </sheetView>
  </sheetViews>
  <sheetFormatPr defaultColWidth="8.625" defaultRowHeight="15.6"/>
  <cols>
    <col min="1" max="1" width="8.625" style="16"/>
    <col min="2" max="2" width="8.625" style="16" customWidth="1"/>
    <col min="3" max="3" width="32.625" style="16" customWidth="1"/>
    <col min="4" max="4" width="8.125" style="16" customWidth="1"/>
    <col min="5" max="5" width="8.625" style="16" customWidth="1"/>
    <col min="6" max="6" width="3.5" style="16" customWidth="1"/>
    <col min="7" max="7" width="16.625" style="16" customWidth="1"/>
    <col min="8" max="8" width="3.625" style="16" customWidth="1"/>
    <col min="9" max="9" width="41.625" style="16" customWidth="1"/>
    <col min="10" max="10" width="12.5" style="72" bestFit="1" customWidth="1"/>
    <col min="11" max="14" width="11.125" style="72" bestFit="1" customWidth="1"/>
    <col min="15" max="15" width="9.625" style="72" bestFit="1" customWidth="1"/>
    <col min="16" max="16" width="10.625" style="72" bestFit="1" customWidth="1"/>
    <col min="17" max="16384" width="8.625" style="16"/>
  </cols>
  <sheetData>
    <row r="1" spans="1:16" ht="41.45">
      <c r="B1" s="59" t="s">
        <v>763</v>
      </c>
      <c r="C1" s="59" t="s">
        <v>1423</v>
      </c>
      <c r="D1" s="59" t="s">
        <v>1424</v>
      </c>
      <c r="E1" s="59" t="s">
        <v>1425</v>
      </c>
      <c r="F1" s="59" t="s">
        <v>772</v>
      </c>
      <c r="G1" s="59" t="s">
        <v>1426</v>
      </c>
      <c r="H1" s="59" t="s">
        <v>1427</v>
      </c>
      <c r="I1" s="59" t="s">
        <v>1428</v>
      </c>
      <c r="J1" s="60" t="s">
        <v>1429</v>
      </c>
      <c r="K1" s="60" t="s">
        <v>1430</v>
      </c>
      <c r="L1" s="60" t="s">
        <v>1431</v>
      </c>
      <c r="M1" s="60" t="s">
        <v>1432</v>
      </c>
      <c r="N1" s="60" t="s">
        <v>1433</v>
      </c>
      <c r="O1" s="60" t="s">
        <v>1434</v>
      </c>
      <c r="P1" s="60" t="s">
        <v>1435</v>
      </c>
    </row>
    <row r="2" spans="1:16" ht="27.6">
      <c r="A2" s="16" t="s">
        <v>153</v>
      </c>
      <c r="B2" s="61" t="s">
        <v>1436</v>
      </c>
      <c r="C2" s="61" t="s">
        <v>1437</v>
      </c>
      <c r="D2" s="61" t="s">
        <v>1438</v>
      </c>
      <c r="E2" s="62">
        <v>1</v>
      </c>
      <c r="F2" s="63"/>
      <c r="G2" s="61" t="s">
        <v>1438</v>
      </c>
      <c r="H2" s="61" t="s">
        <v>1439</v>
      </c>
      <c r="I2" s="61" t="s">
        <v>1440</v>
      </c>
      <c r="J2" s="64"/>
      <c r="K2" s="64">
        <v>10000</v>
      </c>
      <c r="L2" s="64" t="s">
        <v>167</v>
      </c>
      <c r="M2" s="64">
        <v>10000</v>
      </c>
      <c r="N2" s="64">
        <v>10000</v>
      </c>
      <c r="O2" s="64" t="s">
        <v>167</v>
      </c>
      <c r="P2" s="64" t="s">
        <v>167</v>
      </c>
    </row>
    <row r="3" spans="1:16" ht="27.6">
      <c r="A3" s="16" t="s">
        <v>153</v>
      </c>
      <c r="B3" s="61" t="s">
        <v>1436</v>
      </c>
      <c r="C3" s="61" t="s">
        <v>1437</v>
      </c>
      <c r="D3" s="61" t="s">
        <v>1438</v>
      </c>
      <c r="E3" s="62">
        <v>1</v>
      </c>
      <c r="F3" s="63"/>
      <c r="G3" s="61" t="s">
        <v>1438</v>
      </c>
      <c r="H3" s="61" t="s">
        <v>1441</v>
      </c>
      <c r="I3" s="61" t="s">
        <v>1442</v>
      </c>
      <c r="J3" s="64" t="s">
        <v>167</v>
      </c>
      <c r="K3" s="64" t="s">
        <v>167</v>
      </c>
      <c r="L3" s="64">
        <v>539226</v>
      </c>
      <c r="M3" s="64" t="s">
        <v>167</v>
      </c>
      <c r="N3" s="64" t="s">
        <v>167</v>
      </c>
      <c r="O3" s="64" t="s">
        <v>167</v>
      </c>
      <c r="P3" s="64" t="s">
        <v>167</v>
      </c>
    </row>
    <row r="4" spans="1:16">
      <c r="A4" s="16" t="s">
        <v>153</v>
      </c>
      <c r="B4" s="61" t="s">
        <v>1443</v>
      </c>
      <c r="C4" s="61" t="s">
        <v>1444</v>
      </c>
      <c r="D4" s="61" t="s">
        <v>1445</v>
      </c>
      <c r="E4" s="62">
        <v>1</v>
      </c>
      <c r="F4" s="63"/>
      <c r="G4" s="61" t="s">
        <v>1446</v>
      </c>
      <c r="H4" s="61" t="s">
        <v>1441</v>
      </c>
      <c r="I4" s="61" t="s">
        <v>1447</v>
      </c>
      <c r="J4" s="64" t="s">
        <v>167</v>
      </c>
      <c r="K4" s="64">
        <v>25000</v>
      </c>
      <c r="L4" s="64" t="s">
        <v>167</v>
      </c>
      <c r="M4" s="64">
        <v>25000</v>
      </c>
      <c r="N4" s="64" t="s">
        <v>167</v>
      </c>
      <c r="O4" s="64" t="s">
        <v>167</v>
      </c>
      <c r="P4" s="64" t="s">
        <v>167</v>
      </c>
    </row>
    <row r="5" spans="1:16">
      <c r="A5" s="16" t="s">
        <v>153</v>
      </c>
      <c r="B5" s="61" t="s">
        <v>1443</v>
      </c>
      <c r="C5" s="61" t="s">
        <v>1444</v>
      </c>
      <c r="D5" s="61" t="s">
        <v>1438</v>
      </c>
      <c r="E5" s="62">
        <v>1</v>
      </c>
      <c r="F5" s="63"/>
      <c r="G5" s="61" t="s">
        <v>1438</v>
      </c>
      <c r="H5" s="61" t="s">
        <v>1441</v>
      </c>
      <c r="I5" s="61" t="s">
        <v>1448</v>
      </c>
      <c r="J5" s="64" t="s">
        <v>167</v>
      </c>
      <c r="K5" s="64" t="s">
        <v>167</v>
      </c>
      <c r="L5" s="64" t="s">
        <v>167</v>
      </c>
      <c r="M5" s="64">
        <v>516445</v>
      </c>
      <c r="N5" s="64" t="s">
        <v>167</v>
      </c>
      <c r="O5" s="64" t="s">
        <v>167</v>
      </c>
      <c r="P5" s="64" t="s">
        <v>167</v>
      </c>
    </row>
    <row r="6" spans="1:16" ht="27.6">
      <c r="A6" s="16" t="s">
        <v>153</v>
      </c>
      <c r="B6" s="61" t="s">
        <v>1449</v>
      </c>
      <c r="C6" s="61" t="s">
        <v>1450</v>
      </c>
      <c r="D6" s="61" t="s">
        <v>1446</v>
      </c>
      <c r="E6" s="62">
        <v>1</v>
      </c>
      <c r="F6" s="63"/>
      <c r="G6" s="61" t="s">
        <v>1446</v>
      </c>
      <c r="H6" s="61" t="s">
        <v>1441</v>
      </c>
      <c r="I6" s="61" t="s">
        <v>1451</v>
      </c>
      <c r="J6" s="64"/>
      <c r="K6" s="64">
        <v>16250</v>
      </c>
      <c r="L6" s="64" t="s">
        <v>167</v>
      </c>
      <c r="M6" s="64" t="s">
        <v>167</v>
      </c>
      <c r="N6" s="64" t="s">
        <v>167</v>
      </c>
      <c r="O6" s="64" t="s">
        <v>167</v>
      </c>
      <c r="P6" s="64" t="s">
        <v>167</v>
      </c>
    </row>
    <row r="7" spans="1:16">
      <c r="A7" s="16" t="s">
        <v>153</v>
      </c>
      <c r="B7" s="61" t="s">
        <v>506</v>
      </c>
      <c r="C7" s="61" t="s">
        <v>1452</v>
      </c>
      <c r="D7" s="61" t="s">
        <v>1446</v>
      </c>
      <c r="E7" s="62">
        <v>1</v>
      </c>
      <c r="F7" s="63"/>
      <c r="G7" s="61" t="s">
        <v>1446</v>
      </c>
      <c r="H7" s="61" t="s">
        <v>1441</v>
      </c>
      <c r="I7" s="61" t="s">
        <v>1453</v>
      </c>
      <c r="J7" s="64" t="s">
        <v>167</v>
      </c>
      <c r="K7" s="64">
        <v>30000</v>
      </c>
      <c r="L7" s="64" t="s">
        <v>167</v>
      </c>
      <c r="M7" s="64" t="s">
        <v>167</v>
      </c>
      <c r="N7" s="64" t="s">
        <v>167</v>
      </c>
      <c r="O7" s="64" t="s">
        <v>167</v>
      </c>
      <c r="P7" s="64" t="s">
        <v>167</v>
      </c>
    </row>
    <row r="8" spans="1:16" ht="27.6">
      <c r="A8" s="16" t="s">
        <v>153</v>
      </c>
      <c r="B8" s="61" t="s">
        <v>506</v>
      </c>
      <c r="C8" s="61" t="s">
        <v>1452</v>
      </c>
      <c r="D8" s="61" t="s">
        <v>1454</v>
      </c>
      <c r="E8" s="62">
        <v>1</v>
      </c>
      <c r="F8" s="63"/>
      <c r="G8" s="61" t="s">
        <v>1455</v>
      </c>
      <c r="H8" s="61" t="s">
        <v>1441</v>
      </c>
      <c r="I8" s="61" t="s">
        <v>1456</v>
      </c>
      <c r="J8" s="64" t="s">
        <v>167</v>
      </c>
      <c r="K8" s="64">
        <v>144750</v>
      </c>
      <c r="L8" s="64" t="s">
        <v>167</v>
      </c>
      <c r="M8" s="64" t="s">
        <v>167</v>
      </c>
      <c r="N8" s="64" t="s">
        <v>167</v>
      </c>
      <c r="O8" s="64" t="s">
        <v>167</v>
      </c>
      <c r="P8" s="64" t="s">
        <v>167</v>
      </c>
    </row>
    <row r="9" spans="1:16" ht="27.6">
      <c r="A9" s="16" t="s">
        <v>153</v>
      </c>
      <c r="B9" s="61" t="s">
        <v>506</v>
      </c>
      <c r="C9" s="61" t="s">
        <v>1452</v>
      </c>
      <c r="D9" s="61" t="s">
        <v>1438</v>
      </c>
      <c r="E9" s="62">
        <v>1</v>
      </c>
      <c r="F9" s="63"/>
      <c r="G9" s="61" t="s">
        <v>1438</v>
      </c>
      <c r="H9" s="61" t="s">
        <v>1441</v>
      </c>
      <c r="I9" s="61" t="s">
        <v>1457</v>
      </c>
      <c r="J9" s="64" t="s">
        <v>167</v>
      </c>
      <c r="K9" s="64">
        <v>324996</v>
      </c>
      <c r="L9" s="64" t="s">
        <v>167</v>
      </c>
      <c r="M9" s="64" t="s">
        <v>167</v>
      </c>
      <c r="N9" s="64" t="s">
        <v>167</v>
      </c>
      <c r="O9" s="64" t="s">
        <v>167</v>
      </c>
      <c r="P9" s="64" t="s">
        <v>167</v>
      </c>
    </row>
    <row r="10" spans="1:16" ht="27.6">
      <c r="A10" s="16" t="s">
        <v>153</v>
      </c>
      <c r="B10" s="61" t="s">
        <v>1458</v>
      </c>
      <c r="C10" s="61" t="s">
        <v>1459</v>
      </c>
      <c r="D10" s="61" t="s">
        <v>104</v>
      </c>
      <c r="E10" s="62">
        <v>1</v>
      </c>
      <c r="F10" s="63"/>
      <c r="G10" s="61" t="s">
        <v>1460</v>
      </c>
      <c r="H10" s="61" t="s">
        <v>1441</v>
      </c>
      <c r="I10" s="61" t="s">
        <v>1461</v>
      </c>
      <c r="J10" s="64">
        <v>23150</v>
      </c>
      <c r="K10" s="64" t="s">
        <v>167</v>
      </c>
      <c r="L10" s="64" t="s">
        <v>167</v>
      </c>
      <c r="M10" s="64" t="s">
        <v>167</v>
      </c>
      <c r="N10" s="64" t="s">
        <v>167</v>
      </c>
      <c r="O10" s="64" t="s">
        <v>167</v>
      </c>
      <c r="P10" s="64" t="s">
        <v>167</v>
      </c>
    </row>
    <row r="11" spans="1:16">
      <c r="A11" s="16" t="s">
        <v>153</v>
      </c>
      <c r="B11" s="61" t="s">
        <v>1458</v>
      </c>
      <c r="C11" s="61" t="s">
        <v>1459</v>
      </c>
      <c r="D11" s="61" t="s">
        <v>1446</v>
      </c>
      <c r="E11" s="62">
        <v>1</v>
      </c>
      <c r="F11" s="63"/>
      <c r="G11" s="61" t="s">
        <v>1446</v>
      </c>
      <c r="H11" s="61" t="s">
        <v>1441</v>
      </c>
      <c r="I11" s="61" t="s">
        <v>1462</v>
      </c>
      <c r="J11" s="64" t="s">
        <v>167</v>
      </c>
      <c r="K11" s="64">
        <v>6000</v>
      </c>
      <c r="L11" s="64">
        <v>6000</v>
      </c>
      <c r="M11" s="64">
        <v>6000</v>
      </c>
      <c r="N11" s="64" t="s">
        <v>167</v>
      </c>
      <c r="O11" s="64" t="s">
        <v>167</v>
      </c>
      <c r="P11" s="64" t="s">
        <v>167</v>
      </c>
    </row>
    <row r="12" spans="1:16" ht="27.6">
      <c r="A12" s="16" t="s">
        <v>153</v>
      </c>
      <c r="B12" s="61" t="s">
        <v>1458</v>
      </c>
      <c r="C12" s="61" t="s">
        <v>1459</v>
      </c>
      <c r="D12" s="61" t="s">
        <v>1463</v>
      </c>
      <c r="E12" s="62">
        <v>1</v>
      </c>
      <c r="F12" s="63"/>
      <c r="G12" s="61" t="s">
        <v>1464</v>
      </c>
      <c r="H12" s="61" t="s">
        <v>1441</v>
      </c>
      <c r="I12" s="61" t="s">
        <v>1465</v>
      </c>
      <c r="J12" s="64">
        <v>15000</v>
      </c>
      <c r="K12" s="64" t="s">
        <v>167</v>
      </c>
      <c r="L12" s="64" t="s">
        <v>167</v>
      </c>
      <c r="M12" s="64" t="s">
        <v>167</v>
      </c>
      <c r="N12" s="64" t="s">
        <v>167</v>
      </c>
      <c r="O12" s="64" t="s">
        <v>167</v>
      </c>
      <c r="P12" s="64" t="s">
        <v>167</v>
      </c>
    </row>
    <row r="13" spans="1:16" ht="41.45">
      <c r="A13" s="16" t="s">
        <v>153</v>
      </c>
      <c r="B13" s="61" t="s">
        <v>1458</v>
      </c>
      <c r="C13" s="61" t="s">
        <v>1459</v>
      </c>
      <c r="D13" s="61" t="s">
        <v>1466</v>
      </c>
      <c r="E13" s="62">
        <v>1</v>
      </c>
      <c r="F13" s="63"/>
      <c r="G13" s="61" t="s">
        <v>1455</v>
      </c>
      <c r="H13" s="61" t="s">
        <v>1441</v>
      </c>
      <c r="I13" s="61" t="s">
        <v>1467</v>
      </c>
      <c r="J13" s="64">
        <v>47500</v>
      </c>
      <c r="K13" s="64">
        <v>45000</v>
      </c>
      <c r="L13" s="64">
        <v>45000</v>
      </c>
      <c r="M13" s="64" t="s">
        <v>167</v>
      </c>
      <c r="N13" s="64" t="s">
        <v>167</v>
      </c>
      <c r="O13" s="64" t="s">
        <v>167</v>
      </c>
      <c r="P13" s="64" t="s">
        <v>167</v>
      </c>
    </row>
    <row r="14" spans="1:16">
      <c r="A14" s="16" t="s">
        <v>153</v>
      </c>
      <c r="B14" s="61" t="s">
        <v>1458</v>
      </c>
      <c r="C14" s="61" t="s">
        <v>1459</v>
      </c>
      <c r="D14" s="61" t="s">
        <v>1468</v>
      </c>
      <c r="E14" s="62">
        <v>1</v>
      </c>
      <c r="F14" s="63"/>
      <c r="G14" s="61" t="s">
        <v>1464</v>
      </c>
      <c r="H14" s="61" t="s">
        <v>1441</v>
      </c>
      <c r="I14" s="61" t="s">
        <v>1469</v>
      </c>
      <c r="J14" s="64">
        <v>15000</v>
      </c>
      <c r="K14" s="64" t="s">
        <v>167</v>
      </c>
      <c r="L14" s="64" t="s">
        <v>167</v>
      </c>
      <c r="M14" s="64" t="s">
        <v>167</v>
      </c>
      <c r="N14" s="64" t="s">
        <v>167</v>
      </c>
      <c r="O14" s="64" t="s">
        <v>167</v>
      </c>
      <c r="P14" s="64" t="s">
        <v>167</v>
      </c>
    </row>
    <row r="15" spans="1:16" ht="41.45">
      <c r="A15" s="16" t="s">
        <v>153</v>
      </c>
      <c r="B15" s="61" t="s">
        <v>1458</v>
      </c>
      <c r="C15" s="61" t="s">
        <v>1459</v>
      </c>
      <c r="D15" s="61" t="s">
        <v>1470</v>
      </c>
      <c r="E15" s="62">
        <v>1</v>
      </c>
      <c r="F15" s="63"/>
      <c r="G15" s="61" t="s">
        <v>1460</v>
      </c>
      <c r="H15" s="61" t="s">
        <v>1441</v>
      </c>
      <c r="I15" s="61" t="s">
        <v>1471</v>
      </c>
      <c r="J15" s="64">
        <v>175000</v>
      </c>
      <c r="K15" s="64" t="s">
        <v>167</v>
      </c>
      <c r="L15" s="64" t="s">
        <v>167</v>
      </c>
      <c r="M15" s="64" t="s">
        <v>167</v>
      </c>
      <c r="N15" s="64" t="s">
        <v>167</v>
      </c>
      <c r="O15" s="64" t="s">
        <v>167</v>
      </c>
      <c r="P15" s="64" t="s">
        <v>167</v>
      </c>
    </row>
    <row r="16" spans="1:16">
      <c r="A16" s="16" t="s">
        <v>153</v>
      </c>
      <c r="B16" s="61" t="s">
        <v>155</v>
      </c>
      <c r="C16" s="61" t="s">
        <v>1472</v>
      </c>
      <c r="D16" s="61" t="s">
        <v>1473</v>
      </c>
      <c r="E16" s="62">
        <v>1</v>
      </c>
      <c r="F16" s="63"/>
      <c r="G16" s="61" t="s">
        <v>1455</v>
      </c>
      <c r="H16" s="61" t="s">
        <v>1441</v>
      </c>
      <c r="I16" s="61" t="s">
        <v>1474</v>
      </c>
      <c r="J16" s="64">
        <v>5000</v>
      </c>
      <c r="K16" s="64" t="s">
        <v>167</v>
      </c>
      <c r="L16" s="64">
        <v>15000</v>
      </c>
      <c r="M16" s="64" t="s">
        <v>167</v>
      </c>
      <c r="N16" s="64" t="s">
        <v>167</v>
      </c>
      <c r="O16" s="64" t="s">
        <v>167</v>
      </c>
      <c r="P16" s="64" t="s">
        <v>167</v>
      </c>
    </row>
    <row r="17" spans="1:16">
      <c r="A17" s="16" t="s">
        <v>153</v>
      </c>
      <c r="B17" s="61" t="s">
        <v>155</v>
      </c>
      <c r="C17" s="61" t="s">
        <v>1472</v>
      </c>
      <c r="D17" s="61" t="s">
        <v>1438</v>
      </c>
      <c r="E17" s="62">
        <v>1</v>
      </c>
      <c r="F17" s="63"/>
      <c r="G17" s="61" t="s">
        <v>1438</v>
      </c>
      <c r="H17" s="61" t="s">
        <v>1441</v>
      </c>
      <c r="I17" s="61" t="s">
        <v>1475</v>
      </c>
      <c r="J17" s="64">
        <v>10000</v>
      </c>
      <c r="K17" s="64">
        <v>2500</v>
      </c>
      <c r="L17" s="64">
        <v>2500</v>
      </c>
      <c r="M17" s="64">
        <v>2500</v>
      </c>
      <c r="N17" s="64">
        <v>2500</v>
      </c>
      <c r="O17" s="64" t="s">
        <v>167</v>
      </c>
      <c r="P17" s="64" t="s">
        <v>167</v>
      </c>
    </row>
    <row r="18" spans="1:16" ht="82.9">
      <c r="A18" s="16" t="s">
        <v>153</v>
      </c>
      <c r="B18" s="61" t="s">
        <v>199</v>
      </c>
      <c r="C18" s="61" t="s">
        <v>920</v>
      </c>
      <c r="D18" s="61" t="s">
        <v>1445</v>
      </c>
      <c r="E18" s="62">
        <v>1</v>
      </c>
      <c r="F18" s="63"/>
      <c r="G18" s="61" t="s">
        <v>1446</v>
      </c>
      <c r="H18" s="61" t="s">
        <v>1441</v>
      </c>
      <c r="I18" s="61" t="s">
        <v>1476</v>
      </c>
      <c r="J18" s="64">
        <v>30000</v>
      </c>
      <c r="K18" s="64">
        <v>7000</v>
      </c>
      <c r="L18" s="64" t="s">
        <v>167</v>
      </c>
      <c r="M18" s="64" t="s">
        <v>167</v>
      </c>
      <c r="N18" s="64">
        <v>12500</v>
      </c>
      <c r="O18" s="64" t="s">
        <v>167</v>
      </c>
      <c r="P18" s="64" t="s">
        <v>167</v>
      </c>
    </row>
    <row r="19" spans="1:16" ht="27.6">
      <c r="A19" s="16" t="s">
        <v>153</v>
      </c>
      <c r="B19" s="61" t="s">
        <v>199</v>
      </c>
      <c r="C19" s="61" t="s">
        <v>920</v>
      </c>
      <c r="D19" s="61" t="s">
        <v>1463</v>
      </c>
      <c r="E19" s="62">
        <v>1</v>
      </c>
      <c r="F19" s="63"/>
      <c r="G19" s="61" t="s">
        <v>1464</v>
      </c>
      <c r="H19" s="61" t="s">
        <v>1441</v>
      </c>
      <c r="I19" s="61" t="s">
        <v>1477</v>
      </c>
      <c r="J19" s="64">
        <v>10000</v>
      </c>
      <c r="K19" s="64" t="s">
        <v>167</v>
      </c>
      <c r="L19" s="64" t="s">
        <v>167</v>
      </c>
      <c r="M19" s="64">
        <v>6000</v>
      </c>
      <c r="N19" s="64" t="s">
        <v>167</v>
      </c>
      <c r="O19" s="64" t="s">
        <v>167</v>
      </c>
      <c r="P19" s="64" t="s">
        <v>167</v>
      </c>
    </row>
    <row r="20" spans="1:16" ht="27.6">
      <c r="A20" s="16" t="s">
        <v>153</v>
      </c>
      <c r="B20" s="61" t="s">
        <v>199</v>
      </c>
      <c r="C20" s="61" t="s">
        <v>920</v>
      </c>
      <c r="D20" s="61" t="s">
        <v>1478</v>
      </c>
      <c r="E20" s="62">
        <v>1</v>
      </c>
      <c r="F20" s="63"/>
      <c r="G20" s="61" t="s">
        <v>1464</v>
      </c>
      <c r="H20" s="61" t="s">
        <v>1441</v>
      </c>
      <c r="I20" s="61" t="s">
        <v>1479</v>
      </c>
      <c r="J20" s="64" t="s">
        <v>167</v>
      </c>
      <c r="K20" s="64">
        <v>220000</v>
      </c>
      <c r="L20" s="64" t="s">
        <v>167</v>
      </c>
      <c r="M20" s="64" t="s">
        <v>167</v>
      </c>
      <c r="N20" s="64" t="s">
        <v>167</v>
      </c>
      <c r="O20" s="64" t="s">
        <v>167</v>
      </c>
      <c r="P20" s="64" t="s">
        <v>167</v>
      </c>
    </row>
    <row r="21" spans="1:16" ht="27.6">
      <c r="A21" s="16" t="s">
        <v>153</v>
      </c>
      <c r="B21" s="61" t="s">
        <v>199</v>
      </c>
      <c r="C21" s="61" t="s">
        <v>920</v>
      </c>
      <c r="D21" s="61" t="s">
        <v>1480</v>
      </c>
      <c r="E21" s="62">
        <v>1</v>
      </c>
      <c r="F21" s="63"/>
      <c r="G21" s="61" t="s">
        <v>1455</v>
      </c>
      <c r="H21" s="61" t="s">
        <v>1441</v>
      </c>
      <c r="I21" s="61" t="s">
        <v>1481</v>
      </c>
      <c r="J21" s="64">
        <v>10000</v>
      </c>
      <c r="K21" s="64">
        <v>10000</v>
      </c>
      <c r="L21" s="64">
        <v>10000</v>
      </c>
      <c r="M21" s="64">
        <v>10000</v>
      </c>
      <c r="N21" s="64">
        <v>10000</v>
      </c>
      <c r="O21" s="64" t="s">
        <v>167</v>
      </c>
      <c r="P21" s="64" t="s">
        <v>167</v>
      </c>
    </row>
    <row r="22" spans="1:16" ht="55.15">
      <c r="A22" s="16" t="s">
        <v>153</v>
      </c>
      <c r="B22" s="61" t="s">
        <v>199</v>
      </c>
      <c r="C22" s="61" t="s">
        <v>920</v>
      </c>
      <c r="D22" s="61" t="s">
        <v>1482</v>
      </c>
      <c r="E22" s="62">
        <v>1</v>
      </c>
      <c r="F22" s="63"/>
      <c r="G22" s="61" t="s">
        <v>1464</v>
      </c>
      <c r="H22" s="61" t="s">
        <v>1441</v>
      </c>
      <c r="I22" s="61" t="s">
        <v>1483</v>
      </c>
      <c r="J22" s="64">
        <v>28125</v>
      </c>
      <c r="K22" s="64">
        <v>9375</v>
      </c>
      <c r="L22" s="64" t="s">
        <v>167</v>
      </c>
      <c r="M22" s="64">
        <v>18750</v>
      </c>
      <c r="N22" s="64">
        <v>22500</v>
      </c>
      <c r="O22" s="64" t="s">
        <v>167</v>
      </c>
      <c r="P22" s="64" t="s">
        <v>167</v>
      </c>
    </row>
    <row r="23" spans="1:16" ht="27.6">
      <c r="A23" s="16" t="s">
        <v>153</v>
      </c>
      <c r="B23" s="61" t="s">
        <v>199</v>
      </c>
      <c r="C23" s="61" t="s">
        <v>920</v>
      </c>
      <c r="D23" s="61" t="s">
        <v>1468</v>
      </c>
      <c r="E23" s="62">
        <v>1</v>
      </c>
      <c r="F23" s="63"/>
      <c r="G23" s="61" t="s">
        <v>1464</v>
      </c>
      <c r="H23" s="61" t="s">
        <v>1441</v>
      </c>
      <c r="I23" s="61" t="s">
        <v>1484</v>
      </c>
      <c r="J23" s="64">
        <v>22500</v>
      </c>
      <c r="K23" s="64" t="s">
        <v>167</v>
      </c>
      <c r="L23" s="64" t="s">
        <v>167</v>
      </c>
      <c r="M23" s="64" t="s">
        <v>167</v>
      </c>
      <c r="N23" s="64" t="s">
        <v>167</v>
      </c>
      <c r="O23" s="64" t="s">
        <v>167</v>
      </c>
      <c r="P23" s="64" t="s">
        <v>167</v>
      </c>
    </row>
    <row r="24" spans="1:16" ht="27.6">
      <c r="A24" s="16" t="s">
        <v>153</v>
      </c>
      <c r="B24" s="61" t="s">
        <v>1485</v>
      </c>
      <c r="C24" s="61" t="s">
        <v>1486</v>
      </c>
      <c r="D24" s="61" t="s">
        <v>1466</v>
      </c>
      <c r="E24" s="62">
        <v>1</v>
      </c>
      <c r="F24" s="63"/>
      <c r="G24" s="61" t="s">
        <v>1455</v>
      </c>
      <c r="H24" s="61" t="s">
        <v>1441</v>
      </c>
      <c r="I24" s="61" t="s">
        <v>1487</v>
      </c>
      <c r="J24" s="64" t="s">
        <v>167</v>
      </c>
      <c r="K24" s="64">
        <v>20000</v>
      </c>
      <c r="L24" s="64">
        <v>20000</v>
      </c>
      <c r="M24" s="64">
        <v>20000</v>
      </c>
      <c r="N24" s="64">
        <v>20000</v>
      </c>
      <c r="O24" s="64" t="s">
        <v>167</v>
      </c>
      <c r="P24" s="64" t="s">
        <v>167</v>
      </c>
    </row>
    <row r="25" spans="1:16" ht="27.6">
      <c r="A25" s="16" t="s">
        <v>153</v>
      </c>
      <c r="B25" s="61" t="s">
        <v>1485</v>
      </c>
      <c r="C25" s="61" t="s">
        <v>1486</v>
      </c>
      <c r="D25" s="61" t="s">
        <v>1438</v>
      </c>
      <c r="E25" s="62">
        <v>1</v>
      </c>
      <c r="F25" s="63"/>
      <c r="G25" s="61" t="s">
        <v>1438</v>
      </c>
      <c r="H25" s="61" t="s">
        <v>1439</v>
      </c>
      <c r="I25" s="61" t="s">
        <v>1488</v>
      </c>
      <c r="J25" s="64"/>
      <c r="K25" s="64" t="s">
        <v>167</v>
      </c>
      <c r="L25" s="64">
        <v>7500</v>
      </c>
      <c r="M25" s="64">
        <v>7500</v>
      </c>
      <c r="N25" s="64">
        <v>7500</v>
      </c>
      <c r="O25" s="64" t="s">
        <v>167</v>
      </c>
      <c r="P25" s="64" t="s">
        <v>167</v>
      </c>
    </row>
    <row r="26" spans="1:16">
      <c r="A26" s="16" t="s">
        <v>153</v>
      </c>
      <c r="B26" s="61" t="s">
        <v>1485</v>
      </c>
      <c r="C26" s="61" t="s">
        <v>1486</v>
      </c>
      <c r="D26" s="61" t="s">
        <v>1438</v>
      </c>
      <c r="E26" s="62">
        <v>1</v>
      </c>
      <c r="F26" s="63"/>
      <c r="G26" s="61" t="s">
        <v>1438</v>
      </c>
      <c r="H26" s="61" t="s">
        <v>1441</v>
      </c>
      <c r="I26" s="61" t="s">
        <v>1489</v>
      </c>
      <c r="J26" s="64">
        <v>24980</v>
      </c>
      <c r="K26" s="64" t="s">
        <v>167</v>
      </c>
      <c r="L26" s="64" t="s">
        <v>167</v>
      </c>
      <c r="M26" s="64" t="s">
        <v>167</v>
      </c>
      <c r="N26" s="64" t="s">
        <v>167</v>
      </c>
      <c r="O26" s="64" t="s">
        <v>167</v>
      </c>
      <c r="P26" s="64" t="s">
        <v>167</v>
      </c>
    </row>
    <row r="27" spans="1:16">
      <c r="A27" s="16" t="s">
        <v>153</v>
      </c>
      <c r="B27" s="61" t="s">
        <v>1485</v>
      </c>
      <c r="C27" s="61" t="s">
        <v>1486</v>
      </c>
      <c r="D27" s="61" t="s">
        <v>1438</v>
      </c>
      <c r="E27" s="62">
        <v>1</v>
      </c>
      <c r="F27" s="63"/>
      <c r="G27" s="61" t="s">
        <v>1438</v>
      </c>
      <c r="H27" s="61" t="s">
        <v>1441</v>
      </c>
      <c r="I27" s="61" t="s">
        <v>1490</v>
      </c>
      <c r="J27" s="64" t="s">
        <v>167</v>
      </c>
      <c r="K27" s="64">
        <v>75000</v>
      </c>
      <c r="L27" s="64" t="s">
        <v>167</v>
      </c>
      <c r="M27" s="64" t="s">
        <v>167</v>
      </c>
      <c r="N27" s="64" t="s">
        <v>167</v>
      </c>
      <c r="O27" s="64" t="s">
        <v>167</v>
      </c>
      <c r="P27" s="64" t="s">
        <v>167</v>
      </c>
    </row>
    <row r="28" spans="1:16" ht="41.45">
      <c r="A28" s="16" t="s">
        <v>153</v>
      </c>
      <c r="B28" s="61" t="s">
        <v>1485</v>
      </c>
      <c r="C28" s="61" t="s">
        <v>1486</v>
      </c>
      <c r="D28" s="61" t="s">
        <v>1468</v>
      </c>
      <c r="E28" s="62">
        <v>1</v>
      </c>
      <c r="F28" s="63"/>
      <c r="G28" s="61" t="s">
        <v>1464</v>
      </c>
      <c r="H28" s="61" t="s">
        <v>1441</v>
      </c>
      <c r="I28" s="61" t="s">
        <v>1491</v>
      </c>
      <c r="J28" s="64">
        <v>144000</v>
      </c>
      <c r="K28" s="64" t="s">
        <v>167</v>
      </c>
      <c r="L28" s="64" t="s">
        <v>167</v>
      </c>
      <c r="M28" s="64" t="s">
        <v>167</v>
      </c>
      <c r="N28" s="64" t="s">
        <v>167</v>
      </c>
      <c r="O28" s="64" t="s">
        <v>167</v>
      </c>
      <c r="P28" s="64" t="s">
        <v>167</v>
      </c>
    </row>
    <row r="29" spans="1:16">
      <c r="A29" s="16" t="s">
        <v>153</v>
      </c>
      <c r="B29" s="61" t="s">
        <v>1485</v>
      </c>
      <c r="C29" s="61" t="s">
        <v>1486</v>
      </c>
      <c r="D29" s="61" t="s">
        <v>1446</v>
      </c>
      <c r="E29" s="62">
        <v>1</v>
      </c>
      <c r="F29" s="63"/>
      <c r="G29" s="61" t="s">
        <v>1446</v>
      </c>
      <c r="H29" s="61" t="s">
        <v>1441</v>
      </c>
      <c r="I29" s="61" t="s">
        <v>1492</v>
      </c>
      <c r="J29" s="64" t="s">
        <v>167</v>
      </c>
      <c r="K29" s="64" t="s">
        <v>167</v>
      </c>
      <c r="L29" s="64">
        <v>80000</v>
      </c>
      <c r="M29" s="64" t="s">
        <v>167</v>
      </c>
      <c r="N29" s="64" t="s">
        <v>167</v>
      </c>
      <c r="O29" s="64" t="s">
        <v>167</v>
      </c>
      <c r="P29" s="64" t="s">
        <v>167</v>
      </c>
    </row>
    <row r="30" spans="1:16">
      <c r="A30" s="16" t="s">
        <v>153</v>
      </c>
      <c r="B30" s="61" t="s">
        <v>1493</v>
      </c>
      <c r="C30" s="61" t="s">
        <v>1494</v>
      </c>
      <c r="D30" s="61" t="s">
        <v>1438</v>
      </c>
      <c r="E30" s="62">
        <v>1</v>
      </c>
      <c r="F30" s="63"/>
      <c r="G30" s="61" t="s">
        <v>1438</v>
      </c>
      <c r="H30" s="61" t="s">
        <v>1441</v>
      </c>
      <c r="I30" s="61" t="s">
        <v>1448</v>
      </c>
      <c r="J30" s="64" t="s">
        <v>167</v>
      </c>
      <c r="K30" s="64" t="s">
        <v>167</v>
      </c>
      <c r="L30" s="64" t="s">
        <v>167</v>
      </c>
      <c r="M30" s="64">
        <v>303345</v>
      </c>
      <c r="N30" s="64" t="s">
        <v>167</v>
      </c>
      <c r="O30" s="64" t="s">
        <v>167</v>
      </c>
      <c r="P30" s="64" t="s">
        <v>167</v>
      </c>
    </row>
    <row r="31" spans="1:16" ht="55.15">
      <c r="A31" s="16" t="s">
        <v>153</v>
      </c>
      <c r="B31" s="61" t="s">
        <v>1495</v>
      </c>
      <c r="C31" s="61" t="s">
        <v>1496</v>
      </c>
      <c r="D31" s="61" t="s">
        <v>1497</v>
      </c>
      <c r="E31" s="62">
        <v>1</v>
      </c>
      <c r="F31" s="63"/>
      <c r="G31" s="61" t="s">
        <v>1460</v>
      </c>
      <c r="H31" s="61" t="s">
        <v>1441</v>
      </c>
      <c r="I31" s="61" t="s">
        <v>1498</v>
      </c>
      <c r="J31" s="64">
        <v>127276</v>
      </c>
      <c r="K31" s="64" t="s">
        <v>167</v>
      </c>
      <c r="L31" s="64" t="s">
        <v>167</v>
      </c>
      <c r="M31" s="64" t="s">
        <v>167</v>
      </c>
      <c r="N31" s="64" t="s">
        <v>167</v>
      </c>
      <c r="O31" s="64" t="s">
        <v>167</v>
      </c>
      <c r="P31" s="64" t="s">
        <v>167</v>
      </c>
    </row>
    <row r="32" spans="1:16">
      <c r="A32" s="16" t="s">
        <v>153</v>
      </c>
      <c r="B32" s="61" t="s">
        <v>1495</v>
      </c>
      <c r="C32" s="61" t="s">
        <v>1496</v>
      </c>
      <c r="D32" s="61" t="s">
        <v>1438</v>
      </c>
      <c r="E32" s="62">
        <v>1</v>
      </c>
      <c r="F32" s="63"/>
      <c r="G32" s="61" t="s">
        <v>1438</v>
      </c>
      <c r="H32" s="61" t="s">
        <v>1441</v>
      </c>
      <c r="I32" s="61" t="s">
        <v>1448</v>
      </c>
      <c r="J32" s="64">
        <v>288000</v>
      </c>
      <c r="K32" s="64" t="s">
        <v>167</v>
      </c>
      <c r="L32" s="64" t="s">
        <v>167</v>
      </c>
      <c r="M32" s="64" t="s">
        <v>167</v>
      </c>
      <c r="N32" s="64" t="s">
        <v>167</v>
      </c>
      <c r="O32" s="64" t="s">
        <v>167</v>
      </c>
      <c r="P32" s="64" t="s">
        <v>167</v>
      </c>
    </row>
    <row r="33" spans="1:16">
      <c r="A33" s="16" t="s">
        <v>153</v>
      </c>
      <c r="B33" s="61" t="s">
        <v>1495</v>
      </c>
      <c r="C33" s="61" t="s">
        <v>1496</v>
      </c>
      <c r="D33" s="61" t="s">
        <v>1482</v>
      </c>
      <c r="E33" s="62">
        <v>1</v>
      </c>
      <c r="F33" s="63"/>
      <c r="G33" s="61" t="s">
        <v>1460</v>
      </c>
      <c r="H33" s="61" t="s">
        <v>1441</v>
      </c>
      <c r="I33" s="61" t="s">
        <v>1499</v>
      </c>
      <c r="J33" s="64">
        <v>60000</v>
      </c>
      <c r="K33" s="64" t="s">
        <v>167</v>
      </c>
      <c r="L33" s="64" t="s">
        <v>167</v>
      </c>
      <c r="M33" s="64" t="s">
        <v>167</v>
      </c>
      <c r="N33" s="64" t="s">
        <v>167</v>
      </c>
      <c r="O33" s="64" t="s">
        <v>167</v>
      </c>
      <c r="P33" s="64" t="s">
        <v>167</v>
      </c>
    </row>
    <row r="34" spans="1:16">
      <c r="A34" s="16" t="s">
        <v>153</v>
      </c>
      <c r="B34" s="61" t="s">
        <v>1495</v>
      </c>
      <c r="C34" s="61" t="s">
        <v>1496</v>
      </c>
      <c r="D34" s="61" t="s">
        <v>1446</v>
      </c>
      <c r="E34" s="62">
        <v>1</v>
      </c>
      <c r="F34" s="63"/>
      <c r="G34" s="61" t="s">
        <v>1446</v>
      </c>
      <c r="H34" s="61" t="s">
        <v>1441</v>
      </c>
      <c r="I34" s="61" t="s">
        <v>1500</v>
      </c>
      <c r="J34" s="64" t="s">
        <v>167</v>
      </c>
      <c r="K34" s="64">
        <v>9500</v>
      </c>
      <c r="L34" s="64" t="s">
        <v>167</v>
      </c>
      <c r="M34" s="64" t="s">
        <v>167</v>
      </c>
      <c r="N34" s="64" t="s">
        <v>167</v>
      </c>
      <c r="O34" s="64" t="s">
        <v>167</v>
      </c>
      <c r="P34" s="64" t="s">
        <v>167</v>
      </c>
    </row>
    <row r="35" spans="1:16">
      <c r="A35" s="16" t="s">
        <v>153</v>
      </c>
      <c r="B35" s="61" t="s">
        <v>1495</v>
      </c>
      <c r="C35" s="61" t="s">
        <v>1496</v>
      </c>
      <c r="D35" s="61" t="s">
        <v>1468</v>
      </c>
      <c r="E35" s="62">
        <v>1</v>
      </c>
      <c r="F35" s="63"/>
      <c r="G35" s="61" t="s">
        <v>1464</v>
      </c>
      <c r="H35" s="61" t="s">
        <v>1441</v>
      </c>
      <c r="I35" s="61" t="s">
        <v>1501</v>
      </c>
      <c r="J35" s="64" t="s">
        <v>167</v>
      </c>
      <c r="K35" s="64" t="s">
        <v>167</v>
      </c>
      <c r="L35" s="64">
        <v>30000</v>
      </c>
      <c r="M35" s="64" t="s">
        <v>167</v>
      </c>
      <c r="N35" s="64" t="s">
        <v>167</v>
      </c>
      <c r="O35" s="64" t="s">
        <v>167</v>
      </c>
      <c r="P35" s="64" t="s">
        <v>167</v>
      </c>
    </row>
    <row r="36" spans="1:16">
      <c r="A36" s="16" t="s">
        <v>153</v>
      </c>
      <c r="B36" s="61" t="s">
        <v>1502</v>
      </c>
      <c r="C36" s="61" t="s">
        <v>1503</v>
      </c>
      <c r="D36" s="61" t="s">
        <v>1504</v>
      </c>
      <c r="E36" s="62">
        <v>1</v>
      </c>
      <c r="F36" s="63"/>
      <c r="G36" s="61" t="s">
        <v>1464</v>
      </c>
      <c r="H36" s="61" t="s">
        <v>1439</v>
      </c>
      <c r="I36" s="61" t="s">
        <v>1505</v>
      </c>
      <c r="J36" s="64">
        <v>3000</v>
      </c>
      <c r="K36" s="64" t="s">
        <v>167</v>
      </c>
      <c r="L36" s="64" t="s">
        <v>167</v>
      </c>
      <c r="M36" s="64" t="s">
        <v>167</v>
      </c>
      <c r="N36" s="64" t="s">
        <v>167</v>
      </c>
      <c r="O36" s="64" t="s">
        <v>167</v>
      </c>
      <c r="P36" s="64" t="s">
        <v>167</v>
      </c>
    </row>
    <row r="37" spans="1:16" ht="27.6">
      <c r="A37" s="16" t="s">
        <v>153</v>
      </c>
      <c r="B37" s="61" t="s">
        <v>664</v>
      </c>
      <c r="C37" s="61" t="s">
        <v>1506</v>
      </c>
      <c r="D37" s="61" t="s">
        <v>1454</v>
      </c>
      <c r="E37" s="62">
        <v>1</v>
      </c>
      <c r="F37" s="63"/>
      <c r="G37" s="61" t="s">
        <v>1455</v>
      </c>
      <c r="H37" s="61" t="s">
        <v>1441</v>
      </c>
      <c r="I37" s="61" t="s">
        <v>1507</v>
      </c>
      <c r="J37" s="64" t="s">
        <v>167</v>
      </c>
      <c r="K37" s="64">
        <v>10000</v>
      </c>
      <c r="L37" s="64"/>
      <c r="M37" s="64" t="s">
        <v>167</v>
      </c>
      <c r="N37" s="64" t="s">
        <v>167</v>
      </c>
      <c r="O37" s="64" t="s">
        <v>167</v>
      </c>
      <c r="P37" s="64" t="s">
        <v>167</v>
      </c>
    </row>
    <row r="38" spans="1:16" ht="27.6">
      <c r="A38" s="16" t="s">
        <v>153</v>
      </c>
      <c r="B38" s="61" t="s">
        <v>664</v>
      </c>
      <c r="C38" s="61" t="s">
        <v>1506</v>
      </c>
      <c r="D38" s="61" t="s">
        <v>1508</v>
      </c>
      <c r="E38" s="62">
        <v>1</v>
      </c>
      <c r="F38" s="63"/>
      <c r="G38" s="61" t="s">
        <v>1438</v>
      </c>
      <c r="H38" s="61" t="s">
        <v>1441</v>
      </c>
      <c r="I38" s="61" t="s">
        <v>1509</v>
      </c>
      <c r="J38" s="64">
        <v>15000</v>
      </c>
      <c r="K38" s="64">
        <v>10000</v>
      </c>
      <c r="L38" s="64">
        <v>45000</v>
      </c>
      <c r="M38" s="64">
        <v>10000</v>
      </c>
      <c r="N38" s="64">
        <v>10000</v>
      </c>
      <c r="O38" s="64"/>
      <c r="P38" s="64" t="s">
        <v>167</v>
      </c>
    </row>
    <row r="39" spans="1:16" ht="27.6">
      <c r="A39" s="16" t="s">
        <v>153</v>
      </c>
      <c r="B39" s="61" t="s">
        <v>433</v>
      </c>
      <c r="C39" s="61" t="s">
        <v>1510</v>
      </c>
      <c r="D39" s="61" t="s">
        <v>1445</v>
      </c>
      <c r="E39" s="62">
        <v>1</v>
      </c>
      <c r="F39" s="63"/>
      <c r="G39" s="61" t="s">
        <v>1446</v>
      </c>
      <c r="H39" s="61" t="s">
        <v>1441</v>
      </c>
      <c r="I39" s="61" t="s">
        <v>1511</v>
      </c>
      <c r="J39" s="64">
        <v>25000</v>
      </c>
      <c r="K39" s="64" t="s">
        <v>167</v>
      </c>
      <c r="L39" s="64" t="s">
        <v>167</v>
      </c>
      <c r="M39" s="64" t="s">
        <v>167</v>
      </c>
      <c r="N39" s="64" t="s">
        <v>167</v>
      </c>
      <c r="O39" s="64" t="s">
        <v>167</v>
      </c>
      <c r="P39" s="64" t="s">
        <v>167</v>
      </c>
    </row>
    <row r="40" spans="1:16" ht="41.45">
      <c r="A40" s="16" t="s">
        <v>153</v>
      </c>
      <c r="B40" s="61" t="s">
        <v>433</v>
      </c>
      <c r="C40" s="61" t="s">
        <v>1510</v>
      </c>
      <c r="D40" s="61" t="s">
        <v>1512</v>
      </c>
      <c r="E40" s="62">
        <v>1</v>
      </c>
      <c r="F40" s="63"/>
      <c r="G40" s="61" t="s">
        <v>1455</v>
      </c>
      <c r="H40" s="61" t="s">
        <v>1441</v>
      </c>
      <c r="I40" s="61" t="s">
        <v>1513</v>
      </c>
      <c r="J40" s="64" t="s">
        <v>167</v>
      </c>
      <c r="K40" s="64" t="s">
        <v>167</v>
      </c>
      <c r="L40" s="64">
        <v>25000</v>
      </c>
      <c r="M40" s="64" t="s">
        <v>167</v>
      </c>
      <c r="N40" s="64">
        <v>25000</v>
      </c>
      <c r="O40" s="64" t="s">
        <v>167</v>
      </c>
      <c r="P40" s="64" t="s">
        <v>167</v>
      </c>
    </row>
    <row r="41" spans="1:16">
      <c r="A41" s="16" t="s">
        <v>153</v>
      </c>
      <c r="B41" s="61" t="s">
        <v>1514</v>
      </c>
      <c r="C41" s="61" t="s">
        <v>1515</v>
      </c>
      <c r="D41" s="61" t="s">
        <v>1446</v>
      </c>
      <c r="E41" s="62">
        <v>1</v>
      </c>
      <c r="F41" s="63"/>
      <c r="G41" s="61" t="s">
        <v>1446</v>
      </c>
      <c r="H41" s="61" t="s">
        <v>1441</v>
      </c>
      <c r="I41" s="61" t="s">
        <v>1516</v>
      </c>
      <c r="J41" s="64" t="s">
        <v>167</v>
      </c>
      <c r="K41" s="64" t="s">
        <v>167</v>
      </c>
      <c r="L41" s="64">
        <v>10000</v>
      </c>
      <c r="M41" s="64" t="s">
        <v>167</v>
      </c>
      <c r="N41" s="64" t="s">
        <v>167</v>
      </c>
      <c r="O41" s="64" t="s">
        <v>167</v>
      </c>
      <c r="P41" s="64" t="s">
        <v>167</v>
      </c>
    </row>
    <row r="42" spans="1:16" ht="27.6">
      <c r="A42" s="16" t="s">
        <v>153</v>
      </c>
      <c r="B42" s="61" t="s">
        <v>1517</v>
      </c>
      <c r="C42" s="61" t="s">
        <v>1518</v>
      </c>
      <c r="D42" s="61" t="s">
        <v>1446</v>
      </c>
      <c r="E42" s="62">
        <v>1</v>
      </c>
      <c r="F42" s="63"/>
      <c r="G42" s="61" t="s">
        <v>1446</v>
      </c>
      <c r="H42" s="61" t="s">
        <v>1439</v>
      </c>
      <c r="I42" s="61" t="s">
        <v>1519</v>
      </c>
      <c r="J42" s="64"/>
      <c r="K42" s="64" t="s">
        <v>167</v>
      </c>
      <c r="L42" s="64" t="s">
        <v>167</v>
      </c>
      <c r="M42" s="64">
        <v>17500</v>
      </c>
      <c r="N42" s="64">
        <v>42500</v>
      </c>
      <c r="O42" s="64" t="s">
        <v>167</v>
      </c>
      <c r="P42" s="64" t="s">
        <v>167</v>
      </c>
    </row>
    <row r="43" spans="1:16" ht="27.6">
      <c r="A43" s="16" t="s">
        <v>153</v>
      </c>
      <c r="B43" s="61" t="s">
        <v>1517</v>
      </c>
      <c r="C43" s="61" t="s">
        <v>1518</v>
      </c>
      <c r="D43" s="61" t="s">
        <v>1520</v>
      </c>
      <c r="E43" s="62">
        <v>1</v>
      </c>
      <c r="F43" s="63"/>
      <c r="G43" s="61" t="s">
        <v>1464</v>
      </c>
      <c r="H43" s="61" t="s">
        <v>1441</v>
      </c>
      <c r="I43" s="61" t="s">
        <v>1521</v>
      </c>
      <c r="J43" s="64" t="s">
        <v>167</v>
      </c>
      <c r="K43" s="64" t="s">
        <v>167</v>
      </c>
      <c r="L43" s="64" t="s">
        <v>167</v>
      </c>
      <c r="M43" s="64" t="s">
        <v>167</v>
      </c>
      <c r="N43" s="64">
        <v>75000</v>
      </c>
      <c r="O43" s="64" t="s">
        <v>167</v>
      </c>
      <c r="P43" s="64" t="s">
        <v>167</v>
      </c>
    </row>
    <row r="44" spans="1:16" ht="27.6">
      <c r="A44" s="16" t="s">
        <v>153</v>
      </c>
      <c r="B44" s="61" t="s">
        <v>1517</v>
      </c>
      <c r="C44" s="61" t="s">
        <v>1518</v>
      </c>
      <c r="D44" s="61" t="s">
        <v>1466</v>
      </c>
      <c r="E44" s="62">
        <v>1</v>
      </c>
      <c r="F44" s="63"/>
      <c r="G44" s="61" t="s">
        <v>1455</v>
      </c>
      <c r="H44" s="61" t="s">
        <v>1441</v>
      </c>
      <c r="I44" s="61" t="s">
        <v>1522</v>
      </c>
      <c r="J44" s="64">
        <v>25000</v>
      </c>
      <c r="K44" s="64">
        <v>100000</v>
      </c>
      <c r="L44" s="64">
        <v>100000</v>
      </c>
      <c r="M44" s="64">
        <v>100000</v>
      </c>
      <c r="N44" s="64">
        <v>100000</v>
      </c>
      <c r="O44" s="64" t="s">
        <v>167</v>
      </c>
      <c r="P44" s="64" t="s">
        <v>167</v>
      </c>
    </row>
    <row r="45" spans="1:16">
      <c r="A45" s="16" t="s">
        <v>153</v>
      </c>
      <c r="B45" s="61" t="s">
        <v>1517</v>
      </c>
      <c r="C45" s="61" t="s">
        <v>1518</v>
      </c>
      <c r="D45" s="61" t="s">
        <v>1438</v>
      </c>
      <c r="E45" s="62">
        <v>1</v>
      </c>
      <c r="F45" s="63"/>
      <c r="G45" s="61" t="s">
        <v>1438</v>
      </c>
      <c r="H45" s="61" t="s">
        <v>1441</v>
      </c>
      <c r="I45" s="61" t="s">
        <v>1523</v>
      </c>
      <c r="J45" s="64" t="s">
        <v>167</v>
      </c>
      <c r="K45" s="64">
        <v>40000</v>
      </c>
      <c r="L45" s="64" t="s">
        <v>167</v>
      </c>
      <c r="M45" s="64" t="s">
        <v>167</v>
      </c>
      <c r="N45" s="64" t="s">
        <v>167</v>
      </c>
      <c r="O45" s="64" t="s">
        <v>167</v>
      </c>
      <c r="P45" s="64" t="s">
        <v>167</v>
      </c>
    </row>
    <row r="46" spans="1:16" ht="41.45">
      <c r="A46" s="16" t="s">
        <v>153</v>
      </c>
      <c r="B46" s="61" t="s">
        <v>1524</v>
      </c>
      <c r="C46" s="61" t="s">
        <v>1525</v>
      </c>
      <c r="D46" s="61" t="s">
        <v>1438</v>
      </c>
      <c r="E46" s="62">
        <v>1</v>
      </c>
      <c r="F46" s="63"/>
      <c r="G46" s="61" t="s">
        <v>1438</v>
      </c>
      <c r="H46" s="61" t="s">
        <v>1441</v>
      </c>
      <c r="I46" s="61" t="s">
        <v>1526</v>
      </c>
      <c r="J46" s="64">
        <v>116000</v>
      </c>
      <c r="K46" s="64" t="s">
        <v>167</v>
      </c>
      <c r="L46" s="64" t="s">
        <v>167</v>
      </c>
      <c r="M46" s="64" t="s">
        <v>167</v>
      </c>
      <c r="N46" s="64" t="s">
        <v>167</v>
      </c>
      <c r="O46" s="64" t="s">
        <v>167</v>
      </c>
      <c r="P46" s="64" t="s">
        <v>167</v>
      </c>
    </row>
    <row r="47" spans="1:16">
      <c r="A47" s="16" t="s">
        <v>153</v>
      </c>
      <c r="B47" s="61" t="s">
        <v>1527</v>
      </c>
      <c r="C47" s="61" t="s">
        <v>1528</v>
      </c>
      <c r="D47" s="61" t="s">
        <v>1446</v>
      </c>
      <c r="E47" s="62">
        <v>1</v>
      </c>
      <c r="F47" s="63"/>
      <c r="G47" s="61" t="s">
        <v>1446</v>
      </c>
      <c r="H47" s="61" t="s">
        <v>1441</v>
      </c>
      <c r="I47" s="61" t="s">
        <v>1529</v>
      </c>
      <c r="J47" s="64" t="s">
        <v>167</v>
      </c>
      <c r="K47" s="64" t="s">
        <v>167</v>
      </c>
      <c r="L47" s="64">
        <v>40000</v>
      </c>
      <c r="M47" s="64">
        <v>40000</v>
      </c>
      <c r="N47" s="64" t="s">
        <v>167</v>
      </c>
      <c r="O47" s="64" t="s">
        <v>167</v>
      </c>
      <c r="P47" s="64" t="s">
        <v>167</v>
      </c>
    </row>
    <row r="48" spans="1:16">
      <c r="A48" s="16" t="s">
        <v>153</v>
      </c>
      <c r="B48" s="61" t="s">
        <v>454</v>
      </c>
      <c r="C48" s="61" t="s">
        <v>1530</v>
      </c>
      <c r="D48" s="61" t="s">
        <v>1468</v>
      </c>
      <c r="E48" s="62">
        <v>1</v>
      </c>
      <c r="F48" s="63"/>
      <c r="G48" s="61" t="s">
        <v>1464</v>
      </c>
      <c r="H48" s="61" t="s">
        <v>1441</v>
      </c>
      <c r="I48" s="61" t="s">
        <v>1531</v>
      </c>
      <c r="J48" s="64" t="s">
        <v>167</v>
      </c>
      <c r="K48" s="64">
        <v>25000</v>
      </c>
      <c r="L48" s="64" t="s">
        <v>167</v>
      </c>
      <c r="M48" s="64" t="s">
        <v>167</v>
      </c>
      <c r="N48" s="64" t="s">
        <v>167</v>
      </c>
      <c r="O48" s="64" t="s">
        <v>167</v>
      </c>
      <c r="P48" s="64" t="s">
        <v>167</v>
      </c>
    </row>
    <row r="49" spans="1:16" ht="27.6">
      <c r="A49" s="16" t="s">
        <v>153</v>
      </c>
      <c r="B49" s="61" t="s">
        <v>454</v>
      </c>
      <c r="C49" s="61" t="s">
        <v>1530</v>
      </c>
      <c r="D49" s="61" t="s">
        <v>1532</v>
      </c>
      <c r="E49" s="62">
        <v>1</v>
      </c>
      <c r="F49" s="63"/>
      <c r="G49" s="61" t="s">
        <v>1455</v>
      </c>
      <c r="H49" s="61" t="s">
        <v>1441</v>
      </c>
      <c r="I49" s="61" t="s">
        <v>1533</v>
      </c>
      <c r="J49" s="64">
        <v>68750</v>
      </c>
      <c r="K49" s="64" t="s">
        <v>167</v>
      </c>
      <c r="L49" s="64" t="s">
        <v>167</v>
      </c>
      <c r="M49" s="64" t="s">
        <v>167</v>
      </c>
      <c r="N49" s="64" t="s">
        <v>167</v>
      </c>
      <c r="O49" s="64" t="s">
        <v>167</v>
      </c>
      <c r="P49" s="64" t="s">
        <v>167</v>
      </c>
    </row>
    <row r="50" spans="1:16" ht="27.6">
      <c r="A50" s="16" t="s">
        <v>153</v>
      </c>
      <c r="B50" s="61" t="s">
        <v>450</v>
      </c>
      <c r="C50" s="61" t="s">
        <v>1534</v>
      </c>
      <c r="D50" s="61" t="s">
        <v>1532</v>
      </c>
      <c r="E50" s="62">
        <v>1</v>
      </c>
      <c r="F50" s="63"/>
      <c r="G50" s="61" t="s">
        <v>1455</v>
      </c>
      <c r="H50" s="61" t="s">
        <v>1441</v>
      </c>
      <c r="I50" s="61" t="s">
        <v>1533</v>
      </c>
      <c r="J50" s="64">
        <v>68750</v>
      </c>
      <c r="K50" s="64" t="s">
        <v>167</v>
      </c>
      <c r="L50" s="64" t="s">
        <v>167</v>
      </c>
      <c r="M50" s="64" t="s">
        <v>167</v>
      </c>
      <c r="N50" s="64" t="s">
        <v>167</v>
      </c>
      <c r="O50" s="64" t="s">
        <v>167</v>
      </c>
      <c r="P50" s="64" t="s">
        <v>167</v>
      </c>
    </row>
    <row r="51" spans="1:16">
      <c r="A51" s="16" t="s">
        <v>153</v>
      </c>
      <c r="B51" s="61" t="s">
        <v>450</v>
      </c>
      <c r="C51" s="61" t="s">
        <v>1534</v>
      </c>
      <c r="D51" s="61" t="s">
        <v>1446</v>
      </c>
      <c r="E51" s="62">
        <v>1</v>
      </c>
      <c r="F51" s="63"/>
      <c r="G51" s="61" t="s">
        <v>1446</v>
      </c>
      <c r="H51" s="61" t="s">
        <v>1441</v>
      </c>
      <c r="I51" s="61" t="s">
        <v>1535</v>
      </c>
      <c r="J51" s="64" t="s">
        <v>167</v>
      </c>
      <c r="K51" s="64">
        <v>10000</v>
      </c>
      <c r="L51" s="64" t="s">
        <v>167</v>
      </c>
      <c r="M51" s="64" t="s">
        <v>167</v>
      </c>
      <c r="N51" s="64" t="s">
        <v>167</v>
      </c>
      <c r="O51" s="64" t="s">
        <v>167</v>
      </c>
      <c r="P51" s="64" t="s">
        <v>167</v>
      </c>
    </row>
    <row r="52" spans="1:16" ht="27.6">
      <c r="A52" s="16" t="s">
        <v>153</v>
      </c>
      <c r="B52" s="61" t="s">
        <v>450</v>
      </c>
      <c r="C52" s="61" t="s">
        <v>1534</v>
      </c>
      <c r="D52" s="61" t="s">
        <v>1438</v>
      </c>
      <c r="E52" s="62">
        <v>1</v>
      </c>
      <c r="F52" s="63"/>
      <c r="G52" s="61" t="s">
        <v>1438</v>
      </c>
      <c r="H52" s="61" t="s">
        <v>1439</v>
      </c>
      <c r="I52" s="61" t="s">
        <v>1536</v>
      </c>
      <c r="J52" s="64"/>
      <c r="K52" s="64">
        <v>5000</v>
      </c>
      <c r="L52" s="64">
        <v>5000</v>
      </c>
      <c r="M52" s="64">
        <v>5000</v>
      </c>
      <c r="N52" s="64" t="s">
        <v>167</v>
      </c>
      <c r="O52" s="64" t="s">
        <v>167</v>
      </c>
      <c r="P52" s="64" t="s">
        <v>167</v>
      </c>
    </row>
    <row r="53" spans="1:16" ht="41.45">
      <c r="A53" s="16" t="s">
        <v>153</v>
      </c>
      <c r="B53" s="61" t="s">
        <v>450</v>
      </c>
      <c r="C53" s="61" t="s">
        <v>1534</v>
      </c>
      <c r="D53" s="61" t="s">
        <v>1468</v>
      </c>
      <c r="E53" s="62">
        <v>1</v>
      </c>
      <c r="F53" s="63"/>
      <c r="G53" s="61" t="s">
        <v>1464</v>
      </c>
      <c r="H53" s="61" t="s">
        <v>1441</v>
      </c>
      <c r="I53" s="61" t="s">
        <v>1537</v>
      </c>
      <c r="J53" s="64">
        <v>10000</v>
      </c>
      <c r="K53" s="64" t="s">
        <v>167</v>
      </c>
      <c r="L53" s="64" t="s">
        <v>167</v>
      </c>
      <c r="M53" s="64" t="s">
        <v>167</v>
      </c>
      <c r="N53" s="64" t="s">
        <v>167</v>
      </c>
      <c r="O53" s="64" t="s">
        <v>167</v>
      </c>
      <c r="P53" s="64" t="s">
        <v>167</v>
      </c>
    </row>
    <row r="54" spans="1:16" ht="27.6">
      <c r="A54" s="16" t="s">
        <v>153</v>
      </c>
      <c r="B54" s="61" t="s">
        <v>452</v>
      </c>
      <c r="C54" s="61" t="s">
        <v>1538</v>
      </c>
      <c r="D54" s="61" t="s">
        <v>1438</v>
      </c>
      <c r="E54" s="62">
        <v>1</v>
      </c>
      <c r="F54" s="63"/>
      <c r="G54" s="61" t="s">
        <v>1438</v>
      </c>
      <c r="H54" s="61" t="s">
        <v>1439</v>
      </c>
      <c r="I54" s="61" t="s">
        <v>1536</v>
      </c>
      <c r="J54" s="64"/>
      <c r="K54" s="64">
        <v>5000</v>
      </c>
      <c r="L54" s="64">
        <v>5000</v>
      </c>
      <c r="M54" s="64">
        <v>5000</v>
      </c>
      <c r="N54" s="64" t="s">
        <v>167</v>
      </c>
      <c r="O54" s="64" t="s">
        <v>167</v>
      </c>
      <c r="P54" s="64" t="s">
        <v>167</v>
      </c>
    </row>
    <row r="55" spans="1:16" ht="27.6">
      <c r="A55" s="16" t="s">
        <v>153</v>
      </c>
      <c r="B55" s="61" t="s">
        <v>1539</v>
      </c>
      <c r="C55" s="61" t="s">
        <v>1540</v>
      </c>
      <c r="D55" s="61" t="s">
        <v>1532</v>
      </c>
      <c r="E55" s="62">
        <v>1</v>
      </c>
      <c r="F55" s="63"/>
      <c r="G55" s="61" t="s">
        <v>1455</v>
      </c>
      <c r="H55" s="61" t="s">
        <v>1441</v>
      </c>
      <c r="I55" s="61" t="s">
        <v>1516</v>
      </c>
      <c r="J55" s="64" t="s">
        <v>167</v>
      </c>
      <c r="K55" s="64">
        <v>2600</v>
      </c>
      <c r="L55" s="64" t="s">
        <v>167</v>
      </c>
      <c r="M55" s="64" t="s">
        <v>167</v>
      </c>
      <c r="N55" s="64" t="s">
        <v>167</v>
      </c>
      <c r="O55" s="64" t="s">
        <v>167</v>
      </c>
      <c r="P55" s="64" t="s">
        <v>167</v>
      </c>
    </row>
    <row r="56" spans="1:16" ht="27.6">
      <c r="A56" s="16" t="s">
        <v>153</v>
      </c>
      <c r="B56" s="61" t="s">
        <v>1541</v>
      </c>
      <c r="C56" s="61" t="s">
        <v>1542</v>
      </c>
      <c r="D56" s="61" t="s">
        <v>1532</v>
      </c>
      <c r="E56" s="62">
        <v>1</v>
      </c>
      <c r="F56" s="63"/>
      <c r="G56" s="61" t="s">
        <v>1455</v>
      </c>
      <c r="H56" s="61" t="s">
        <v>1441</v>
      </c>
      <c r="I56" s="61" t="s">
        <v>1543</v>
      </c>
      <c r="J56" s="64" t="s">
        <v>167</v>
      </c>
      <c r="K56" s="64">
        <v>65000</v>
      </c>
      <c r="L56" s="64" t="s">
        <v>167</v>
      </c>
      <c r="M56" s="64" t="s">
        <v>167</v>
      </c>
      <c r="N56" s="64" t="s">
        <v>167</v>
      </c>
      <c r="O56" s="64" t="s">
        <v>167</v>
      </c>
      <c r="P56" s="64" t="s">
        <v>167</v>
      </c>
    </row>
    <row r="57" spans="1:16" ht="27.6">
      <c r="A57" s="16" t="s">
        <v>153</v>
      </c>
      <c r="B57" s="61" t="s">
        <v>1544</v>
      </c>
      <c r="C57" s="61" t="s">
        <v>1545</v>
      </c>
      <c r="D57" s="61" t="s">
        <v>1532</v>
      </c>
      <c r="E57" s="62">
        <v>1</v>
      </c>
      <c r="F57" s="63"/>
      <c r="G57" s="61" t="s">
        <v>1455</v>
      </c>
      <c r="H57" s="61" t="s">
        <v>1441</v>
      </c>
      <c r="I57" s="61" t="s">
        <v>1516</v>
      </c>
      <c r="J57" s="64" t="s">
        <v>167</v>
      </c>
      <c r="K57" s="64">
        <v>10000</v>
      </c>
      <c r="L57" s="64" t="s">
        <v>167</v>
      </c>
      <c r="M57" s="64" t="s">
        <v>167</v>
      </c>
      <c r="N57" s="64" t="s">
        <v>167</v>
      </c>
      <c r="O57" s="64" t="s">
        <v>167</v>
      </c>
      <c r="P57" s="64" t="s">
        <v>167</v>
      </c>
    </row>
    <row r="58" spans="1:16">
      <c r="A58" s="16" t="s">
        <v>153</v>
      </c>
      <c r="B58" s="61" t="s">
        <v>1544</v>
      </c>
      <c r="C58" s="61" t="s">
        <v>1545</v>
      </c>
      <c r="D58" s="61" t="s">
        <v>1468</v>
      </c>
      <c r="E58" s="62">
        <v>1</v>
      </c>
      <c r="F58" s="63"/>
      <c r="G58" s="61" t="s">
        <v>1464</v>
      </c>
      <c r="H58" s="61" t="s">
        <v>1441</v>
      </c>
      <c r="I58" s="61" t="s">
        <v>1546</v>
      </c>
      <c r="J58" s="64" t="s">
        <v>167</v>
      </c>
      <c r="K58" s="64">
        <v>4150</v>
      </c>
      <c r="L58" s="64" t="s">
        <v>167</v>
      </c>
      <c r="M58" s="64" t="s">
        <v>167</v>
      </c>
      <c r="N58" s="64" t="s">
        <v>167</v>
      </c>
      <c r="O58" s="64" t="s">
        <v>167</v>
      </c>
      <c r="P58" s="64" t="s">
        <v>167</v>
      </c>
    </row>
    <row r="59" spans="1:16" ht="27.6">
      <c r="A59" s="16" t="s">
        <v>153</v>
      </c>
      <c r="B59" s="61" t="s">
        <v>1547</v>
      </c>
      <c r="C59" s="61" t="s">
        <v>1548</v>
      </c>
      <c r="D59" s="61" t="s">
        <v>1532</v>
      </c>
      <c r="E59" s="62">
        <v>1</v>
      </c>
      <c r="F59" s="63"/>
      <c r="G59" s="61" t="s">
        <v>1455</v>
      </c>
      <c r="H59" s="61" t="s">
        <v>1441</v>
      </c>
      <c r="I59" s="61" t="s">
        <v>1516</v>
      </c>
      <c r="J59" s="64" t="s">
        <v>167</v>
      </c>
      <c r="K59" s="64">
        <v>10000</v>
      </c>
      <c r="L59" s="64" t="s">
        <v>167</v>
      </c>
      <c r="M59" s="64" t="s">
        <v>167</v>
      </c>
      <c r="N59" s="64" t="s">
        <v>167</v>
      </c>
      <c r="O59" s="64" t="s">
        <v>167</v>
      </c>
      <c r="P59" s="64" t="s">
        <v>167</v>
      </c>
    </row>
    <row r="60" spans="1:16">
      <c r="A60" s="16" t="s">
        <v>153</v>
      </c>
      <c r="B60" s="61" t="s">
        <v>1547</v>
      </c>
      <c r="C60" s="61" t="s">
        <v>1548</v>
      </c>
      <c r="D60" s="61" t="s">
        <v>1468</v>
      </c>
      <c r="E60" s="62">
        <v>1</v>
      </c>
      <c r="F60" s="63"/>
      <c r="G60" s="61" t="s">
        <v>1464</v>
      </c>
      <c r="H60" s="61" t="s">
        <v>1441</v>
      </c>
      <c r="I60" s="61" t="s">
        <v>1546</v>
      </c>
      <c r="J60" s="64" t="s">
        <v>167</v>
      </c>
      <c r="K60" s="64">
        <v>4150</v>
      </c>
      <c r="L60" s="64" t="s">
        <v>167</v>
      </c>
      <c r="M60" s="64" t="s">
        <v>167</v>
      </c>
      <c r="N60" s="64" t="s">
        <v>167</v>
      </c>
      <c r="O60" s="64" t="s">
        <v>167</v>
      </c>
      <c r="P60" s="64" t="s">
        <v>167</v>
      </c>
    </row>
    <row r="61" spans="1:16" ht="27.6">
      <c r="A61" s="16" t="s">
        <v>153</v>
      </c>
      <c r="B61" s="61" t="s">
        <v>1549</v>
      </c>
      <c r="C61" s="61" t="s">
        <v>1550</v>
      </c>
      <c r="D61" s="61" t="s">
        <v>1532</v>
      </c>
      <c r="E61" s="62">
        <v>1</v>
      </c>
      <c r="F61" s="63"/>
      <c r="G61" s="61" t="s">
        <v>1455</v>
      </c>
      <c r="H61" s="61" t="s">
        <v>1441</v>
      </c>
      <c r="I61" s="61" t="s">
        <v>1516</v>
      </c>
      <c r="J61" s="64" t="s">
        <v>167</v>
      </c>
      <c r="K61" s="64">
        <v>10000</v>
      </c>
      <c r="L61" s="64" t="s">
        <v>167</v>
      </c>
      <c r="M61" s="64" t="s">
        <v>167</v>
      </c>
      <c r="N61" s="64" t="s">
        <v>167</v>
      </c>
      <c r="O61" s="64" t="s">
        <v>167</v>
      </c>
      <c r="P61" s="64" t="s">
        <v>167</v>
      </c>
    </row>
    <row r="62" spans="1:16">
      <c r="A62" s="16" t="s">
        <v>153</v>
      </c>
      <c r="B62" s="61" t="s">
        <v>1524</v>
      </c>
      <c r="C62" s="61" t="s">
        <v>1525</v>
      </c>
      <c r="D62" s="61" t="s">
        <v>1446</v>
      </c>
      <c r="E62" s="62">
        <v>3</v>
      </c>
      <c r="F62" s="63"/>
      <c r="G62" s="61" t="s">
        <v>1446</v>
      </c>
      <c r="H62" s="61" t="s">
        <v>1441</v>
      </c>
      <c r="I62" s="61" t="s">
        <v>1551</v>
      </c>
      <c r="J62" s="64" t="s">
        <v>167</v>
      </c>
      <c r="K62" s="64">
        <v>11800</v>
      </c>
      <c r="L62" s="64" t="s">
        <v>167</v>
      </c>
      <c r="M62" s="64" t="s">
        <v>167</v>
      </c>
      <c r="N62" s="64" t="s">
        <v>167</v>
      </c>
      <c r="O62" s="64" t="s">
        <v>167</v>
      </c>
      <c r="P62" s="64" t="s">
        <v>167</v>
      </c>
    </row>
    <row r="63" spans="1:16" ht="27.6">
      <c r="A63" s="16" t="s">
        <v>153</v>
      </c>
      <c r="B63" s="61" t="s">
        <v>1524</v>
      </c>
      <c r="C63" s="61" t="s">
        <v>1525</v>
      </c>
      <c r="D63" s="61" t="s">
        <v>1482</v>
      </c>
      <c r="E63" s="62">
        <v>3</v>
      </c>
      <c r="F63" s="63"/>
      <c r="G63" s="61" t="s">
        <v>1464</v>
      </c>
      <c r="H63" s="61" t="s">
        <v>1441</v>
      </c>
      <c r="I63" s="61" t="s">
        <v>1552</v>
      </c>
      <c r="J63" s="64">
        <v>10000</v>
      </c>
      <c r="K63" s="64" t="s">
        <v>167</v>
      </c>
      <c r="L63" s="64" t="s">
        <v>167</v>
      </c>
      <c r="M63" s="64" t="s">
        <v>167</v>
      </c>
      <c r="N63" s="64" t="s">
        <v>167</v>
      </c>
      <c r="O63" s="64" t="s">
        <v>167</v>
      </c>
      <c r="P63" s="64" t="s">
        <v>167</v>
      </c>
    </row>
    <row r="64" spans="1:16" ht="41.45">
      <c r="A64" s="16" t="s">
        <v>153</v>
      </c>
      <c r="B64" s="61" t="s">
        <v>1524</v>
      </c>
      <c r="C64" s="61" t="s">
        <v>1525</v>
      </c>
      <c r="D64" s="61" t="s">
        <v>1553</v>
      </c>
      <c r="E64" s="62">
        <v>3</v>
      </c>
      <c r="F64" s="63"/>
      <c r="G64" s="61" t="s">
        <v>1464</v>
      </c>
      <c r="H64" s="61" t="s">
        <v>1441</v>
      </c>
      <c r="I64" s="61" t="s">
        <v>1554</v>
      </c>
      <c r="J64" s="64">
        <v>12500</v>
      </c>
      <c r="K64" s="64" t="s">
        <v>167</v>
      </c>
      <c r="L64" s="64" t="s">
        <v>167</v>
      </c>
      <c r="M64" s="64" t="s">
        <v>167</v>
      </c>
      <c r="N64" s="64" t="s">
        <v>167</v>
      </c>
      <c r="O64" s="64" t="s">
        <v>167</v>
      </c>
      <c r="P64" s="64" t="s">
        <v>167</v>
      </c>
    </row>
    <row r="65" spans="1:16">
      <c r="A65" s="16" t="s">
        <v>153</v>
      </c>
      <c r="B65" s="61" t="s">
        <v>1555</v>
      </c>
      <c r="C65" s="61" t="s">
        <v>1556</v>
      </c>
      <c r="D65" s="61" t="s">
        <v>1438</v>
      </c>
      <c r="E65" s="62">
        <v>3</v>
      </c>
      <c r="F65" s="63"/>
      <c r="G65" s="61" t="s">
        <v>1438</v>
      </c>
      <c r="H65" s="61" t="s">
        <v>1441</v>
      </c>
      <c r="I65" s="61" t="s">
        <v>1448</v>
      </c>
      <c r="J65" s="64" t="s">
        <v>167</v>
      </c>
      <c r="K65" s="64">
        <v>105900</v>
      </c>
      <c r="L65" s="64" t="s">
        <v>167</v>
      </c>
      <c r="M65" s="64" t="s">
        <v>167</v>
      </c>
      <c r="N65" s="64" t="s">
        <v>167</v>
      </c>
      <c r="O65" s="64" t="s">
        <v>167</v>
      </c>
      <c r="P65" s="64" t="s">
        <v>167</v>
      </c>
    </row>
    <row r="66" spans="1:16" ht="41.45">
      <c r="A66" s="16" t="s">
        <v>153</v>
      </c>
      <c r="B66" s="61" t="s">
        <v>1555</v>
      </c>
      <c r="C66" s="61" t="s">
        <v>1556</v>
      </c>
      <c r="D66" s="61" t="s">
        <v>1553</v>
      </c>
      <c r="E66" s="62">
        <v>3</v>
      </c>
      <c r="F66" s="63"/>
      <c r="G66" s="61" t="s">
        <v>1464</v>
      </c>
      <c r="H66" s="61" t="s">
        <v>1441</v>
      </c>
      <c r="I66" s="61" t="s">
        <v>1554</v>
      </c>
      <c r="J66" s="64">
        <v>12500</v>
      </c>
      <c r="K66" s="64" t="s">
        <v>167</v>
      </c>
      <c r="L66" s="64" t="s">
        <v>167</v>
      </c>
      <c r="M66" s="64" t="s">
        <v>167</v>
      </c>
      <c r="N66" s="64" t="s">
        <v>167</v>
      </c>
      <c r="O66" s="64" t="s">
        <v>167</v>
      </c>
      <c r="P66" s="64" t="s">
        <v>167</v>
      </c>
    </row>
    <row r="67" spans="1:16" ht="27.6">
      <c r="A67" s="16" t="s">
        <v>153</v>
      </c>
      <c r="B67" s="61" t="s">
        <v>1555</v>
      </c>
      <c r="C67" s="61" t="s">
        <v>1556</v>
      </c>
      <c r="D67" s="61" t="s">
        <v>1468</v>
      </c>
      <c r="E67" s="62">
        <v>3</v>
      </c>
      <c r="F67" s="63"/>
      <c r="G67" s="61" t="s">
        <v>1464</v>
      </c>
      <c r="H67" s="61" t="s">
        <v>1441</v>
      </c>
      <c r="I67" s="61" t="s">
        <v>1557</v>
      </c>
      <c r="J67" s="64" t="s">
        <v>167</v>
      </c>
      <c r="K67" s="64">
        <v>12500</v>
      </c>
      <c r="L67" s="64" t="s">
        <v>167</v>
      </c>
      <c r="M67" s="64" t="s">
        <v>167</v>
      </c>
      <c r="N67" s="64" t="s">
        <v>167</v>
      </c>
      <c r="O67" s="64" t="s">
        <v>167</v>
      </c>
      <c r="P67" s="64" t="s">
        <v>167</v>
      </c>
    </row>
    <row r="68" spans="1:16" ht="27.6">
      <c r="A68" s="16" t="s">
        <v>153</v>
      </c>
      <c r="B68" s="61" t="s">
        <v>1558</v>
      </c>
      <c r="C68" s="61" t="s">
        <v>1559</v>
      </c>
      <c r="D68" s="61" t="s">
        <v>1438</v>
      </c>
      <c r="E68" s="62">
        <v>3</v>
      </c>
      <c r="F68" s="63"/>
      <c r="G68" s="61" t="s">
        <v>1438</v>
      </c>
      <c r="H68" s="61" t="s">
        <v>1441</v>
      </c>
      <c r="I68" s="61" t="s">
        <v>1560</v>
      </c>
      <c r="J68" s="64"/>
      <c r="K68" s="64">
        <v>133900</v>
      </c>
      <c r="L68" s="64" t="s">
        <v>167</v>
      </c>
      <c r="M68" s="64" t="s">
        <v>167</v>
      </c>
      <c r="N68" s="64" t="s">
        <v>167</v>
      </c>
      <c r="O68" s="64" t="s">
        <v>167</v>
      </c>
      <c r="P68" s="64" t="s">
        <v>167</v>
      </c>
    </row>
    <row r="69" spans="1:16" ht="41.45">
      <c r="A69" s="16" t="s">
        <v>153</v>
      </c>
      <c r="B69" s="61" t="s">
        <v>1558</v>
      </c>
      <c r="C69" s="61" t="s">
        <v>1559</v>
      </c>
      <c r="D69" s="61" t="s">
        <v>1553</v>
      </c>
      <c r="E69" s="62">
        <v>3</v>
      </c>
      <c r="F69" s="63"/>
      <c r="G69" s="61" t="s">
        <v>1464</v>
      </c>
      <c r="H69" s="61" t="s">
        <v>1441</v>
      </c>
      <c r="I69" s="61" t="s">
        <v>1554</v>
      </c>
      <c r="J69" s="64">
        <v>12500</v>
      </c>
      <c r="K69" s="64" t="s">
        <v>167</v>
      </c>
      <c r="L69" s="64" t="s">
        <v>167</v>
      </c>
      <c r="M69" s="64" t="s">
        <v>167</v>
      </c>
      <c r="N69" s="64" t="s">
        <v>167</v>
      </c>
      <c r="O69" s="64" t="s">
        <v>167</v>
      </c>
      <c r="P69" s="64" t="s">
        <v>167</v>
      </c>
    </row>
    <row r="70" spans="1:16" ht="27.6">
      <c r="A70" s="16" t="s">
        <v>153</v>
      </c>
      <c r="B70" s="61" t="s">
        <v>1561</v>
      </c>
      <c r="C70" s="61" t="s">
        <v>1562</v>
      </c>
      <c r="D70" s="61" t="s">
        <v>1532</v>
      </c>
      <c r="E70" s="62">
        <v>3</v>
      </c>
      <c r="F70" s="63"/>
      <c r="G70" s="61" t="s">
        <v>1455</v>
      </c>
      <c r="H70" s="61" t="s">
        <v>1441</v>
      </c>
      <c r="I70" s="61" t="s">
        <v>1563</v>
      </c>
      <c r="J70" s="64">
        <v>33334</v>
      </c>
      <c r="K70" s="64" t="s">
        <v>167</v>
      </c>
      <c r="L70" s="64" t="s">
        <v>167</v>
      </c>
      <c r="M70" s="64" t="s">
        <v>167</v>
      </c>
      <c r="N70" s="64" t="s">
        <v>167</v>
      </c>
      <c r="O70" s="64" t="s">
        <v>167</v>
      </c>
      <c r="P70" s="64" t="s">
        <v>167</v>
      </c>
    </row>
    <row r="71" spans="1:16">
      <c r="A71" s="16" t="s">
        <v>153</v>
      </c>
      <c r="B71" s="61" t="s">
        <v>1561</v>
      </c>
      <c r="C71" s="61" t="s">
        <v>1562</v>
      </c>
      <c r="D71" s="61" t="s">
        <v>1438</v>
      </c>
      <c r="E71" s="62">
        <v>3</v>
      </c>
      <c r="F71" s="63"/>
      <c r="G71" s="61" t="s">
        <v>1438</v>
      </c>
      <c r="H71" s="61" t="s">
        <v>1441</v>
      </c>
      <c r="I71" s="61" t="s">
        <v>1448</v>
      </c>
      <c r="J71" s="64">
        <v>96500</v>
      </c>
      <c r="K71" s="64" t="s">
        <v>167</v>
      </c>
      <c r="L71" s="64" t="s">
        <v>167</v>
      </c>
      <c r="M71" s="64" t="s">
        <v>167</v>
      </c>
      <c r="N71" s="64" t="s">
        <v>167</v>
      </c>
      <c r="O71" s="64" t="s">
        <v>167</v>
      </c>
      <c r="P71" s="64" t="s">
        <v>167</v>
      </c>
    </row>
    <row r="72" spans="1:16" ht="27.6">
      <c r="A72" s="16" t="s">
        <v>153</v>
      </c>
      <c r="B72" s="61" t="s">
        <v>1561</v>
      </c>
      <c r="C72" s="61" t="s">
        <v>1562</v>
      </c>
      <c r="D72" s="61" t="s">
        <v>1482</v>
      </c>
      <c r="E72" s="62">
        <v>3</v>
      </c>
      <c r="F72" s="63"/>
      <c r="G72" s="61" t="s">
        <v>1464</v>
      </c>
      <c r="H72" s="61" t="s">
        <v>1441</v>
      </c>
      <c r="I72" s="61" t="s">
        <v>1552</v>
      </c>
      <c r="J72" s="64">
        <v>10000</v>
      </c>
      <c r="K72" s="64" t="s">
        <v>167</v>
      </c>
      <c r="L72" s="64" t="s">
        <v>167</v>
      </c>
      <c r="M72" s="64" t="s">
        <v>167</v>
      </c>
      <c r="N72" s="64" t="s">
        <v>167</v>
      </c>
      <c r="O72" s="64" t="s">
        <v>167</v>
      </c>
      <c r="P72" s="64" t="s">
        <v>167</v>
      </c>
    </row>
    <row r="73" spans="1:16" ht="27.6">
      <c r="A73" s="16" t="s">
        <v>153</v>
      </c>
      <c r="B73" s="61" t="s">
        <v>1561</v>
      </c>
      <c r="C73" s="61" t="s">
        <v>1562</v>
      </c>
      <c r="D73" s="61" t="s">
        <v>1468</v>
      </c>
      <c r="E73" s="62">
        <v>3</v>
      </c>
      <c r="F73" s="63"/>
      <c r="G73" s="61" t="s">
        <v>1464</v>
      </c>
      <c r="H73" s="61" t="s">
        <v>1439</v>
      </c>
      <c r="I73" s="61" t="s">
        <v>1564</v>
      </c>
      <c r="J73" s="64" t="s">
        <v>167</v>
      </c>
      <c r="K73" s="64">
        <v>12500</v>
      </c>
      <c r="L73" s="64" t="s">
        <v>167</v>
      </c>
      <c r="M73" s="64" t="s">
        <v>167</v>
      </c>
      <c r="N73" s="64" t="s">
        <v>167</v>
      </c>
      <c r="O73" s="64" t="s">
        <v>167</v>
      </c>
      <c r="P73" s="64" t="s">
        <v>167</v>
      </c>
    </row>
    <row r="74" spans="1:16" ht="27.6">
      <c r="A74" s="16" t="s">
        <v>153</v>
      </c>
      <c r="B74" s="61" t="s">
        <v>1565</v>
      </c>
      <c r="C74" s="61" t="s">
        <v>1566</v>
      </c>
      <c r="D74" s="61" t="s">
        <v>1532</v>
      </c>
      <c r="E74" s="62">
        <v>3</v>
      </c>
      <c r="F74" s="63"/>
      <c r="G74" s="61" t="s">
        <v>1455</v>
      </c>
      <c r="H74" s="61" t="s">
        <v>1441</v>
      </c>
      <c r="I74" s="61" t="s">
        <v>1563</v>
      </c>
      <c r="J74" s="64">
        <v>33334</v>
      </c>
      <c r="K74" s="64" t="s">
        <v>167</v>
      </c>
      <c r="L74" s="64" t="s">
        <v>167</v>
      </c>
      <c r="M74" s="64" t="s">
        <v>167</v>
      </c>
      <c r="N74" s="64" t="s">
        <v>167</v>
      </c>
      <c r="O74" s="64" t="s">
        <v>167</v>
      </c>
      <c r="P74" s="64" t="s">
        <v>167</v>
      </c>
    </row>
    <row r="75" spans="1:16">
      <c r="A75" s="16" t="s">
        <v>153</v>
      </c>
      <c r="B75" s="61" t="s">
        <v>1565</v>
      </c>
      <c r="C75" s="61" t="s">
        <v>1566</v>
      </c>
      <c r="D75" s="61" t="s">
        <v>1438</v>
      </c>
      <c r="E75" s="62">
        <v>3</v>
      </c>
      <c r="F75" s="63"/>
      <c r="G75" s="61" t="s">
        <v>1438</v>
      </c>
      <c r="H75" s="61" t="s">
        <v>1441</v>
      </c>
      <c r="I75" s="61" t="s">
        <v>1448</v>
      </c>
      <c r="J75" s="64" t="s">
        <v>167</v>
      </c>
      <c r="K75" s="64" t="s">
        <v>167</v>
      </c>
      <c r="L75" s="64" t="s">
        <v>167</v>
      </c>
      <c r="M75" s="64">
        <v>96500</v>
      </c>
      <c r="N75" s="64" t="s">
        <v>167</v>
      </c>
      <c r="O75" s="64" t="s">
        <v>167</v>
      </c>
      <c r="P75" s="64" t="s">
        <v>167</v>
      </c>
    </row>
    <row r="76" spans="1:16" ht="41.45">
      <c r="A76" s="16" t="s">
        <v>153</v>
      </c>
      <c r="B76" s="61" t="s">
        <v>1565</v>
      </c>
      <c r="C76" s="61" t="s">
        <v>1566</v>
      </c>
      <c r="D76" s="61" t="s">
        <v>1553</v>
      </c>
      <c r="E76" s="62">
        <v>3</v>
      </c>
      <c r="F76" s="63"/>
      <c r="G76" s="61" t="s">
        <v>1464</v>
      </c>
      <c r="H76" s="61" t="s">
        <v>1441</v>
      </c>
      <c r="I76" s="61" t="s">
        <v>1554</v>
      </c>
      <c r="J76" s="64">
        <v>12500</v>
      </c>
      <c r="K76" s="64" t="s">
        <v>167</v>
      </c>
      <c r="L76" s="64" t="s">
        <v>167</v>
      </c>
      <c r="M76" s="64" t="s">
        <v>167</v>
      </c>
      <c r="N76" s="64" t="s">
        <v>167</v>
      </c>
      <c r="O76" s="64" t="s">
        <v>167</v>
      </c>
      <c r="P76" s="64" t="s">
        <v>167</v>
      </c>
    </row>
    <row r="77" spans="1:16">
      <c r="A77" s="16" t="s">
        <v>153</v>
      </c>
      <c r="B77" s="61" t="s">
        <v>1565</v>
      </c>
      <c r="C77" s="61" t="s">
        <v>1566</v>
      </c>
      <c r="D77" s="61" t="s">
        <v>1468</v>
      </c>
      <c r="E77" s="62">
        <v>3</v>
      </c>
      <c r="F77" s="63"/>
      <c r="G77" s="61" t="s">
        <v>1464</v>
      </c>
      <c r="H77" s="61" t="s">
        <v>1441</v>
      </c>
      <c r="I77" s="61" t="s">
        <v>1567</v>
      </c>
      <c r="J77" s="64" t="s">
        <v>167</v>
      </c>
      <c r="K77" s="64">
        <v>12500</v>
      </c>
      <c r="L77" s="64" t="s">
        <v>167</v>
      </c>
      <c r="M77" s="64" t="s">
        <v>167</v>
      </c>
      <c r="N77" s="64" t="s">
        <v>167</v>
      </c>
      <c r="O77" s="64" t="s">
        <v>167</v>
      </c>
      <c r="P77" s="64" t="s">
        <v>167</v>
      </c>
    </row>
    <row r="78" spans="1:16" s="53" customFormat="1">
      <c r="B78" s="65"/>
      <c r="C78" s="65"/>
      <c r="D78" s="65"/>
      <c r="E78" s="66"/>
      <c r="F78" s="67"/>
      <c r="G78" s="65"/>
      <c r="H78" s="65"/>
      <c r="I78" s="65"/>
      <c r="J78" s="68"/>
      <c r="K78" s="68"/>
      <c r="L78" s="68"/>
      <c r="M78" s="68"/>
      <c r="N78" s="68"/>
      <c r="O78" s="68"/>
      <c r="P78" s="68"/>
    </row>
    <row r="79" spans="1:16">
      <c r="A79" s="16" t="s">
        <v>144</v>
      </c>
      <c r="B79" s="61" t="s">
        <v>647</v>
      </c>
      <c r="C79" s="61" t="s">
        <v>1568</v>
      </c>
      <c r="D79" s="61" t="s">
        <v>1445</v>
      </c>
      <c r="E79" s="62">
        <v>1</v>
      </c>
      <c r="F79" s="63"/>
      <c r="G79" s="61" t="s">
        <v>1446</v>
      </c>
      <c r="H79" s="61" t="s">
        <v>1441</v>
      </c>
      <c r="I79" s="61" t="s">
        <v>1569</v>
      </c>
      <c r="J79" s="64" t="s">
        <v>167</v>
      </c>
      <c r="K79" s="64" t="s">
        <v>167</v>
      </c>
      <c r="L79" s="64">
        <v>30000</v>
      </c>
      <c r="M79" s="64" t="s">
        <v>167</v>
      </c>
      <c r="N79" s="64" t="s">
        <v>167</v>
      </c>
      <c r="O79" s="64" t="s">
        <v>167</v>
      </c>
      <c r="P79" s="64" t="s">
        <v>167</v>
      </c>
    </row>
    <row r="80" spans="1:16">
      <c r="A80" s="16" t="s">
        <v>144</v>
      </c>
      <c r="B80" s="61" t="s">
        <v>647</v>
      </c>
      <c r="C80" s="61" t="s">
        <v>1568</v>
      </c>
      <c r="D80" s="61" t="s">
        <v>1454</v>
      </c>
      <c r="E80" s="62">
        <v>1</v>
      </c>
      <c r="F80" s="63"/>
      <c r="G80" s="61" t="s">
        <v>1455</v>
      </c>
      <c r="H80" s="61" t="s">
        <v>1441</v>
      </c>
      <c r="I80" s="61" t="s">
        <v>1570</v>
      </c>
      <c r="J80" s="64">
        <v>20000</v>
      </c>
      <c r="K80" s="64" t="s">
        <v>167</v>
      </c>
      <c r="L80" s="64" t="s">
        <v>167</v>
      </c>
      <c r="M80" s="64" t="s">
        <v>167</v>
      </c>
      <c r="N80" s="64" t="s">
        <v>167</v>
      </c>
      <c r="O80" s="64" t="s">
        <v>167</v>
      </c>
      <c r="P80" s="64" t="s">
        <v>167</v>
      </c>
    </row>
    <row r="81" spans="1:16">
      <c r="A81" s="16" t="s">
        <v>144</v>
      </c>
      <c r="B81" s="61" t="s">
        <v>647</v>
      </c>
      <c r="C81" s="61" t="s">
        <v>1568</v>
      </c>
      <c r="D81" s="61" t="s">
        <v>1508</v>
      </c>
      <c r="E81" s="62">
        <v>1</v>
      </c>
      <c r="F81" s="63"/>
      <c r="G81" s="61" t="s">
        <v>1438</v>
      </c>
      <c r="H81" s="61" t="s">
        <v>1441</v>
      </c>
      <c r="I81" s="61" t="s">
        <v>1570</v>
      </c>
      <c r="J81" s="64" t="s">
        <v>167</v>
      </c>
      <c r="K81" s="64" t="s">
        <v>167</v>
      </c>
      <c r="L81" s="64" t="s">
        <v>167</v>
      </c>
      <c r="M81" s="64">
        <v>240000</v>
      </c>
      <c r="N81" s="64" t="s">
        <v>167</v>
      </c>
      <c r="O81" s="64" t="s">
        <v>167</v>
      </c>
      <c r="P81" s="64" t="s">
        <v>167</v>
      </c>
    </row>
    <row r="82" spans="1:16">
      <c r="A82" s="16" t="s">
        <v>144</v>
      </c>
      <c r="B82" s="61" t="s">
        <v>582</v>
      </c>
      <c r="C82" s="61" t="s">
        <v>1571</v>
      </c>
      <c r="D82" s="61" t="s">
        <v>1446</v>
      </c>
      <c r="E82" s="62">
        <v>1</v>
      </c>
      <c r="F82" s="63"/>
      <c r="G82" s="61" t="s">
        <v>1446</v>
      </c>
      <c r="H82" s="61" t="s">
        <v>1441</v>
      </c>
      <c r="I82" s="61" t="s">
        <v>1570</v>
      </c>
      <c r="J82" s="64" t="s">
        <v>167</v>
      </c>
      <c r="K82" s="64" t="s">
        <v>167</v>
      </c>
      <c r="L82" s="64">
        <v>40000</v>
      </c>
      <c r="M82" s="64" t="s">
        <v>167</v>
      </c>
      <c r="N82" s="64" t="s">
        <v>167</v>
      </c>
      <c r="O82" s="64" t="s">
        <v>167</v>
      </c>
      <c r="P82" s="64" t="s">
        <v>167</v>
      </c>
    </row>
    <row r="83" spans="1:16" ht="41.45">
      <c r="A83" s="16" t="s">
        <v>144</v>
      </c>
      <c r="B83" s="61" t="s">
        <v>1572</v>
      </c>
      <c r="C83" s="61" t="s">
        <v>1573</v>
      </c>
      <c r="D83" s="61" t="s">
        <v>1446</v>
      </c>
      <c r="E83" s="62">
        <v>1</v>
      </c>
      <c r="F83" s="63"/>
      <c r="G83" s="61" t="s">
        <v>1446</v>
      </c>
      <c r="H83" s="61" t="s">
        <v>1441</v>
      </c>
      <c r="I83" s="61" t="s">
        <v>1574</v>
      </c>
      <c r="J83" s="64"/>
      <c r="K83" s="64" t="s">
        <v>167</v>
      </c>
      <c r="L83" s="64" t="s">
        <v>167</v>
      </c>
      <c r="M83" s="64" t="s">
        <v>167</v>
      </c>
      <c r="N83" s="64">
        <v>49600</v>
      </c>
      <c r="O83" s="64" t="s">
        <v>167</v>
      </c>
      <c r="P83" s="64" t="s">
        <v>167</v>
      </c>
    </row>
    <row r="84" spans="1:16" ht="55.15">
      <c r="A84" s="16" t="s">
        <v>144</v>
      </c>
      <c r="B84" s="61" t="s">
        <v>1572</v>
      </c>
      <c r="C84" s="61" t="s">
        <v>1573</v>
      </c>
      <c r="D84" s="61" t="s">
        <v>1438</v>
      </c>
      <c r="E84" s="62">
        <v>1</v>
      </c>
      <c r="F84" s="63"/>
      <c r="G84" s="61" t="s">
        <v>1438</v>
      </c>
      <c r="H84" s="61" t="s">
        <v>1441</v>
      </c>
      <c r="I84" s="61" t="s">
        <v>1575</v>
      </c>
      <c r="J84" s="64">
        <v>635000</v>
      </c>
      <c r="K84" s="64" t="s">
        <v>167</v>
      </c>
      <c r="L84" s="64" t="s">
        <v>167</v>
      </c>
      <c r="M84" s="64" t="s">
        <v>167</v>
      </c>
      <c r="N84" s="64" t="s">
        <v>167</v>
      </c>
      <c r="O84" s="64" t="s">
        <v>167</v>
      </c>
      <c r="P84" s="64" t="s">
        <v>167</v>
      </c>
    </row>
    <row r="85" spans="1:16">
      <c r="A85" s="16" t="s">
        <v>144</v>
      </c>
      <c r="B85" s="61" t="s">
        <v>425</v>
      </c>
      <c r="C85" s="61" t="s">
        <v>1576</v>
      </c>
      <c r="D85" s="61" t="s">
        <v>1446</v>
      </c>
      <c r="E85" s="62">
        <v>1</v>
      </c>
      <c r="F85" s="63"/>
      <c r="G85" s="61" t="s">
        <v>1446</v>
      </c>
      <c r="H85" s="61" t="s">
        <v>1441</v>
      </c>
      <c r="I85" s="61" t="s">
        <v>1516</v>
      </c>
      <c r="J85" s="64" t="s">
        <v>167</v>
      </c>
      <c r="K85" s="64" t="s">
        <v>167</v>
      </c>
      <c r="L85" s="64">
        <v>34000</v>
      </c>
      <c r="M85" s="64" t="s">
        <v>167</v>
      </c>
      <c r="N85" s="64" t="s">
        <v>167</v>
      </c>
      <c r="O85" s="64" t="s">
        <v>167</v>
      </c>
      <c r="P85" s="64" t="s">
        <v>167</v>
      </c>
    </row>
    <row r="86" spans="1:16">
      <c r="A86" s="16" t="s">
        <v>144</v>
      </c>
      <c r="B86" s="61" t="s">
        <v>1577</v>
      </c>
      <c r="C86" s="61" t="s">
        <v>210</v>
      </c>
      <c r="D86" s="61" t="s">
        <v>1578</v>
      </c>
      <c r="E86" s="62">
        <v>1</v>
      </c>
      <c r="F86" s="63"/>
      <c r="G86" s="61" t="s">
        <v>1438</v>
      </c>
      <c r="H86" s="61" t="s">
        <v>1441</v>
      </c>
      <c r="I86" s="61" t="s">
        <v>1535</v>
      </c>
      <c r="J86" s="64" t="s">
        <v>167</v>
      </c>
      <c r="K86" s="64">
        <v>660000</v>
      </c>
      <c r="L86" s="64" t="s">
        <v>167</v>
      </c>
      <c r="M86" s="64" t="s">
        <v>167</v>
      </c>
      <c r="N86" s="64" t="s">
        <v>167</v>
      </c>
      <c r="O86" s="64" t="s">
        <v>167</v>
      </c>
      <c r="P86" s="64" t="s">
        <v>167</v>
      </c>
    </row>
    <row r="87" spans="1:16">
      <c r="A87" s="16" t="s">
        <v>144</v>
      </c>
      <c r="B87" s="61" t="s">
        <v>1579</v>
      </c>
      <c r="C87" s="61" t="s">
        <v>1580</v>
      </c>
      <c r="D87" s="61" t="s">
        <v>1446</v>
      </c>
      <c r="E87" s="62">
        <v>1</v>
      </c>
      <c r="F87" s="63"/>
      <c r="G87" s="61" t="s">
        <v>1446</v>
      </c>
      <c r="H87" s="61" t="s">
        <v>1441</v>
      </c>
      <c r="I87" s="61" t="s">
        <v>1535</v>
      </c>
      <c r="J87" s="64" t="s">
        <v>167</v>
      </c>
      <c r="K87" s="64">
        <v>75000</v>
      </c>
      <c r="L87" s="64" t="s">
        <v>167</v>
      </c>
      <c r="M87" s="64" t="s">
        <v>167</v>
      </c>
      <c r="N87" s="64" t="s">
        <v>167</v>
      </c>
      <c r="O87" s="64" t="s">
        <v>167</v>
      </c>
      <c r="P87" s="64" t="s">
        <v>167</v>
      </c>
    </row>
    <row r="88" spans="1:16">
      <c r="A88" s="16" t="s">
        <v>144</v>
      </c>
      <c r="B88" s="61" t="s">
        <v>1579</v>
      </c>
      <c r="C88" s="61" t="s">
        <v>1580</v>
      </c>
      <c r="D88" s="61" t="s">
        <v>1454</v>
      </c>
      <c r="E88" s="62">
        <v>1</v>
      </c>
      <c r="F88" s="63"/>
      <c r="G88" s="61" t="s">
        <v>1455</v>
      </c>
      <c r="H88" s="61" t="s">
        <v>1441</v>
      </c>
      <c r="I88" s="61" t="s">
        <v>1535</v>
      </c>
      <c r="J88" s="64" t="s">
        <v>167</v>
      </c>
      <c r="K88" s="64">
        <v>75000</v>
      </c>
      <c r="L88" s="64" t="s">
        <v>167</v>
      </c>
      <c r="M88" s="64" t="s">
        <v>167</v>
      </c>
      <c r="N88" s="64" t="s">
        <v>167</v>
      </c>
      <c r="O88" s="64" t="s">
        <v>167</v>
      </c>
      <c r="P88" s="64" t="s">
        <v>167</v>
      </c>
    </row>
    <row r="89" spans="1:16">
      <c r="A89" s="16" t="s">
        <v>144</v>
      </c>
      <c r="B89" s="61" t="s">
        <v>1581</v>
      </c>
      <c r="C89" s="61" t="s">
        <v>1582</v>
      </c>
      <c r="D89" s="61" t="s">
        <v>1446</v>
      </c>
      <c r="E89" s="62">
        <v>1</v>
      </c>
      <c r="F89" s="63"/>
      <c r="G89" s="61" t="s">
        <v>1446</v>
      </c>
      <c r="H89" s="61" t="s">
        <v>1441</v>
      </c>
      <c r="I89" s="61" t="s">
        <v>1535</v>
      </c>
      <c r="J89" s="64">
        <v>28750</v>
      </c>
      <c r="K89" s="64" t="s">
        <v>167</v>
      </c>
      <c r="L89" s="64" t="s">
        <v>167</v>
      </c>
      <c r="M89" s="64" t="s">
        <v>167</v>
      </c>
      <c r="N89" s="64">
        <v>28750</v>
      </c>
      <c r="O89" s="64" t="s">
        <v>167</v>
      </c>
      <c r="P89" s="64" t="s">
        <v>167</v>
      </c>
    </row>
    <row r="90" spans="1:16" ht="27.6">
      <c r="A90" s="16" t="s">
        <v>144</v>
      </c>
      <c r="B90" s="61" t="s">
        <v>1581</v>
      </c>
      <c r="C90" s="61" t="s">
        <v>1582</v>
      </c>
      <c r="D90" s="61" t="s">
        <v>1532</v>
      </c>
      <c r="E90" s="62">
        <v>1</v>
      </c>
      <c r="F90" s="63"/>
      <c r="G90" s="61" t="s">
        <v>1455</v>
      </c>
      <c r="H90" s="61" t="s">
        <v>1441</v>
      </c>
      <c r="I90" s="61" t="s">
        <v>1516</v>
      </c>
      <c r="J90" s="64" t="s">
        <v>167</v>
      </c>
      <c r="K90" s="64" t="s">
        <v>167</v>
      </c>
      <c r="L90" s="64" t="s">
        <v>167</v>
      </c>
      <c r="M90" s="64">
        <v>100000</v>
      </c>
      <c r="N90" s="64" t="s">
        <v>167</v>
      </c>
      <c r="O90" s="64" t="s">
        <v>167</v>
      </c>
      <c r="P90" s="64" t="s">
        <v>167</v>
      </c>
    </row>
    <row r="91" spans="1:16">
      <c r="A91" s="16" t="s">
        <v>144</v>
      </c>
      <c r="B91" s="61" t="s">
        <v>1581</v>
      </c>
      <c r="C91" s="61" t="s">
        <v>1582</v>
      </c>
      <c r="D91" s="61" t="s">
        <v>1438</v>
      </c>
      <c r="E91" s="62">
        <v>1</v>
      </c>
      <c r="F91" s="63"/>
      <c r="G91" s="61" t="s">
        <v>1438</v>
      </c>
      <c r="H91" s="61" t="s">
        <v>1441</v>
      </c>
      <c r="I91" s="61" t="s">
        <v>1516</v>
      </c>
      <c r="J91" s="64" t="s">
        <v>167</v>
      </c>
      <c r="K91" s="64" t="s">
        <v>167</v>
      </c>
      <c r="L91" s="64" t="s">
        <v>167</v>
      </c>
      <c r="M91" s="64" t="s">
        <v>167</v>
      </c>
      <c r="N91" s="64">
        <v>170000</v>
      </c>
      <c r="O91" s="64" t="s">
        <v>167</v>
      </c>
      <c r="P91" s="64" t="s">
        <v>167</v>
      </c>
    </row>
    <row r="92" spans="1:16">
      <c r="A92" s="16" t="s">
        <v>144</v>
      </c>
      <c r="B92" s="61" t="s">
        <v>1583</v>
      </c>
      <c r="C92" s="61" t="s">
        <v>1584</v>
      </c>
      <c r="D92" s="61" t="s">
        <v>1446</v>
      </c>
      <c r="E92" s="62">
        <v>1</v>
      </c>
      <c r="F92" s="63"/>
      <c r="G92" s="61" t="s">
        <v>1446</v>
      </c>
      <c r="H92" s="61" t="s">
        <v>1441</v>
      </c>
      <c r="I92" s="61" t="s">
        <v>1535</v>
      </c>
      <c r="J92" s="64" t="s">
        <v>167</v>
      </c>
      <c r="K92" s="64">
        <v>100000</v>
      </c>
      <c r="L92" s="64" t="s">
        <v>167</v>
      </c>
      <c r="M92" s="64" t="s">
        <v>167</v>
      </c>
      <c r="N92" s="64" t="s">
        <v>167</v>
      </c>
      <c r="O92" s="64" t="s">
        <v>167</v>
      </c>
      <c r="P92" s="64" t="s">
        <v>167</v>
      </c>
    </row>
    <row r="93" spans="1:16">
      <c r="A93" s="16" t="s">
        <v>144</v>
      </c>
      <c r="B93" s="61" t="s">
        <v>1585</v>
      </c>
      <c r="C93" s="61" t="s">
        <v>1586</v>
      </c>
      <c r="D93" s="61" t="s">
        <v>1446</v>
      </c>
      <c r="E93" s="62">
        <v>1</v>
      </c>
      <c r="F93" s="63"/>
      <c r="G93" s="61" t="s">
        <v>1446</v>
      </c>
      <c r="H93" s="61" t="s">
        <v>1441</v>
      </c>
      <c r="I93" s="61" t="s">
        <v>1516</v>
      </c>
      <c r="J93" s="64"/>
      <c r="K93" s="64" t="s">
        <v>167</v>
      </c>
      <c r="L93" s="64" t="s">
        <v>167</v>
      </c>
      <c r="M93" s="64" t="s">
        <v>167</v>
      </c>
      <c r="N93" s="64">
        <v>27500</v>
      </c>
      <c r="O93" s="64" t="s">
        <v>167</v>
      </c>
      <c r="P93" s="64" t="s">
        <v>167</v>
      </c>
    </row>
    <row r="94" spans="1:16" ht="27.6">
      <c r="A94" s="16" t="s">
        <v>144</v>
      </c>
      <c r="B94" s="61" t="s">
        <v>151</v>
      </c>
      <c r="C94" s="61" t="s">
        <v>142</v>
      </c>
      <c r="D94" s="61" t="s">
        <v>1445</v>
      </c>
      <c r="E94" s="62">
        <v>1</v>
      </c>
      <c r="F94" s="63"/>
      <c r="G94" s="61" t="s">
        <v>1446</v>
      </c>
      <c r="H94" s="61" t="s">
        <v>1441</v>
      </c>
      <c r="I94" s="61" t="s">
        <v>1587</v>
      </c>
      <c r="J94" s="64" t="s">
        <v>167</v>
      </c>
      <c r="K94" s="64"/>
      <c r="L94" s="64">
        <v>10000</v>
      </c>
      <c r="M94" s="64" t="s">
        <v>167</v>
      </c>
      <c r="N94" s="64" t="s">
        <v>167</v>
      </c>
      <c r="O94" s="64" t="s">
        <v>167</v>
      </c>
      <c r="P94" s="64" t="s">
        <v>167</v>
      </c>
    </row>
    <row r="95" spans="1:16" ht="27.6">
      <c r="A95" s="16" t="s">
        <v>144</v>
      </c>
      <c r="B95" s="61" t="s">
        <v>669</v>
      </c>
      <c r="C95" s="61" t="s">
        <v>1588</v>
      </c>
      <c r="D95" s="61" t="s">
        <v>1446</v>
      </c>
      <c r="E95" s="62">
        <v>1</v>
      </c>
      <c r="F95" s="63"/>
      <c r="G95" s="61" t="s">
        <v>1446</v>
      </c>
      <c r="H95" s="61" t="s">
        <v>1441</v>
      </c>
      <c r="I95" s="61" t="s">
        <v>1589</v>
      </c>
      <c r="J95" s="64">
        <v>80000</v>
      </c>
      <c r="K95" s="64"/>
      <c r="L95" s="64" t="s">
        <v>167</v>
      </c>
      <c r="M95" s="64" t="s">
        <v>167</v>
      </c>
      <c r="N95" s="64" t="s">
        <v>167</v>
      </c>
      <c r="O95" s="64" t="s">
        <v>167</v>
      </c>
      <c r="P95" s="64" t="s">
        <v>167</v>
      </c>
    </row>
    <row r="96" spans="1:16">
      <c r="A96" s="16" t="s">
        <v>144</v>
      </c>
      <c r="B96" s="61" t="s">
        <v>1590</v>
      </c>
      <c r="C96" s="61" t="s">
        <v>1591</v>
      </c>
      <c r="D96" s="61" t="s">
        <v>1446</v>
      </c>
      <c r="E96" s="62">
        <v>1</v>
      </c>
      <c r="F96" s="63"/>
      <c r="G96" s="61" t="s">
        <v>1446</v>
      </c>
      <c r="H96" s="61" t="s">
        <v>1441</v>
      </c>
      <c r="I96" s="61" t="s">
        <v>1516</v>
      </c>
      <c r="J96" s="64" t="s">
        <v>167</v>
      </c>
      <c r="K96" s="64">
        <v>15000</v>
      </c>
      <c r="L96" s="64" t="s">
        <v>167</v>
      </c>
      <c r="M96" s="64" t="s">
        <v>167</v>
      </c>
      <c r="N96" s="64" t="s">
        <v>167</v>
      </c>
      <c r="O96" s="64" t="s">
        <v>167</v>
      </c>
      <c r="P96" s="64" t="s">
        <v>167</v>
      </c>
    </row>
    <row r="97" spans="1:16" ht="27.6">
      <c r="A97" s="16" t="s">
        <v>144</v>
      </c>
      <c r="B97" s="61" t="s">
        <v>1590</v>
      </c>
      <c r="C97" s="61" t="s">
        <v>1591</v>
      </c>
      <c r="D97" s="61" t="s">
        <v>1532</v>
      </c>
      <c r="E97" s="62">
        <v>1</v>
      </c>
      <c r="F97" s="63"/>
      <c r="G97" s="61" t="s">
        <v>1455</v>
      </c>
      <c r="H97" s="61" t="s">
        <v>1441</v>
      </c>
      <c r="I97" s="61" t="s">
        <v>1516</v>
      </c>
      <c r="J97" s="64" t="s">
        <v>167</v>
      </c>
      <c r="K97" s="64">
        <v>15000</v>
      </c>
      <c r="L97" s="64" t="s">
        <v>167</v>
      </c>
      <c r="M97" s="64" t="s">
        <v>167</v>
      </c>
      <c r="N97" s="64" t="s">
        <v>167</v>
      </c>
      <c r="O97" s="64" t="s">
        <v>167</v>
      </c>
      <c r="P97" s="64" t="s">
        <v>167</v>
      </c>
    </row>
    <row r="98" spans="1:16" s="53" customFormat="1">
      <c r="B98" s="65"/>
      <c r="C98" s="65"/>
      <c r="D98" s="65"/>
      <c r="E98" s="66"/>
      <c r="F98" s="67"/>
      <c r="G98" s="65"/>
      <c r="H98" s="65"/>
      <c r="I98" s="65"/>
      <c r="J98" s="68"/>
      <c r="K98" s="68"/>
      <c r="L98" s="68"/>
      <c r="M98" s="68"/>
      <c r="N98" s="68"/>
      <c r="O98" s="68"/>
      <c r="P98" s="68"/>
    </row>
    <row r="99" spans="1:16" ht="41.45">
      <c r="A99" s="16" t="s">
        <v>1411</v>
      </c>
      <c r="B99" s="61" t="s">
        <v>1592</v>
      </c>
      <c r="C99" s="61" t="s">
        <v>1593</v>
      </c>
      <c r="D99" s="61" t="s">
        <v>1594</v>
      </c>
      <c r="E99" s="62">
        <v>1</v>
      </c>
      <c r="F99" s="63"/>
      <c r="G99" s="61" t="s">
        <v>1464</v>
      </c>
      <c r="H99" s="61" t="s">
        <v>1441</v>
      </c>
      <c r="I99" s="61" t="s">
        <v>1595</v>
      </c>
      <c r="J99" s="64" t="s">
        <v>167</v>
      </c>
      <c r="K99" s="64"/>
      <c r="L99" s="64">
        <v>250000</v>
      </c>
      <c r="M99" s="64" t="s">
        <v>167</v>
      </c>
      <c r="N99" s="64" t="s">
        <v>167</v>
      </c>
      <c r="O99" s="64" t="s">
        <v>167</v>
      </c>
      <c r="P99" s="64" t="s">
        <v>167</v>
      </c>
    </row>
    <row r="100" spans="1:16" ht="41.45">
      <c r="A100" s="16" t="s">
        <v>1411</v>
      </c>
      <c r="B100" s="61" t="s">
        <v>216</v>
      </c>
      <c r="C100" s="61" t="s">
        <v>213</v>
      </c>
      <c r="D100" s="61" t="s">
        <v>1596</v>
      </c>
      <c r="E100" s="62">
        <v>1</v>
      </c>
      <c r="F100" s="63"/>
      <c r="G100" s="61" t="s">
        <v>1438</v>
      </c>
      <c r="H100" s="61" t="s">
        <v>1441</v>
      </c>
      <c r="I100" s="61" t="s">
        <v>1597</v>
      </c>
      <c r="J100" s="64" t="s">
        <v>167</v>
      </c>
      <c r="K100" s="64" t="s">
        <v>167</v>
      </c>
      <c r="L100" s="64" t="s">
        <v>167</v>
      </c>
      <c r="M100" s="64">
        <v>68250</v>
      </c>
      <c r="N100" s="64" t="s">
        <v>167</v>
      </c>
      <c r="O100" s="64" t="s">
        <v>167</v>
      </c>
      <c r="P100" s="64" t="s">
        <v>167</v>
      </c>
    </row>
    <row r="101" spans="1:16">
      <c r="A101" s="16" t="s">
        <v>1411</v>
      </c>
      <c r="B101" s="61" t="s">
        <v>1598</v>
      </c>
      <c r="C101" s="61" t="s">
        <v>204</v>
      </c>
      <c r="D101" s="61" t="s">
        <v>1446</v>
      </c>
      <c r="E101" s="62">
        <v>1</v>
      </c>
      <c r="F101" s="63"/>
      <c r="G101" s="61" t="s">
        <v>1446</v>
      </c>
      <c r="H101" s="61" t="s">
        <v>1441</v>
      </c>
      <c r="I101" s="61" t="s">
        <v>1599</v>
      </c>
      <c r="J101" s="64">
        <v>120000</v>
      </c>
      <c r="K101" s="64">
        <v>60000</v>
      </c>
      <c r="L101" s="64">
        <v>60000</v>
      </c>
      <c r="M101" s="64">
        <v>60000</v>
      </c>
      <c r="N101" s="64">
        <v>60000</v>
      </c>
      <c r="O101" s="64">
        <v>60000</v>
      </c>
      <c r="P101" s="64" t="s">
        <v>167</v>
      </c>
    </row>
    <row r="102" spans="1:16" s="53" customFormat="1">
      <c r="B102" s="65"/>
      <c r="C102" s="65"/>
      <c r="D102" s="65"/>
      <c r="E102" s="66"/>
      <c r="F102" s="67"/>
      <c r="G102" s="65"/>
      <c r="H102" s="65"/>
      <c r="I102" s="65"/>
      <c r="J102" s="68"/>
      <c r="K102" s="68"/>
      <c r="L102" s="68"/>
      <c r="M102" s="68"/>
      <c r="N102" s="68"/>
      <c r="O102" s="68"/>
      <c r="P102" s="68"/>
    </row>
    <row r="103" spans="1:16" ht="27.6">
      <c r="A103" s="16" t="s">
        <v>1410</v>
      </c>
      <c r="B103" s="61" t="s">
        <v>1600</v>
      </c>
      <c r="C103" s="61" t="s">
        <v>1601</v>
      </c>
      <c r="D103" s="61" t="s">
        <v>1454</v>
      </c>
      <c r="E103" s="62">
        <v>1</v>
      </c>
      <c r="F103" s="63"/>
      <c r="G103" s="61" t="s">
        <v>1602</v>
      </c>
      <c r="H103" s="61" t="s">
        <v>1441</v>
      </c>
      <c r="I103" s="61" t="s">
        <v>1603</v>
      </c>
      <c r="J103" s="64" t="s">
        <v>167</v>
      </c>
      <c r="K103" s="64" t="s">
        <v>167</v>
      </c>
      <c r="L103" s="64">
        <v>487500</v>
      </c>
      <c r="M103" s="64" t="s">
        <v>167</v>
      </c>
      <c r="N103" s="64" t="s">
        <v>167</v>
      </c>
      <c r="O103" s="64" t="s">
        <v>167</v>
      </c>
      <c r="P103" s="64" t="s">
        <v>167</v>
      </c>
    </row>
    <row r="104" spans="1:16">
      <c r="A104" s="16" t="s">
        <v>1410</v>
      </c>
      <c r="B104" s="61" t="s">
        <v>1600</v>
      </c>
      <c r="C104" s="61" t="s">
        <v>1601</v>
      </c>
      <c r="D104" s="61" t="s">
        <v>1504</v>
      </c>
      <c r="E104" s="62">
        <v>1</v>
      </c>
      <c r="F104" s="63"/>
      <c r="G104" s="61" t="s">
        <v>1464</v>
      </c>
      <c r="H104" s="61" t="s">
        <v>1441</v>
      </c>
      <c r="I104" s="61" t="s">
        <v>1570</v>
      </c>
      <c r="J104" s="64" t="s">
        <v>167</v>
      </c>
      <c r="K104" s="64" t="s">
        <v>167</v>
      </c>
      <c r="L104" s="64">
        <v>212500</v>
      </c>
      <c r="M104" s="64" t="s">
        <v>167</v>
      </c>
      <c r="N104" s="64" t="s">
        <v>167</v>
      </c>
      <c r="O104" s="64" t="s">
        <v>167</v>
      </c>
      <c r="P104" s="64" t="s">
        <v>167</v>
      </c>
    </row>
    <row r="105" spans="1:16">
      <c r="A105" s="16" t="s">
        <v>1410</v>
      </c>
      <c r="B105" s="61" t="s">
        <v>1600</v>
      </c>
      <c r="C105" s="61" t="s">
        <v>1601</v>
      </c>
      <c r="D105" s="61" t="s">
        <v>1438</v>
      </c>
      <c r="E105" s="62">
        <v>1</v>
      </c>
      <c r="F105" s="63"/>
      <c r="G105" s="61" t="s">
        <v>1438</v>
      </c>
      <c r="H105" s="61" t="s">
        <v>1441</v>
      </c>
      <c r="I105" s="61" t="s">
        <v>1604</v>
      </c>
      <c r="J105" s="64" t="s">
        <v>167</v>
      </c>
      <c r="K105" s="64">
        <v>500000</v>
      </c>
      <c r="L105" s="64">
        <v>135000</v>
      </c>
      <c r="M105" s="64" t="s">
        <v>167</v>
      </c>
      <c r="N105" s="64" t="s">
        <v>167</v>
      </c>
      <c r="O105" s="64" t="s">
        <v>167</v>
      </c>
      <c r="P105" s="64" t="s">
        <v>167</v>
      </c>
    </row>
    <row r="106" spans="1:16">
      <c r="A106" s="16" t="s">
        <v>1410</v>
      </c>
      <c r="B106" s="61" t="s">
        <v>1600</v>
      </c>
      <c r="C106" s="61" t="s">
        <v>1601</v>
      </c>
      <c r="D106" s="61" t="s">
        <v>1464</v>
      </c>
      <c r="E106" s="62">
        <v>1</v>
      </c>
      <c r="F106" s="63"/>
      <c r="G106" s="61" t="s">
        <v>1464</v>
      </c>
      <c r="H106" s="61" t="s">
        <v>1441</v>
      </c>
      <c r="I106" s="61" t="s">
        <v>1605</v>
      </c>
      <c r="J106" s="64" t="s">
        <v>167</v>
      </c>
      <c r="K106" s="64" t="s">
        <v>167</v>
      </c>
      <c r="L106" s="64">
        <v>37763</v>
      </c>
      <c r="M106" s="64">
        <v>25175</v>
      </c>
      <c r="N106" s="64">
        <v>37763</v>
      </c>
      <c r="O106" s="64" t="s">
        <v>167</v>
      </c>
      <c r="P106" s="64" t="s">
        <v>167</v>
      </c>
    </row>
    <row r="107" spans="1:16">
      <c r="A107" s="16" t="s">
        <v>1410</v>
      </c>
      <c r="B107" s="61" t="s">
        <v>179</v>
      </c>
      <c r="C107" s="61" t="s">
        <v>1606</v>
      </c>
      <c r="D107" s="61" t="s">
        <v>1438</v>
      </c>
      <c r="E107" s="62">
        <v>1</v>
      </c>
      <c r="F107" s="63"/>
      <c r="G107" s="61" t="s">
        <v>1438</v>
      </c>
      <c r="H107" s="61" t="s">
        <v>1441</v>
      </c>
      <c r="I107" s="61" t="s">
        <v>1438</v>
      </c>
      <c r="J107" s="64" t="s">
        <v>167</v>
      </c>
      <c r="K107" s="64" t="s">
        <v>167</v>
      </c>
      <c r="L107" s="64" t="s">
        <v>167</v>
      </c>
      <c r="M107" s="64" t="s">
        <v>167</v>
      </c>
      <c r="N107" s="64">
        <v>182706</v>
      </c>
      <c r="O107" s="64" t="s">
        <v>167</v>
      </c>
      <c r="P107" s="64" t="s">
        <v>167</v>
      </c>
    </row>
    <row r="108" spans="1:16">
      <c r="A108" s="16" t="s">
        <v>1410</v>
      </c>
      <c r="B108" s="61" t="s">
        <v>272</v>
      </c>
      <c r="C108" s="61" t="s">
        <v>270</v>
      </c>
      <c r="D108" s="61" t="s">
        <v>1468</v>
      </c>
      <c r="E108" s="62">
        <v>1</v>
      </c>
      <c r="F108" s="63"/>
      <c r="G108" s="61" t="s">
        <v>1464</v>
      </c>
      <c r="H108" s="61" t="s">
        <v>1441</v>
      </c>
      <c r="I108" s="61" t="s">
        <v>1607</v>
      </c>
      <c r="J108" s="64" t="s">
        <v>167</v>
      </c>
      <c r="K108" s="64" t="s">
        <v>167</v>
      </c>
      <c r="L108" s="64">
        <v>367056</v>
      </c>
      <c r="M108" s="64" t="s">
        <v>167</v>
      </c>
      <c r="N108" s="64" t="s">
        <v>167</v>
      </c>
      <c r="O108" s="64" t="s">
        <v>167</v>
      </c>
      <c r="P108" s="64" t="s">
        <v>167</v>
      </c>
    </row>
    <row r="109" spans="1:16" ht="41.45">
      <c r="A109" s="16" t="s">
        <v>1410</v>
      </c>
      <c r="B109" s="61" t="s">
        <v>272</v>
      </c>
      <c r="C109" s="61" t="s">
        <v>270</v>
      </c>
      <c r="D109" s="61" t="s">
        <v>1608</v>
      </c>
      <c r="E109" s="62">
        <v>1</v>
      </c>
      <c r="F109" s="63"/>
      <c r="G109" s="61" t="s">
        <v>1438</v>
      </c>
      <c r="H109" s="61" t="s">
        <v>1441</v>
      </c>
      <c r="I109" s="61" t="s">
        <v>1609</v>
      </c>
      <c r="J109" s="64" t="s">
        <v>167</v>
      </c>
      <c r="K109" s="64" t="s">
        <v>167</v>
      </c>
      <c r="L109" s="64">
        <v>632944</v>
      </c>
      <c r="M109" s="64" t="s">
        <v>167</v>
      </c>
      <c r="N109" s="64" t="s">
        <v>167</v>
      </c>
      <c r="O109" s="64" t="s">
        <v>167</v>
      </c>
      <c r="P109" s="64" t="s">
        <v>167</v>
      </c>
    </row>
    <row r="110" spans="1:16" ht="27.6">
      <c r="A110" s="16" t="s">
        <v>1410</v>
      </c>
      <c r="B110" s="61" t="s">
        <v>1610</v>
      </c>
      <c r="C110" s="61" t="s">
        <v>1611</v>
      </c>
      <c r="D110" s="61" t="s">
        <v>1612</v>
      </c>
      <c r="E110" s="62">
        <v>1</v>
      </c>
      <c r="F110" s="63"/>
      <c r="G110" s="61" t="s">
        <v>1455</v>
      </c>
      <c r="H110" s="61" t="s">
        <v>1441</v>
      </c>
      <c r="I110" s="61" t="s">
        <v>1613</v>
      </c>
      <c r="J110" s="64" t="s">
        <v>167</v>
      </c>
      <c r="K110" s="64" t="s">
        <v>167</v>
      </c>
      <c r="L110" s="64">
        <v>30000</v>
      </c>
      <c r="M110" s="64" t="s">
        <v>167</v>
      </c>
      <c r="N110" s="64" t="s">
        <v>167</v>
      </c>
      <c r="O110" s="64" t="s">
        <v>167</v>
      </c>
      <c r="P110" s="64" t="s">
        <v>167</v>
      </c>
    </row>
    <row r="111" spans="1:16" ht="41.45">
      <c r="A111" s="16" t="s">
        <v>1410</v>
      </c>
      <c r="B111" s="61" t="s">
        <v>1610</v>
      </c>
      <c r="C111" s="61" t="s">
        <v>1611</v>
      </c>
      <c r="D111" s="61" t="s">
        <v>1614</v>
      </c>
      <c r="E111" s="62">
        <v>1</v>
      </c>
      <c r="F111" s="63"/>
      <c r="G111" s="61" t="s">
        <v>1464</v>
      </c>
      <c r="H111" s="61" t="s">
        <v>1441</v>
      </c>
      <c r="I111" s="61" t="s">
        <v>1615</v>
      </c>
      <c r="J111" s="64">
        <v>36500</v>
      </c>
      <c r="K111" s="64" t="s">
        <v>167</v>
      </c>
      <c r="L111" s="64" t="s">
        <v>167</v>
      </c>
      <c r="M111" s="64" t="s">
        <v>167</v>
      </c>
      <c r="N111" s="64" t="s">
        <v>167</v>
      </c>
      <c r="O111" s="64" t="s">
        <v>167</v>
      </c>
      <c r="P111" s="64" t="s">
        <v>167</v>
      </c>
    </row>
    <row r="112" spans="1:16" ht="27.6">
      <c r="A112" s="16" t="s">
        <v>1410</v>
      </c>
      <c r="B112" s="61" t="s">
        <v>1610</v>
      </c>
      <c r="C112" s="61" t="s">
        <v>1611</v>
      </c>
      <c r="D112" s="61" t="s">
        <v>1468</v>
      </c>
      <c r="E112" s="62">
        <v>1</v>
      </c>
      <c r="F112" s="63"/>
      <c r="G112" s="61" t="s">
        <v>1464</v>
      </c>
      <c r="H112" s="61" t="s">
        <v>1441</v>
      </c>
      <c r="I112" s="61" t="s">
        <v>1616</v>
      </c>
      <c r="J112" s="64" t="s">
        <v>167</v>
      </c>
      <c r="K112" s="64">
        <v>33900</v>
      </c>
      <c r="L112" s="64" t="s">
        <v>167</v>
      </c>
      <c r="M112" s="64">
        <v>52500</v>
      </c>
      <c r="N112" s="64" t="s">
        <v>167</v>
      </c>
      <c r="O112" s="64" t="s">
        <v>167</v>
      </c>
      <c r="P112" s="64" t="s">
        <v>167</v>
      </c>
    </row>
    <row r="113" spans="1:16" s="53" customFormat="1">
      <c r="B113" s="65"/>
      <c r="C113" s="65"/>
      <c r="D113" s="65"/>
      <c r="E113" s="66"/>
      <c r="F113" s="67"/>
      <c r="G113" s="65"/>
      <c r="H113" s="65"/>
      <c r="I113" s="65"/>
      <c r="J113" s="68"/>
      <c r="K113" s="68"/>
      <c r="L113" s="68"/>
      <c r="M113" s="68"/>
      <c r="N113" s="68"/>
      <c r="O113" s="68"/>
      <c r="P113" s="68"/>
    </row>
    <row r="114" spans="1:16" ht="41.45">
      <c r="A114" s="16" t="s">
        <v>1412</v>
      </c>
      <c r="B114" s="61" t="s">
        <v>1617</v>
      </c>
      <c r="C114" s="61" t="s">
        <v>1618</v>
      </c>
      <c r="D114" s="61" t="s">
        <v>1619</v>
      </c>
      <c r="E114" s="62">
        <v>1</v>
      </c>
      <c r="F114" s="63"/>
      <c r="G114" s="61" t="s">
        <v>1464</v>
      </c>
      <c r="H114" s="61" t="s">
        <v>1441</v>
      </c>
      <c r="I114" s="61" t="s">
        <v>1620</v>
      </c>
      <c r="J114" s="64">
        <v>30000</v>
      </c>
      <c r="K114" s="64" t="s">
        <v>167</v>
      </c>
      <c r="L114" s="64" t="s">
        <v>167</v>
      </c>
      <c r="M114" s="64" t="s">
        <v>167</v>
      </c>
      <c r="N114" s="64" t="s">
        <v>167</v>
      </c>
      <c r="O114" s="64" t="s">
        <v>167</v>
      </c>
      <c r="P114" s="64" t="s">
        <v>167</v>
      </c>
    </row>
    <row r="115" spans="1:16" ht="41.45">
      <c r="A115" s="16" t="s">
        <v>1412</v>
      </c>
      <c r="B115" s="61" t="s">
        <v>1617</v>
      </c>
      <c r="C115" s="61" t="s">
        <v>1618</v>
      </c>
      <c r="D115" s="61" t="s">
        <v>1473</v>
      </c>
      <c r="E115" s="62">
        <v>1</v>
      </c>
      <c r="F115" s="63"/>
      <c r="G115" s="61" t="s">
        <v>1455</v>
      </c>
      <c r="H115" s="61" t="s">
        <v>1441</v>
      </c>
      <c r="I115" s="61" t="s">
        <v>1621</v>
      </c>
      <c r="J115" s="64"/>
      <c r="K115" s="64" t="s">
        <v>167</v>
      </c>
      <c r="L115" s="64">
        <v>20000</v>
      </c>
      <c r="M115" s="64" t="s">
        <v>167</v>
      </c>
      <c r="N115" s="64" t="s">
        <v>167</v>
      </c>
      <c r="O115" s="64" t="s">
        <v>167</v>
      </c>
      <c r="P115" s="64" t="s">
        <v>167</v>
      </c>
    </row>
    <row r="116" spans="1:16">
      <c r="A116" s="16" t="s">
        <v>1412</v>
      </c>
      <c r="B116" s="61" t="s">
        <v>1622</v>
      </c>
      <c r="C116" s="61" t="s">
        <v>1623</v>
      </c>
      <c r="D116" s="61" t="s">
        <v>1446</v>
      </c>
      <c r="E116" s="62">
        <v>1</v>
      </c>
      <c r="F116" s="63"/>
      <c r="G116" s="61" t="s">
        <v>1446</v>
      </c>
      <c r="H116" s="61" t="s">
        <v>1441</v>
      </c>
      <c r="I116" s="61" t="s">
        <v>1624</v>
      </c>
      <c r="J116" s="64"/>
      <c r="K116" s="64" t="s">
        <v>167</v>
      </c>
      <c r="L116" s="64">
        <v>10000</v>
      </c>
      <c r="M116" s="64" t="s">
        <v>167</v>
      </c>
      <c r="N116" s="64" t="s">
        <v>167</v>
      </c>
      <c r="O116" s="64" t="s">
        <v>167</v>
      </c>
      <c r="P116" s="64" t="s">
        <v>167</v>
      </c>
    </row>
    <row r="117" spans="1:16" ht="27.6">
      <c r="A117" s="16" t="s">
        <v>1412</v>
      </c>
      <c r="B117" s="61" t="s">
        <v>1625</v>
      </c>
      <c r="C117" s="61" t="s">
        <v>1626</v>
      </c>
      <c r="D117" s="61" t="s">
        <v>1446</v>
      </c>
      <c r="E117" s="62">
        <v>1</v>
      </c>
      <c r="F117" s="63"/>
      <c r="G117" s="61" t="s">
        <v>1446</v>
      </c>
      <c r="H117" s="61" t="s">
        <v>1441</v>
      </c>
      <c r="I117" s="61" t="s">
        <v>1627</v>
      </c>
      <c r="J117" s="64"/>
      <c r="K117" s="64" t="s">
        <v>167</v>
      </c>
      <c r="L117" s="64">
        <v>5000</v>
      </c>
      <c r="M117" s="64">
        <v>5000</v>
      </c>
      <c r="N117" s="64">
        <v>5000</v>
      </c>
      <c r="O117" s="64" t="s">
        <v>167</v>
      </c>
      <c r="P117" s="64" t="s">
        <v>167</v>
      </c>
    </row>
    <row r="118" spans="1:16" ht="27.6">
      <c r="A118" s="16" t="s">
        <v>1412</v>
      </c>
      <c r="B118" s="61" t="s">
        <v>1625</v>
      </c>
      <c r="C118" s="61" t="s">
        <v>1626</v>
      </c>
      <c r="D118" s="61" t="s">
        <v>1473</v>
      </c>
      <c r="E118" s="62">
        <v>1</v>
      </c>
      <c r="F118" s="63"/>
      <c r="G118" s="61" t="s">
        <v>1602</v>
      </c>
      <c r="H118" s="61" t="s">
        <v>1441</v>
      </c>
      <c r="I118" s="61" t="s">
        <v>1628</v>
      </c>
      <c r="J118" s="64">
        <v>30000</v>
      </c>
      <c r="K118" s="64">
        <v>30000</v>
      </c>
      <c r="L118" s="64" t="s">
        <v>167</v>
      </c>
      <c r="M118" s="64" t="s">
        <v>167</v>
      </c>
      <c r="N118" s="64" t="s">
        <v>167</v>
      </c>
      <c r="O118" s="64" t="s">
        <v>167</v>
      </c>
      <c r="P118" s="64" t="s">
        <v>167</v>
      </c>
    </row>
    <row r="119" spans="1:16">
      <c r="A119" s="16" t="s">
        <v>1412</v>
      </c>
      <c r="B119" s="61" t="s">
        <v>1625</v>
      </c>
      <c r="C119" s="61" t="s">
        <v>1626</v>
      </c>
      <c r="D119" s="61" t="s">
        <v>1438</v>
      </c>
      <c r="E119" s="62">
        <v>1</v>
      </c>
      <c r="F119" s="63"/>
      <c r="G119" s="61" t="s">
        <v>1438</v>
      </c>
      <c r="H119" s="61" t="s">
        <v>1441</v>
      </c>
      <c r="I119" s="61" t="s">
        <v>1448</v>
      </c>
      <c r="J119" s="64" t="s">
        <v>167</v>
      </c>
      <c r="K119" s="64">
        <v>350000</v>
      </c>
      <c r="L119" s="64" t="s">
        <v>167</v>
      </c>
      <c r="M119" s="64" t="s">
        <v>167</v>
      </c>
      <c r="N119" s="64" t="s">
        <v>167</v>
      </c>
      <c r="O119" s="64" t="s">
        <v>167</v>
      </c>
      <c r="P119" s="64" t="s">
        <v>167</v>
      </c>
    </row>
    <row r="120" spans="1:16" ht="27.6">
      <c r="A120" s="16" t="s">
        <v>1412</v>
      </c>
      <c r="B120" s="61" t="s">
        <v>1629</v>
      </c>
      <c r="C120" s="61" t="s">
        <v>1630</v>
      </c>
      <c r="D120" s="61" t="s">
        <v>1446</v>
      </c>
      <c r="E120" s="62">
        <v>1</v>
      </c>
      <c r="F120" s="63"/>
      <c r="G120" s="61" t="s">
        <v>1446</v>
      </c>
      <c r="H120" s="61" t="s">
        <v>1441</v>
      </c>
      <c r="I120" s="61" t="s">
        <v>1631</v>
      </c>
      <c r="J120" s="64">
        <v>86500</v>
      </c>
      <c r="K120" s="64" t="s">
        <v>167</v>
      </c>
      <c r="L120" s="64" t="s">
        <v>167</v>
      </c>
      <c r="M120" s="64">
        <v>118000</v>
      </c>
      <c r="N120" s="64" t="s">
        <v>167</v>
      </c>
      <c r="O120" s="64" t="s">
        <v>167</v>
      </c>
      <c r="P120" s="64" t="s">
        <v>167</v>
      </c>
    </row>
    <row r="121" spans="1:16" ht="41.45">
      <c r="A121" s="16" t="s">
        <v>1412</v>
      </c>
      <c r="B121" s="61" t="s">
        <v>1629</v>
      </c>
      <c r="C121" s="61" t="s">
        <v>1630</v>
      </c>
      <c r="D121" s="61" t="s">
        <v>1438</v>
      </c>
      <c r="E121" s="62">
        <v>1</v>
      </c>
      <c r="F121" s="63"/>
      <c r="G121" s="61" t="s">
        <v>1438</v>
      </c>
      <c r="H121" s="61" t="s">
        <v>1441</v>
      </c>
      <c r="I121" s="61" t="s">
        <v>1632</v>
      </c>
      <c r="J121" s="64">
        <v>602800</v>
      </c>
      <c r="K121" s="64"/>
      <c r="L121" s="64" t="s">
        <v>167</v>
      </c>
      <c r="M121" s="64" t="s">
        <v>167</v>
      </c>
      <c r="N121" s="64" t="s">
        <v>167</v>
      </c>
      <c r="O121" s="64" t="s">
        <v>167</v>
      </c>
      <c r="P121" s="64" t="s">
        <v>167</v>
      </c>
    </row>
    <row r="122" spans="1:16">
      <c r="A122" s="16" t="s">
        <v>1412</v>
      </c>
      <c r="B122" s="61" t="s">
        <v>497</v>
      </c>
      <c r="C122" s="61" t="s">
        <v>500</v>
      </c>
      <c r="D122" s="61" t="s">
        <v>1445</v>
      </c>
      <c r="E122" s="62">
        <v>1</v>
      </c>
      <c r="F122" s="63"/>
      <c r="G122" s="61" t="s">
        <v>1446</v>
      </c>
      <c r="H122" s="61" t="s">
        <v>1441</v>
      </c>
      <c r="I122" s="61" t="s">
        <v>1570</v>
      </c>
      <c r="J122" s="64">
        <v>10000</v>
      </c>
      <c r="K122" s="64">
        <v>10000</v>
      </c>
      <c r="L122" s="64">
        <v>10000</v>
      </c>
      <c r="M122" s="64">
        <v>10000</v>
      </c>
      <c r="N122" s="64">
        <v>10000</v>
      </c>
      <c r="O122" s="64">
        <v>10000</v>
      </c>
      <c r="P122" s="64">
        <v>10000</v>
      </c>
    </row>
    <row r="123" spans="1:16" ht="27.6">
      <c r="A123" s="16" t="s">
        <v>1412</v>
      </c>
      <c r="B123" s="61" t="s">
        <v>497</v>
      </c>
      <c r="C123" s="61" t="s">
        <v>500</v>
      </c>
      <c r="D123" s="61" t="s">
        <v>1633</v>
      </c>
      <c r="E123" s="62">
        <v>1</v>
      </c>
      <c r="F123" s="63"/>
      <c r="G123" s="61" t="s">
        <v>1460</v>
      </c>
      <c r="H123" s="61" t="s">
        <v>1441</v>
      </c>
      <c r="I123" s="61" t="s">
        <v>1570</v>
      </c>
      <c r="J123" s="64">
        <v>71000</v>
      </c>
      <c r="K123" s="64" t="s">
        <v>167</v>
      </c>
      <c r="L123" s="64" t="s">
        <v>167</v>
      </c>
      <c r="M123" s="64" t="s">
        <v>167</v>
      </c>
      <c r="N123" s="64" t="s">
        <v>167</v>
      </c>
      <c r="O123" s="64" t="s">
        <v>167</v>
      </c>
      <c r="P123" s="64" t="s">
        <v>167</v>
      </c>
    </row>
    <row r="124" spans="1:16">
      <c r="A124" s="16" t="s">
        <v>1412</v>
      </c>
      <c r="B124" s="61" t="s">
        <v>373</v>
      </c>
      <c r="C124" s="61" t="s">
        <v>1634</v>
      </c>
      <c r="D124" s="61" t="s">
        <v>1508</v>
      </c>
      <c r="E124" s="62">
        <v>1</v>
      </c>
      <c r="F124" s="63"/>
      <c r="G124" s="61" t="s">
        <v>1438</v>
      </c>
      <c r="H124" s="61" t="s">
        <v>1441</v>
      </c>
      <c r="I124" s="61" t="s">
        <v>1635</v>
      </c>
      <c r="J124" s="64" t="s">
        <v>167</v>
      </c>
      <c r="K124" s="64">
        <v>226600</v>
      </c>
      <c r="L124" s="64" t="s">
        <v>167</v>
      </c>
      <c r="M124" s="64">
        <v>182000</v>
      </c>
      <c r="N124" s="64" t="s">
        <v>167</v>
      </c>
      <c r="O124" s="64" t="s">
        <v>167</v>
      </c>
      <c r="P124" s="64" t="s">
        <v>167</v>
      </c>
    </row>
    <row r="125" spans="1:16" ht="41.45">
      <c r="A125" s="16" t="s">
        <v>1412</v>
      </c>
      <c r="B125" s="61" t="s">
        <v>373</v>
      </c>
      <c r="C125" s="61" t="s">
        <v>1634</v>
      </c>
      <c r="D125" s="61" t="s">
        <v>1633</v>
      </c>
      <c r="E125" s="62">
        <v>1</v>
      </c>
      <c r="F125" s="63"/>
      <c r="G125" s="61" t="s">
        <v>1460</v>
      </c>
      <c r="H125" s="61" t="s">
        <v>1441</v>
      </c>
      <c r="I125" s="61" t="s">
        <v>1636</v>
      </c>
      <c r="J125" s="64">
        <v>41343</v>
      </c>
      <c r="K125" s="64" t="s">
        <v>167</v>
      </c>
      <c r="L125" s="64" t="s">
        <v>167</v>
      </c>
      <c r="M125" s="64" t="s">
        <v>167</v>
      </c>
      <c r="N125" s="64" t="s">
        <v>167</v>
      </c>
      <c r="O125" s="64" t="s">
        <v>167</v>
      </c>
      <c r="P125" s="64" t="s">
        <v>167</v>
      </c>
    </row>
    <row r="126" spans="1:16" ht="41.45">
      <c r="A126" s="16" t="s">
        <v>1412</v>
      </c>
      <c r="B126" s="61" t="s">
        <v>444</v>
      </c>
      <c r="C126" s="61" t="s">
        <v>442</v>
      </c>
      <c r="D126" s="61" t="s">
        <v>1508</v>
      </c>
      <c r="E126" s="62">
        <v>1</v>
      </c>
      <c r="F126" s="63"/>
      <c r="G126" s="61" t="s">
        <v>1438</v>
      </c>
      <c r="H126" s="61" t="s">
        <v>1441</v>
      </c>
      <c r="I126" s="61" t="s">
        <v>1637</v>
      </c>
      <c r="J126" s="64">
        <v>16000</v>
      </c>
      <c r="K126" s="64" t="s">
        <v>167</v>
      </c>
      <c r="L126" s="64">
        <v>184140</v>
      </c>
      <c r="M126" s="64" t="s">
        <v>167</v>
      </c>
      <c r="N126" s="64" t="s">
        <v>167</v>
      </c>
      <c r="O126" s="64" t="s">
        <v>167</v>
      </c>
      <c r="P126" s="64" t="s">
        <v>167</v>
      </c>
    </row>
    <row r="127" spans="1:16" ht="27.6">
      <c r="A127" s="16" t="s">
        <v>1412</v>
      </c>
      <c r="B127" s="61" t="s">
        <v>444</v>
      </c>
      <c r="C127" s="61" t="s">
        <v>442</v>
      </c>
      <c r="D127" s="61" t="s">
        <v>1633</v>
      </c>
      <c r="E127" s="62">
        <v>1</v>
      </c>
      <c r="F127" s="63"/>
      <c r="G127" s="61" t="s">
        <v>1460</v>
      </c>
      <c r="H127" s="61" t="s">
        <v>1441</v>
      </c>
      <c r="I127" s="61" t="s">
        <v>1570</v>
      </c>
      <c r="J127" s="64">
        <v>23554</v>
      </c>
      <c r="K127" s="64" t="s">
        <v>167</v>
      </c>
      <c r="L127" s="64" t="s">
        <v>167</v>
      </c>
      <c r="M127" s="64" t="s">
        <v>167</v>
      </c>
      <c r="N127" s="64" t="s">
        <v>167</v>
      </c>
      <c r="O127" s="64" t="s">
        <v>167</v>
      </c>
      <c r="P127" s="64" t="s">
        <v>167</v>
      </c>
    </row>
    <row r="128" spans="1:16" ht="55.15">
      <c r="A128" s="16" t="s">
        <v>1412</v>
      </c>
      <c r="B128" s="61" t="s">
        <v>1638</v>
      </c>
      <c r="C128" s="61" t="s">
        <v>1639</v>
      </c>
      <c r="D128" s="61" t="s">
        <v>1473</v>
      </c>
      <c r="E128" s="62">
        <v>1</v>
      </c>
      <c r="F128" s="63"/>
      <c r="G128" s="61" t="s">
        <v>1455</v>
      </c>
      <c r="H128" s="61" t="s">
        <v>1441</v>
      </c>
      <c r="I128" s="61" t="s">
        <v>1640</v>
      </c>
      <c r="J128" s="64"/>
      <c r="K128" s="64">
        <v>10000</v>
      </c>
      <c r="L128" s="64" t="s">
        <v>167</v>
      </c>
      <c r="M128" s="64">
        <v>5000</v>
      </c>
      <c r="N128" s="64" t="s">
        <v>167</v>
      </c>
      <c r="O128" s="64" t="s">
        <v>167</v>
      </c>
      <c r="P128" s="64" t="s">
        <v>167</v>
      </c>
    </row>
    <row r="129" spans="1:16">
      <c r="A129" s="16" t="s">
        <v>1412</v>
      </c>
      <c r="B129" s="61" t="s">
        <v>1638</v>
      </c>
      <c r="C129" s="61" t="s">
        <v>1639</v>
      </c>
      <c r="D129" s="61" t="s">
        <v>1438</v>
      </c>
      <c r="E129" s="62">
        <v>1</v>
      </c>
      <c r="F129" s="63"/>
      <c r="G129" s="61" t="s">
        <v>1438</v>
      </c>
      <c r="H129" s="61" t="s">
        <v>1441</v>
      </c>
      <c r="I129" s="61" t="s">
        <v>1448</v>
      </c>
      <c r="J129" s="64" t="s">
        <v>167</v>
      </c>
      <c r="K129" s="64" t="s">
        <v>167</v>
      </c>
      <c r="L129" s="64" t="s">
        <v>167</v>
      </c>
      <c r="M129" s="64" t="s">
        <v>167</v>
      </c>
      <c r="N129" s="64">
        <v>100000</v>
      </c>
      <c r="O129" s="64" t="s">
        <v>167</v>
      </c>
      <c r="P129" s="64" t="s">
        <v>167</v>
      </c>
    </row>
    <row r="130" spans="1:16" ht="41.45">
      <c r="A130" s="16" t="s">
        <v>1412</v>
      </c>
      <c r="B130" s="61" t="s">
        <v>466</v>
      </c>
      <c r="C130" s="61" t="s">
        <v>1641</v>
      </c>
      <c r="D130" s="61" t="s">
        <v>1446</v>
      </c>
      <c r="E130" s="62">
        <v>1</v>
      </c>
      <c r="F130" s="63"/>
      <c r="G130" s="61" t="s">
        <v>1446</v>
      </c>
      <c r="H130" s="61" t="s">
        <v>1441</v>
      </c>
      <c r="I130" s="61" t="s">
        <v>1642</v>
      </c>
      <c r="J130" s="64"/>
      <c r="K130" s="64" t="s">
        <v>167</v>
      </c>
      <c r="L130" s="64">
        <v>12100</v>
      </c>
      <c r="M130" s="64" t="s">
        <v>167</v>
      </c>
      <c r="N130" s="64" t="s">
        <v>167</v>
      </c>
      <c r="O130" s="64" t="s">
        <v>167</v>
      </c>
      <c r="P130" s="64" t="s">
        <v>167</v>
      </c>
    </row>
    <row r="131" spans="1:16" ht="41.45">
      <c r="A131" s="16" t="s">
        <v>1412</v>
      </c>
      <c r="B131" s="61" t="s">
        <v>466</v>
      </c>
      <c r="C131" s="61" t="s">
        <v>1641</v>
      </c>
      <c r="D131" s="61" t="s">
        <v>1473</v>
      </c>
      <c r="E131" s="62">
        <v>1</v>
      </c>
      <c r="F131" s="63"/>
      <c r="G131" s="61" t="s">
        <v>1455</v>
      </c>
      <c r="H131" s="61" t="s">
        <v>1441</v>
      </c>
      <c r="I131" s="61" t="s">
        <v>1642</v>
      </c>
      <c r="J131" s="64"/>
      <c r="K131" s="64">
        <v>3750</v>
      </c>
      <c r="L131" s="64">
        <v>3750</v>
      </c>
      <c r="M131" s="64">
        <v>3750</v>
      </c>
      <c r="N131" s="64">
        <v>3750</v>
      </c>
      <c r="O131" s="64">
        <v>3750</v>
      </c>
      <c r="P131" s="64" t="s">
        <v>167</v>
      </c>
    </row>
    <row r="132" spans="1:16">
      <c r="A132" s="16" t="s">
        <v>1412</v>
      </c>
      <c r="B132" s="61" t="s">
        <v>466</v>
      </c>
      <c r="C132" s="61" t="s">
        <v>1641</v>
      </c>
      <c r="D132" s="61" t="s">
        <v>1504</v>
      </c>
      <c r="E132" s="62">
        <v>1</v>
      </c>
      <c r="F132" s="63"/>
      <c r="G132" s="61" t="s">
        <v>1464</v>
      </c>
      <c r="H132" s="61" t="s">
        <v>1441</v>
      </c>
      <c r="I132" s="61" t="s">
        <v>1570</v>
      </c>
      <c r="J132" s="64" t="s">
        <v>167</v>
      </c>
      <c r="K132" s="64">
        <v>10000</v>
      </c>
      <c r="L132" s="64" t="s">
        <v>167</v>
      </c>
      <c r="M132" s="64" t="s">
        <v>167</v>
      </c>
      <c r="N132" s="64">
        <v>10000</v>
      </c>
      <c r="O132" s="64">
        <v>10000</v>
      </c>
      <c r="P132" s="64" t="s">
        <v>167</v>
      </c>
    </row>
    <row r="133" spans="1:16" ht="41.45">
      <c r="A133" s="16" t="s">
        <v>1412</v>
      </c>
      <c r="B133" s="61" t="s">
        <v>466</v>
      </c>
      <c r="C133" s="61" t="s">
        <v>1641</v>
      </c>
      <c r="D133" s="61" t="s">
        <v>1633</v>
      </c>
      <c r="E133" s="62">
        <v>1</v>
      </c>
      <c r="F133" s="63"/>
      <c r="G133" s="61" t="s">
        <v>1460</v>
      </c>
      <c r="H133" s="61" t="s">
        <v>1441</v>
      </c>
      <c r="I133" s="61" t="s">
        <v>1643</v>
      </c>
      <c r="J133" s="64"/>
      <c r="K133" s="64" t="s">
        <v>167</v>
      </c>
      <c r="L133" s="64">
        <v>22227</v>
      </c>
      <c r="M133" s="64" t="s">
        <v>167</v>
      </c>
      <c r="N133" s="64" t="s">
        <v>167</v>
      </c>
      <c r="O133" s="64" t="s">
        <v>167</v>
      </c>
      <c r="P133" s="64" t="s">
        <v>167</v>
      </c>
    </row>
    <row r="134" spans="1:16" ht="55.15">
      <c r="A134" s="16" t="s">
        <v>1412</v>
      </c>
      <c r="B134" s="61" t="s">
        <v>466</v>
      </c>
      <c r="C134" s="61" t="s">
        <v>1641</v>
      </c>
      <c r="D134" s="61" t="s">
        <v>104</v>
      </c>
      <c r="E134" s="62">
        <v>1</v>
      </c>
      <c r="F134" s="63"/>
      <c r="G134" s="61" t="s">
        <v>1460</v>
      </c>
      <c r="H134" s="61" t="s">
        <v>1441</v>
      </c>
      <c r="I134" s="61" t="s">
        <v>1644</v>
      </c>
      <c r="J134" s="64"/>
      <c r="K134" s="64" t="s">
        <v>167</v>
      </c>
      <c r="L134" s="64">
        <v>313000</v>
      </c>
      <c r="M134" s="64" t="s">
        <v>167</v>
      </c>
      <c r="N134" s="64" t="s">
        <v>167</v>
      </c>
      <c r="O134" s="64" t="s">
        <v>167</v>
      </c>
      <c r="P134" s="64" t="s">
        <v>167</v>
      </c>
    </row>
    <row r="135" spans="1:16">
      <c r="A135" s="16" t="s">
        <v>1412</v>
      </c>
      <c r="B135" s="61" t="s">
        <v>183</v>
      </c>
      <c r="C135" s="61" t="s">
        <v>180</v>
      </c>
      <c r="D135" s="61" t="s">
        <v>1438</v>
      </c>
      <c r="E135" s="62">
        <v>1</v>
      </c>
      <c r="F135" s="63"/>
      <c r="G135" s="61" t="s">
        <v>1438</v>
      </c>
      <c r="H135" s="61" t="s">
        <v>1441</v>
      </c>
      <c r="I135" s="61" t="s">
        <v>1596</v>
      </c>
      <c r="J135" s="64" t="s">
        <v>167</v>
      </c>
      <c r="K135" s="64" t="s">
        <v>167</v>
      </c>
      <c r="L135" s="64">
        <v>65650</v>
      </c>
      <c r="M135" s="64" t="s">
        <v>167</v>
      </c>
      <c r="N135" s="64">
        <v>308750</v>
      </c>
      <c r="O135" s="64" t="s">
        <v>167</v>
      </c>
      <c r="P135" s="64" t="s">
        <v>167</v>
      </c>
    </row>
    <row r="136" spans="1:16" ht="27.6">
      <c r="A136" s="16" t="s">
        <v>1412</v>
      </c>
      <c r="B136" s="61" t="s">
        <v>183</v>
      </c>
      <c r="C136" s="61" t="s">
        <v>180</v>
      </c>
      <c r="D136" s="61" t="s">
        <v>1473</v>
      </c>
      <c r="E136" s="62">
        <v>1</v>
      </c>
      <c r="F136" s="63"/>
      <c r="G136" s="61" t="s">
        <v>1455</v>
      </c>
      <c r="H136" s="61" t="s">
        <v>1441</v>
      </c>
      <c r="I136" s="61" t="s">
        <v>1645</v>
      </c>
      <c r="J136" s="64">
        <v>15000</v>
      </c>
      <c r="K136" s="64" t="s">
        <v>167</v>
      </c>
      <c r="L136" s="64" t="s">
        <v>167</v>
      </c>
      <c r="M136" s="64">
        <v>15000</v>
      </c>
      <c r="N136" s="64" t="s">
        <v>167</v>
      </c>
      <c r="O136" s="64" t="s">
        <v>167</v>
      </c>
      <c r="P136" s="64" t="s">
        <v>167</v>
      </c>
    </row>
    <row r="137" spans="1:16" ht="27.6">
      <c r="A137" s="16" t="s">
        <v>1412</v>
      </c>
      <c r="B137" s="61" t="s">
        <v>325</v>
      </c>
      <c r="C137" s="61" t="s">
        <v>682</v>
      </c>
      <c r="D137" s="61" t="s">
        <v>1445</v>
      </c>
      <c r="E137" s="62">
        <v>1</v>
      </c>
      <c r="F137" s="63"/>
      <c r="G137" s="61" t="s">
        <v>1446</v>
      </c>
      <c r="H137" s="61" t="s">
        <v>1441</v>
      </c>
      <c r="I137" s="61" t="s">
        <v>1646</v>
      </c>
      <c r="J137" s="64">
        <v>40000</v>
      </c>
      <c r="K137" s="64">
        <v>15000</v>
      </c>
      <c r="L137" s="64">
        <v>15000</v>
      </c>
      <c r="M137" s="64">
        <v>15000</v>
      </c>
      <c r="N137" s="64">
        <v>15000</v>
      </c>
      <c r="O137" s="64">
        <v>15000</v>
      </c>
      <c r="P137" s="64" t="s">
        <v>167</v>
      </c>
    </row>
    <row r="138" spans="1:16">
      <c r="A138" s="16" t="s">
        <v>1412</v>
      </c>
      <c r="B138" s="61" t="s">
        <v>325</v>
      </c>
      <c r="C138" s="61" t="s">
        <v>682</v>
      </c>
      <c r="D138" s="61" t="s">
        <v>1508</v>
      </c>
      <c r="E138" s="62">
        <v>1</v>
      </c>
      <c r="F138" s="63"/>
      <c r="G138" s="61" t="s">
        <v>1438</v>
      </c>
      <c r="H138" s="61" t="s">
        <v>1441</v>
      </c>
      <c r="I138" s="61" t="s">
        <v>1647</v>
      </c>
      <c r="J138" s="64" t="s">
        <v>167</v>
      </c>
      <c r="K138" s="64">
        <v>408750</v>
      </c>
      <c r="L138" s="64" t="s">
        <v>167</v>
      </c>
      <c r="M138" s="64">
        <v>385500</v>
      </c>
      <c r="N138" s="64" t="s">
        <v>167</v>
      </c>
      <c r="O138" s="64" t="s">
        <v>167</v>
      </c>
      <c r="P138" s="64" t="s">
        <v>167</v>
      </c>
    </row>
    <row r="139" spans="1:16" ht="41.45">
      <c r="A139" s="16" t="s">
        <v>1412</v>
      </c>
      <c r="B139" s="61" t="s">
        <v>325</v>
      </c>
      <c r="C139" s="61" t="s">
        <v>682</v>
      </c>
      <c r="D139" s="61" t="s">
        <v>1633</v>
      </c>
      <c r="E139" s="62">
        <v>1</v>
      </c>
      <c r="F139" s="63"/>
      <c r="G139" s="61" t="s">
        <v>1460</v>
      </c>
      <c r="H139" s="61" t="s">
        <v>1441</v>
      </c>
      <c r="I139" s="61" t="s">
        <v>1648</v>
      </c>
      <c r="J139" s="64">
        <v>52068</v>
      </c>
      <c r="K139" s="64" t="s">
        <v>167</v>
      </c>
      <c r="L139" s="64" t="s">
        <v>167</v>
      </c>
      <c r="M139" s="64" t="s">
        <v>167</v>
      </c>
      <c r="N139" s="64" t="s">
        <v>167</v>
      </c>
      <c r="O139" s="64" t="s">
        <v>167</v>
      </c>
      <c r="P139" s="64" t="s">
        <v>167</v>
      </c>
    </row>
    <row r="140" spans="1:16">
      <c r="A140" s="16" t="s">
        <v>1412</v>
      </c>
      <c r="B140" s="61" t="s">
        <v>325</v>
      </c>
      <c r="C140" s="61" t="s">
        <v>682</v>
      </c>
      <c r="D140" s="61" t="s">
        <v>104</v>
      </c>
      <c r="E140" s="62">
        <v>1</v>
      </c>
      <c r="F140" s="63"/>
      <c r="G140" s="61" t="s">
        <v>1460</v>
      </c>
      <c r="H140" s="61" t="s">
        <v>1441</v>
      </c>
      <c r="I140" s="61" t="s">
        <v>1649</v>
      </c>
      <c r="J140" s="64">
        <v>683768</v>
      </c>
      <c r="K140" s="64" t="s">
        <v>167</v>
      </c>
      <c r="L140" s="64" t="s">
        <v>167</v>
      </c>
      <c r="M140" s="64" t="s">
        <v>167</v>
      </c>
      <c r="N140" s="64" t="s">
        <v>167</v>
      </c>
      <c r="O140" s="64" t="s">
        <v>167</v>
      </c>
      <c r="P140" s="64" t="s">
        <v>167</v>
      </c>
    </row>
    <row r="141" spans="1:16" ht="41.45">
      <c r="A141" s="16" t="s">
        <v>1412</v>
      </c>
      <c r="B141" s="61" t="s">
        <v>250</v>
      </c>
      <c r="C141" s="61" t="s">
        <v>248</v>
      </c>
      <c r="D141" s="61" t="s">
        <v>1504</v>
      </c>
      <c r="E141" s="62">
        <v>1</v>
      </c>
      <c r="F141" s="63"/>
      <c r="G141" s="61" t="s">
        <v>1464</v>
      </c>
      <c r="H141" s="61" t="s">
        <v>1441</v>
      </c>
      <c r="I141" s="61" t="s">
        <v>1650</v>
      </c>
      <c r="J141" s="64">
        <v>45000</v>
      </c>
      <c r="K141" s="64" t="s">
        <v>167</v>
      </c>
      <c r="L141" s="64" t="s">
        <v>167</v>
      </c>
      <c r="M141" s="64" t="s">
        <v>167</v>
      </c>
      <c r="N141" s="64" t="s">
        <v>167</v>
      </c>
      <c r="O141" s="64" t="s">
        <v>167</v>
      </c>
      <c r="P141" s="64" t="s">
        <v>167</v>
      </c>
    </row>
    <row r="142" spans="1:16" ht="27.6">
      <c r="A142" s="16" t="s">
        <v>1412</v>
      </c>
      <c r="B142" s="61" t="s">
        <v>250</v>
      </c>
      <c r="C142" s="61" t="s">
        <v>248</v>
      </c>
      <c r="D142" s="61" t="s">
        <v>1633</v>
      </c>
      <c r="E142" s="62">
        <v>1</v>
      </c>
      <c r="F142" s="63"/>
      <c r="G142" s="61" t="s">
        <v>1460</v>
      </c>
      <c r="H142" s="61" t="s">
        <v>1441</v>
      </c>
      <c r="I142" s="61" t="s">
        <v>1570</v>
      </c>
      <c r="J142" s="64">
        <v>75899</v>
      </c>
      <c r="K142" s="64" t="s">
        <v>167</v>
      </c>
      <c r="L142" s="64" t="s">
        <v>167</v>
      </c>
      <c r="M142" s="64" t="s">
        <v>167</v>
      </c>
      <c r="N142" s="64" t="s">
        <v>167</v>
      </c>
      <c r="O142" s="64" t="s">
        <v>167</v>
      </c>
      <c r="P142" s="64" t="s">
        <v>167</v>
      </c>
    </row>
    <row r="143" spans="1:16">
      <c r="A143" s="16" t="s">
        <v>1412</v>
      </c>
      <c r="B143" s="61" t="s">
        <v>1651</v>
      </c>
      <c r="C143" s="61" t="s">
        <v>1652</v>
      </c>
      <c r="D143" s="61" t="s">
        <v>1508</v>
      </c>
      <c r="E143" s="62">
        <v>1</v>
      </c>
      <c r="F143" s="63"/>
      <c r="G143" s="61" t="s">
        <v>1438</v>
      </c>
      <c r="H143" s="61" t="s">
        <v>1441</v>
      </c>
      <c r="I143" s="61" t="s">
        <v>1596</v>
      </c>
      <c r="J143" s="64" t="s">
        <v>167</v>
      </c>
      <c r="K143" s="64" t="s">
        <v>167</v>
      </c>
      <c r="L143" s="64">
        <v>312000</v>
      </c>
      <c r="M143" s="64" t="s">
        <v>167</v>
      </c>
      <c r="N143" s="64" t="s">
        <v>167</v>
      </c>
      <c r="O143" s="64" t="s">
        <v>167</v>
      </c>
      <c r="P143" s="64" t="s">
        <v>167</v>
      </c>
    </row>
    <row r="144" spans="1:16" ht="27.6">
      <c r="A144" s="16" t="s">
        <v>1412</v>
      </c>
      <c r="B144" s="61" t="s">
        <v>1653</v>
      </c>
      <c r="C144" s="61" t="s">
        <v>1654</v>
      </c>
      <c r="D144" s="61" t="s">
        <v>1446</v>
      </c>
      <c r="E144" s="62">
        <v>1</v>
      </c>
      <c r="F144" s="63"/>
      <c r="G144" s="61" t="s">
        <v>1446</v>
      </c>
      <c r="H144" s="61" t="s">
        <v>1441</v>
      </c>
      <c r="I144" s="61" t="s">
        <v>1655</v>
      </c>
      <c r="J144" s="64">
        <v>25550</v>
      </c>
      <c r="K144" s="64" t="s">
        <v>167</v>
      </c>
      <c r="L144" s="64" t="s">
        <v>167</v>
      </c>
      <c r="M144" s="64" t="s">
        <v>167</v>
      </c>
      <c r="N144" s="64" t="s">
        <v>167</v>
      </c>
      <c r="O144" s="64" t="s">
        <v>167</v>
      </c>
      <c r="P144" s="64" t="s">
        <v>167</v>
      </c>
    </row>
    <row r="145" spans="1:16" ht="27.6">
      <c r="A145" s="16" t="s">
        <v>1412</v>
      </c>
      <c r="B145" s="61" t="s">
        <v>1653</v>
      </c>
      <c r="C145" s="61" t="s">
        <v>1654</v>
      </c>
      <c r="D145" s="61" t="s">
        <v>1473</v>
      </c>
      <c r="E145" s="62">
        <v>1</v>
      </c>
      <c r="F145" s="63"/>
      <c r="G145" s="61" t="s">
        <v>1455</v>
      </c>
      <c r="H145" s="61" t="s">
        <v>1441</v>
      </c>
      <c r="I145" s="61" t="s">
        <v>1656</v>
      </c>
      <c r="J145" s="64">
        <v>30000</v>
      </c>
      <c r="K145" s="64" t="s">
        <v>167</v>
      </c>
      <c r="L145" s="64">
        <v>30000</v>
      </c>
      <c r="M145" s="64">
        <v>30000</v>
      </c>
      <c r="N145" s="64" t="s">
        <v>167</v>
      </c>
      <c r="O145" s="64" t="s">
        <v>167</v>
      </c>
      <c r="P145" s="64" t="s">
        <v>167</v>
      </c>
    </row>
    <row r="146" spans="1:16" ht="27.6">
      <c r="A146" s="16" t="s">
        <v>1412</v>
      </c>
      <c r="B146" s="61" t="s">
        <v>1653</v>
      </c>
      <c r="C146" s="61" t="s">
        <v>1654</v>
      </c>
      <c r="D146" s="61" t="s">
        <v>1438</v>
      </c>
      <c r="E146" s="62">
        <v>1</v>
      </c>
      <c r="F146" s="63"/>
      <c r="G146" s="61" t="s">
        <v>1438</v>
      </c>
      <c r="H146" s="61" t="s">
        <v>1441</v>
      </c>
      <c r="I146" s="61" t="s">
        <v>1657</v>
      </c>
      <c r="J146" s="64">
        <v>250000</v>
      </c>
      <c r="K146" s="64" t="s">
        <v>167</v>
      </c>
      <c r="L146" s="64" t="s">
        <v>167</v>
      </c>
      <c r="M146" s="64" t="s">
        <v>167</v>
      </c>
      <c r="N146" s="64" t="s">
        <v>167</v>
      </c>
      <c r="O146" s="64" t="s">
        <v>167</v>
      </c>
      <c r="P146" s="64" t="s">
        <v>167</v>
      </c>
    </row>
    <row r="147" spans="1:16">
      <c r="A147" s="16" t="s">
        <v>1412</v>
      </c>
      <c r="B147" s="61" t="s">
        <v>484</v>
      </c>
      <c r="C147" s="61" t="s">
        <v>1658</v>
      </c>
      <c r="D147" s="61" t="s">
        <v>1508</v>
      </c>
      <c r="E147" s="62">
        <v>1</v>
      </c>
      <c r="F147" s="63"/>
      <c r="G147" s="61" t="s">
        <v>1438</v>
      </c>
      <c r="H147" s="61" t="s">
        <v>1441</v>
      </c>
      <c r="I147" s="61" t="s">
        <v>1570</v>
      </c>
      <c r="J147" s="64">
        <v>516000</v>
      </c>
      <c r="K147" s="64" t="s">
        <v>167</v>
      </c>
      <c r="L147" s="64" t="s">
        <v>167</v>
      </c>
      <c r="M147" s="64" t="s">
        <v>167</v>
      </c>
      <c r="N147" s="64" t="s">
        <v>167</v>
      </c>
      <c r="O147" s="64" t="s">
        <v>167</v>
      </c>
      <c r="P147" s="64" t="s">
        <v>167</v>
      </c>
    </row>
    <row r="148" spans="1:16" ht="27.6">
      <c r="A148" s="16" t="s">
        <v>1412</v>
      </c>
      <c r="B148" s="61" t="s">
        <v>484</v>
      </c>
      <c r="C148" s="61" t="s">
        <v>1658</v>
      </c>
      <c r="D148" s="61" t="s">
        <v>1633</v>
      </c>
      <c r="E148" s="62">
        <v>1</v>
      </c>
      <c r="F148" s="63"/>
      <c r="G148" s="61" t="s">
        <v>1460</v>
      </c>
      <c r="H148" s="61" t="s">
        <v>1441</v>
      </c>
      <c r="I148" s="61" t="s">
        <v>1570</v>
      </c>
      <c r="J148" s="64">
        <v>23932</v>
      </c>
      <c r="K148" s="64" t="s">
        <v>167</v>
      </c>
      <c r="L148" s="64" t="s">
        <v>167</v>
      </c>
      <c r="M148" s="64" t="s">
        <v>167</v>
      </c>
      <c r="N148" s="64" t="s">
        <v>167</v>
      </c>
      <c r="O148" s="64" t="s">
        <v>167</v>
      </c>
      <c r="P148" s="64" t="s">
        <v>167</v>
      </c>
    </row>
    <row r="149" spans="1:16" ht="27.6">
      <c r="A149" s="16" t="s">
        <v>1412</v>
      </c>
      <c r="B149" s="61" t="s">
        <v>1659</v>
      </c>
      <c r="C149" s="61" t="s">
        <v>1660</v>
      </c>
      <c r="D149" s="61" t="s">
        <v>1661</v>
      </c>
      <c r="E149" s="62">
        <v>1</v>
      </c>
      <c r="F149" s="63"/>
      <c r="G149" s="61" t="s">
        <v>1464</v>
      </c>
      <c r="H149" s="61" t="s">
        <v>1441</v>
      </c>
      <c r="I149" s="61" t="s">
        <v>1662</v>
      </c>
      <c r="J149" s="64">
        <v>18500</v>
      </c>
      <c r="K149" s="64" t="s">
        <v>167</v>
      </c>
      <c r="L149" s="64" t="s">
        <v>167</v>
      </c>
      <c r="M149" s="64" t="s">
        <v>167</v>
      </c>
      <c r="N149" s="64" t="s">
        <v>167</v>
      </c>
      <c r="O149" s="64" t="s">
        <v>167</v>
      </c>
      <c r="P149" s="64" t="s">
        <v>167</v>
      </c>
    </row>
    <row r="150" spans="1:16" ht="41.45">
      <c r="A150" s="16" t="s">
        <v>1412</v>
      </c>
      <c r="B150" s="61" t="s">
        <v>1659</v>
      </c>
      <c r="C150" s="61" t="s">
        <v>1660</v>
      </c>
      <c r="D150" s="61" t="s">
        <v>1532</v>
      </c>
      <c r="E150" s="62">
        <v>1</v>
      </c>
      <c r="F150" s="63"/>
      <c r="G150" s="61" t="s">
        <v>1455</v>
      </c>
      <c r="H150" s="61" t="s">
        <v>1441</v>
      </c>
      <c r="I150" s="61" t="s">
        <v>1663</v>
      </c>
      <c r="J150" s="64">
        <v>30000</v>
      </c>
      <c r="K150" s="64" t="s">
        <v>167</v>
      </c>
      <c r="L150" s="64" t="s">
        <v>167</v>
      </c>
      <c r="M150" s="64" t="s">
        <v>167</v>
      </c>
      <c r="N150" s="64" t="s">
        <v>167</v>
      </c>
      <c r="O150" s="64" t="s">
        <v>167</v>
      </c>
      <c r="P150" s="64" t="s">
        <v>167</v>
      </c>
    </row>
    <row r="151" spans="1:16" ht="27.6">
      <c r="A151" s="16" t="s">
        <v>1412</v>
      </c>
      <c r="B151" s="61" t="s">
        <v>1659</v>
      </c>
      <c r="C151" s="61" t="s">
        <v>1660</v>
      </c>
      <c r="D151" s="61" t="s">
        <v>1468</v>
      </c>
      <c r="E151" s="62">
        <v>1</v>
      </c>
      <c r="F151" s="63"/>
      <c r="G151" s="61" t="s">
        <v>1464</v>
      </c>
      <c r="H151" s="61" t="s">
        <v>1441</v>
      </c>
      <c r="I151" s="61" t="s">
        <v>1664</v>
      </c>
      <c r="J151" s="64">
        <v>50000</v>
      </c>
      <c r="K151" s="64" t="s">
        <v>167</v>
      </c>
      <c r="L151" s="64" t="s">
        <v>167</v>
      </c>
      <c r="M151" s="64" t="s">
        <v>167</v>
      </c>
      <c r="N151" s="64" t="s">
        <v>167</v>
      </c>
      <c r="O151" s="64" t="s">
        <v>167</v>
      </c>
      <c r="P151" s="64" t="s">
        <v>167</v>
      </c>
    </row>
    <row r="152" spans="1:16">
      <c r="A152" s="16" t="s">
        <v>1412</v>
      </c>
      <c r="B152" s="61" t="s">
        <v>1665</v>
      </c>
      <c r="C152" s="61" t="s">
        <v>1666</v>
      </c>
      <c r="D152" s="61" t="s">
        <v>1446</v>
      </c>
      <c r="E152" s="62">
        <v>1</v>
      </c>
      <c r="F152" s="63"/>
      <c r="G152" s="61" t="s">
        <v>1446</v>
      </c>
      <c r="H152" s="61" t="s">
        <v>1441</v>
      </c>
      <c r="I152" s="61" t="s">
        <v>1667</v>
      </c>
      <c r="J152" s="64">
        <v>52000</v>
      </c>
      <c r="K152" s="64">
        <v>52000</v>
      </c>
      <c r="L152" s="64" t="s">
        <v>167</v>
      </c>
      <c r="M152" s="64" t="s">
        <v>167</v>
      </c>
      <c r="N152" s="64" t="s">
        <v>167</v>
      </c>
      <c r="O152" s="64" t="s">
        <v>167</v>
      </c>
      <c r="P152" s="64" t="s">
        <v>167</v>
      </c>
    </row>
    <row r="153" spans="1:16" ht="69">
      <c r="A153" s="16" t="s">
        <v>1412</v>
      </c>
      <c r="B153" s="61" t="s">
        <v>1665</v>
      </c>
      <c r="C153" s="61" t="s">
        <v>1666</v>
      </c>
      <c r="D153" s="61" t="s">
        <v>1438</v>
      </c>
      <c r="E153" s="62">
        <v>1</v>
      </c>
      <c r="F153" s="63"/>
      <c r="G153" s="61" t="s">
        <v>1438</v>
      </c>
      <c r="H153" s="61" t="s">
        <v>1441</v>
      </c>
      <c r="I153" s="61" t="s">
        <v>1668</v>
      </c>
      <c r="J153" s="64">
        <v>373835</v>
      </c>
      <c r="K153" s="64"/>
      <c r="L153" s="64"/>
      <c r="M153" s="64"/>
      <c r="N153" s="64"/>
      <c r="O153" s="64" t="s">
        <v>167</v>
      </c>
      <c r="P153" s="64" t="s">
        <v>167</v>
      </c>
    </row>
    <row r="154" spans="1:16" ht="41.45">
      <c r="A154" s="16" t="s">
        <v>1412</v>
      </c>
      <c r="B154" s="61" t="s">
        <v>191</v>
      </c>
      <c r="C154" s="61" t="s">
        <v>188</v>
      </c>
      <c r="D154" s="61" t="s">
        <v>1446</v>
      </c>
      <c r="E154" s="62">
        <v>1</v>
      </c>
      <c r="F154" s="63"/>
      <c r="G154" s="61" t="s">
        <v>1446</v>
      </c>
      <c r="H154" s="61" t="s">
        <v>1441</v>
      </c>
      <c r="I154" s="61" t="s">
        <v>1669</v>
      </c>
      <c r="J154" s="64" t="s">
        <v>167</v>
      </c>
      <c r="K154" s="64" t="s">
        <v>167</v>
      </c>
      <c r="L154" s="64" t="s">
        <v>167</v>
      </c>
      <c r="M154" s="64">
        <v>58500</v>
      </c>
      <c r="N154" s="64" t="s">
        <v>167</v>
      </c>
      <c r="O154" s="64" t="s">
        <v>167</v>
      </c>
      <c r="P154" s="64" t="s">
        <v>167</v>
      </c>
    </row>
    <row r="155" spans="1:16" ht="41.45">
      <c r="A155" s="16" t="s">
        <v>1412</v>
      </c>
      <c r="B155" s="61" t="s">
        <v>191</v>
      </c>
      <c r="C155" s="61" t="s">
        <v>188</v>
      </c>
      <c r="D155" s="61" t="s">
        <v>1596</v>
      </c>
      <c r="E155" s="62">
        <v>1</v>
      </c>
      <c r="F155" s="63"/>
      <c r="G155" s="61" t="s">
        <v>1438</v>
      </c>
      <c r="H155" s="61" t="s">
        <v>1441</v>
      </c>
      <c r="I155" s="61" t="s">
        <v>1670</v>
      </c>
      <c r="J155" s="64">
        <v>18400</v>
      </c>
      <c r="K155" s="64" t="s">
        <v>167</v>
      </c>
      <c r="L155" s="64" t="s">
        <v>167</v>
      </c>
      <c r="M155" s="64" t="s">
        <v>167</v>
      </c>
      <c r="N155" s="64" t="s">
        <v>167</v>
      </c>
      <c r="O155" s="64" t="s">
        <v>167</v>
      </c>
      <c r="P155" s="64">
        <v>342000</v>
      </c>
    </row>
    <row r="156" spans="1:16" ht="27.6">
      <c r="A156" s="16" t="s">
        <v>1412</v>
      </c>
      <c r="B156" s="61" t="s">
        <v>725</v>
      </c>
      <c r="C156" s="61" t="s">
        <v>1671</v>
      </c>
      <c r="D156" s="61" t="s">
        <v>1633</v>
      </c>
      <c r="E156" s="62">
        <v>1</v>
      </c>
      <c r="F156" s="63"/>
      <c r="G156" s="61" t="s">
        <v>1460</v>
      </c>
      <c r="H156" s="61" t="s">
        <v>1441</v>
      </c>
      <c r="I156" s="61" t="s">
        <v>1672</v>
      </c>
      <c r="J156" s="64"/>
      <c r="K156" s="64">
        <v>75863</v>
      </c>
      <c r="L156" s="64" t="s">
        <v>167</v>
      </c>
      <c r="M156" s="64" t="s">
        <v>167</v>
      </c>
      <c r="N156" s="64" t="s">
        <v>167</v>
      </c>
      <c r="O156" s="64" t="s">
        <v>167</v>
      </c>
      <c r="P156" s="64" t="s">
        <v>167</v>
      </c>
    </row>
    <row r="157" spans="1:16" ht="27.6">
      <c r="A157" s="16" t="s">
        <v>1412</v>
      </c>
      <c r="B157" s="61" t="s">
        <v>302</v>
      </c>
      <c r="C157" s="61" t="s">
        <v>300</v>
      </c>
      <c r="D157" s="61" t="s">
        <v>1446</v>
      </c>
      <c r="E157" s="62">
        <v>1</v>
      </c>
      <c r="F157" s="63"/>
      <c r="G157" s="61" t="s">
        <v>1446</v>
      </c>
      <c r="H157" s="61" t="s">
        <v>1441</v>
      </c>
      <c r="I157" s="61" t="s">
        <v>1673</v>
      </c>
      <c r="J157" s="64" t="s">
        <v>167</v>
      </c>
      <c r="K157" s="64"/>
      <c r="L157" s="64">
        <v>3300</v>
      </c>
      <c r="M157" s="64">
        <v>3300</v>
      </c>
      <c r="N157" s="64">
        <v>3300</v>
      </c>
      <c r="O157" s="64" t="s">
        <v>167</v>
      </c>
      <c r="P157" s="64" t="s">
        <v>167</v>
      </c>
    </row>
    <row r="158" spans="1:16" ht="41.45">
      <c r="A158" s="16" t="s">
        <v>1412</v>
      </c>
      <c r="B158" s="61" t="s">
        <v>302</v>
      </c>
      <c r="C158" s="61" t="s">
        <v>300</v>
      </c>
      <c r="D158" s="61" t="s">
        <v>1674</v>
      </c>
      <c r="E158" s="62">
        <v>1</v>
      </c>
      <c r="F158" s="63"/>
      <c r="G158" s="61" t="s">
        <v>1464</v>
      </c>
      <c r="H158" s="61" t="s">
        <v>1441</v>
      </c>
      <c r="I158" s="61" t="s">
        <v>1675</v>
      </c>
      <c r="J158" s="64">
        <v>10000</v>
      </c>
      <c r="K158" s="64" t="s">
        <v>167</v>
      </c>
      <c r="L158" s="64" t="s">
        <v>167</v>
      </c>
      <c r="M158" s="64" t="s">
        <v>167</v>
      </c>
      <c r="N158" s="64" t="s">
        <v>167</v>
      </c>
      <c r="O158" s="64" t="s">
        <v>167</v>
      </c>
      <c r="P158" s="64" t="s">
        <v>167</v>
      </c>
    </row>
    <row r="159" spans="1:16" ht="27.6">
      <c r="A159" s="16" t="s">
        <v>1412</v>
      </c>
      <c r="B159" s="61" t="s">
        <v>302</v>
      </c>
      <c r="C159" s="61" t="s">
        <v>300</v>
      </c>
      <c r="D159" s="61" t="s">
        <v>1473</v>
      </c>
      <c r="E159" s="62">
        <v>1</v>
      </c>
      <c r="F159" s="63"/>
      <c r="G159" s="61" t="s">
        <v>1602</v>
      </c>
      <c r="H159" s="61" t="s">
        <v>1441</v>
      </c>
      <c r="I159" s="61" t="s">
        <v>1676</v>
      </c>
      <c r="J159" s="64">
        <v>135000</v>
      </c>
      <c r="K159" s="64" t="s">
        <v>167</v>
      </c>
      <c r="L159" s="64" t="s">
        <v>167</v>
      </c>
      <c r="M159" s="64" t="s">
        <v>167</v>
      </c>
      <c r="N159" s="64" t="s">
        <v>167</v>
      </c>
      <c r="O159" s="64" t="s">
        <v>167</v>
      </c>
      <c r="P159" s="64" t="s">
        <v>167</v>
      </c>
    </row>
    <row r="160" spans="1:16" ht="41.45">
      <c r="A160" s="16" t="s">
        <v>1412</v>
      </c>
      <c r="B160" s="61" t="s">
        <v>386</v>
      </c>
      <c r="C160" s="61" t="s">
        <v>695</v>
      </c>
      <c r="D160" s="61" t="s">
        <v>1661</v>
      </c>
      <c r="E160" s="62">
        <v>1</v>
      </c>
      <c r="F160" s="63"/>
      <c r="G160" s="61" t="s">
        <v>1464</v>
      </c>
      <c r="H160" s="61" t="s">
        <v>1441</v>
      </c>
      <c r="I160" s="61" t="s">
        <v>1677</v>
      </c>
      <c r="J160" s="64">
        <v>7500</v>
      </c>
      <c r="K160" s="64" t="s">
        <v>167</v>
      </c>
      <c r="L160" s="64" t="s">
        <v>167</v>
      </c>
      <c r="M160" s="64" t="s">
        <v>167</v>
      </c>
      <c r="N160" s="64" t="s">
        <v>167</v>
      </c>
      <c r="O160" s="64" t="s">
        <v>167</v>
      </c>
      <c r="P160" s="64" t="s">
        <v>167</v>
      </c>
    </row>
    <row r="161" spans="1:16" ht="27.6">
      <c r="A161" s="16" t="s">
        <v>1412</v>
      </c>
      <c r="B161" s="61" t="s">
        <v>386</v>
      </c>
      <c r="C161" s="61" t="s">
        <v>695</v>
      </c>
      <c r="D161" s="61" t="s">
        <v>1446</v>
      </c>
      <c r="E161" s="62">
        <v>1</v>
      </c>
      <c r="F161" s="63"/>
      <c r="G161" s="61" t="s">
        <v>1446</v>
      </c>
      <c r="H161" s="61" t="s">
        <v>1441</v>
      </c>
      <c r="I161" s="61" t="s">
        <v>1678</v>
      </c>
      <c r="J161" s="64" t="s">
        <v>167</v>
      </c>
      <c r="K161" s="64"/>
      <c r="L161" s="64">
        <v>3300</v>
      </c>
      <c r="M161" s="64">
        <v>3300</v>
      </c>
      <c r="N161" s="64">
        <v>3300</v>
      </c>
      <c r="O161" s="64" t="s">
        <v>167</v>
      </c>
      <c r="P161" s="64" t="s">
        <v>167</v>
      </c>
    </row>
    <row r="162" spans="1:16" ht="27.6">
      <c r="A162" s="16" t="s">
        <v>1412</v>
      </c>
      <c r="B162" s="61" t="s">
        <v>386</v>
      </c>
      <c r="C162" s="61" t="s">
        <v>695</v>
      </c>
      <c r="D162" s="61" t="s">
        <v>1454</v>
      </c>
      <c r="E162" s="62">
        <v>1</v>
      </c>
      <c r="F162" s="63"/>
      <c r="G162" s="61" t="s">
        <v>1455</v>
      </c>
      <c r="H162" s="61" t="s">
        <v>1441</v>
      </c>
      <c r="I162" s="61" t="s">
        <v>1679</v>
      </c>
      <c r="J162" s="64">
        <v>110000</v>
      </c>
      <c r="K162" s="64" t="s">
        <v>167</v>
      </c>
      <c r="L162" s="64" t="s">
        <v>167</v>
      </c>
      <c r="M162" s="64" t="s">
        <v>167</v>
      </c>
      <c r="N162" s="64" t="s">
        <v>167</v>
      </c>
      <c r="O162" s="64" t="s">
        <v>167</v>
      </c>
      <c r="P162" s="64" t="s">
        <v>167</v>
      </c>
    </row>
    <row r="163" spans="1:16" ht="27.6">
      <c r="A163" s="16" t="s">
        <v>1412</v>
      </c>
      <c r="B163" s="61" t="s">
        <v>1680</v>
      </c>
      <c r="C163" s="61" t="s">
        <v>1681</v>
      </c>
      <c r="D163" s="61" t="s">
        <v>1446</v>
      </c>
      <c r="E163" s="62">
        <v>1</v>
      </c>
      <c r="F163" s="63"/>
      <c r="G163" s="61" t="s">
        <v>1446</v>
      </c>
      <c r="H163" s="61" t="s">
        <v>1441</v>
      </c>
      <c r="I163" s="61" t="s">
        <v>1682</v>
      </c>
      <c r="J163" s="64">
        <v>10000</v>
      </c>
      <c r="K163" s="64" t="s">
        <v>167</v>
      </c>
      <c r="L163" s="64" t="s">
        <v>167</v>
      </c>
      <c r="M163" s="64" t="s">
        <v>167</v>
      </c>
      <c r="N163" s="64" t="s">
        <v>167</v>
      </c>
      <c r="O163" s="64" t="s">
        <v>167</v>
      </c>
      <c r="P163" s="64" t="s">
        <v>167</v>
      </c>
    </row>
    <row r="164" spans="1:16" ht="27.6">
      <c r="A164" s="16" t="s">
        <v>1412</v>
      </c>
      <c r="B164" s="61" t="s">
        <v>1680</v>
      </c>
      <c r="C164" s="61" t="s">
        <v>1681</v>
      </c>
      <c r="D164" s="61" t="s">
        <v>1532</v>
      </c>
      <c r="E164" s="62">
        <v>1</v>
      </c>
      <c r="F164" s="63"/>
      <c r="G164" s="61" t="s">
        <v>1455</v>
      </c>
      <c r="H164" s="61" t="s">
        <v>1441</v>
      </c>
      <c r="I164" s="61" t="s">
        <v>1516</v>
      </c>
      <c r="J164" s="64">
        <v>10000</v>
      </c>
      <c r="K164" s="64" t="s">
        <v>167</v>
      </c>
      <c r="L164" s="64">
        <v>50000</v>
      </c>
      <c r="M164" s="64" t="s">
        <v>167</v>
      </c>
      <c r="N164" s="64" t="s">
        <v>167</v>
      </c>
      <c r="O164" s="64" t="s">
        <v>167</v>
      </c>
      <c r="P164" s="64" t="s">
        <v>167</v>
      </c>
    </row>
    <row r="165" spans="1:16" ht="27.6">
      <c r="A165" s="16" t="s">
        <v>1412</v>
      </c>
      <c r="B165" s="61" t="s">
        <v>1680</v>
      </c>
      <c r="C165" s="61" t="s">
        <v>1681</v>
      </c>
      <c r="D165" s="61" t="s">
        <v>1438</v>
      </c>
      <c r="E165" s="62">
        <v>1</v>
      </c>
      <c r="F165" s="63"/>
      <c r="G165" s="61" t="s">
        <v>1438</v>
      </c>
      <c r="H165" s="61" t="s">
        <v>1441</v>
      </c>
      <c r="I165" s="61" t="s">
        <v>1683</v>
      </c>
      <c r="J165" s="64">
        <v>95000</v>
      </c>
      <c r="K165" s="64" t="s">
        <v>167</v>
      </c>
      <c r="L165" s="64" t="s">
        <v>167</v>
      </c>
      <c r="M165" s="64" t="s">
        <v>167</v>
      </c>
      <c r="N165" s="64">
        <v>210000</v>
      </c>
      <c r="O165" s="64" t="s">
        <v>167</v>
      </c>
      <c r="P165" s="64" t="s">
        <v>167</v>
      </c>
    </row>
    <row r="166" spans="1:16">
      <c r="A166" s="16" t="s">
        <v>1412</v>
      </c>
      <c r="B166" s="61" t="s">
        <v>1680</v>
      </c>
      <c r="C166" s="61" t="s">
        <v>1681</v>
      </c>
      <c r="D166" s="61" t="s">
        <v>1468</v>
      </c>
      <c r="E166" s="62">
        <v>1</v>
      </c>
      <c r="F166" s="63"/>
      <c r="G166" s="61" t="s">
        <v>1464</v>
      </c>
      <c r="H166" s="61" t="s">
        <v>1441</v>
      </c>
      <c r="I166" s="61" t="s">
        <v>1684</v>
      </c>
      <c r="J166" s="64" t="s">
        <v>167</v>
      </c>
      <c r="K166" s="64" t="s">
        <v>167</v>
      </c>
      <c r="L166" s="64" t="s">
        <v>167</v>
      </c>
      <c r="M166" s="64">
        <v>10000</v>
      </c>
      <c r="N166" s="64" t="s">
        <v>167</v>
      </c>
      <c r="O166" s="64" t="s">
        <v>167</v>
      </c>
      <c r="P166" s="64" t="s">
        <v>167</v>
      </c>
    </row>
    <row r="167" spans="1:16" ht="41.45">
      <c r="A167" s="16" t="s">
        <v>1412</v>
      </c>
      <c r="B167" s="61" t="s">
        <v>1685</v>
      </c>
      <c r="C167" s="61" t="s">
        <v>1686</v>
      </c>
      <c r="D167" s="61" t="s">
        <v>1508</v>
      </c>
      <c r="E167" s="62">
        <v>1</v>
      </c>
      <c r="F167" s="63"/>
      <c r="G167" s="61" t="s">
        <v>1438</v>
      </c>
      <c r="H167" s="61" t="s">
        <v>1441</v>
      </c>
      <c r="I167" s="61" t="s">
        <v>1687</v>
      </c>
      <c r="J167" s="64">
        <v>101900</v>
      </c>
      <c r="K167" s="64" t="s">
        <v>167</v>
      </c>
      <c r="L167" s="64">
        <v>356000</v>
      </c>
      <c r="M167" s="64" t="s">
        <v>167</v>
      </c>
      <c r="N167" s="64" t="s">
        <v>167</v>
      </c>
      <c r="O167" s="64" t="s">
        <v>167</v>
      </c>
      <c r="P167" s="64" t="s">
        <v>167</v>
      </c>
    </row>
    <row r="168" spans="1:16" ht="27.6">
      <c r="A168" s="16" t="s">
        <v>1412</v>
      </c>
      <c r="B168" s="61" t="s">
        <v>1685</v>
      </c>
      <c r="C168" s="61" t="s">
        <v>1686</v>
      </c>
      <c r="D168" s="61" t="s">
        <v>1633</v>
      </c>
      <c r="E168" s="62">
        <v>1</v>
      </c>
      <c r="F168" s="63"/>
      <c r="G168" s="61" t="s">
        <v>1460</v>
      </c>
      <c r="H168" s="61" t="s">
        <v>1441</v>
      </c>
      <c r="I168" s="61" t="s">
        <v>1688</v>
      </c>
      <c r="J168" s="64">
        <v>75400</v>
      </c>
      <c r="K168" s="64" t="s">
        <v>167</v>
      </c>
      <c r="L168" s="64" t="s">
        <v>167</v>
      </c>
      <c r="M168" s="64" t="s">
        <v>167</v>
      </c>
      <c r="N168" s="64" t="s">
        <v>167</v>
      </c>
      <c r="O168" s="64" t="s">
        <v>167</v>
      </c>
      <c r="P168" s="64" t="s">
        <v>167</v>
      </c>
    </row>
    <row r="169" spans="1:16" ht="55.15">
      <c r="A169" s="16" t="s">
        <v>1412</v>
      </c>
      <c r="B169" s="61" t="s">
        <v>1685</v>
      </c>
      <c r="C169" s="61" t="s">
        <v>1686</v>
      </c>
      <c r="D169" s="61" t="s">
        <v>1689</v>
      </c>
      <c r="E169" s="62">
        <v>1</v>
      </c>
      <c r="F169" s="63">
        <v>1</v>
      </c>
      <c r="G169" s="61" t="s">
        <v>1460</v>
      </c>
      <c r="H169" s="61" t="s">
        <v>1441</v>
      </c>
      <c r="I169" s="61" t="s">
        <v>1690</v>
      </c>
      <c r="J169" s="64">
        <v>13608</v>
      </c>
      <c r="K169" s="64" t="s">
        <v>167</v>
      </c>
      <c r="L169" s="64" t="s">
        <v>167</v>
      </c>
      <c r="M169" s="64" t="s">
        <v>167</v>
      </c>
      <c r="N169" s="64" t="s">
        <v>167</v>
      </c>
      <c r="O169" s="64" t="s">
        <v>167</v>
      </c>
      <c r="P169" s="64" t="s">
        <v>167</v>
      </c>
    </row>
    <row r="170" spans="1:16">
      <c r="A170" s="16" t="s">
        <v>1412</v>
      </c>
      <c r="B170" s="61" t="s">
        <v>1691</v>
      </c>
      <c r="C170" s="61" t="s">
        <v>1692</v>
      </c>
      <c r="D170" s="61" t="s">
        <v>1693</v>
      </c>
      <c r="E170" s="62">
        <v>1</v>
      </c>
      <c r="F170" s="63"/>
      <c r="G170" s="61" t="s">
        <v>1455</v>
      </c>
      <c r="H170" s="61" t="s">
        <v>1441</v>
      </c>
      <c r="I170" s="61" t="s">
        <v>1516</v>
      </c>
      <c r="J170" s="64" t="s">
        <v>167</v>
      </c>
      <c r="K170" s="64">
        <v>25000</v>
      </c>
      <c r="L170" s="64" t="s">
        <v>167</v>
      </c>
      <c r="M170" s="64" t="s">
        <v>167</v>
      </c>
      <c r="N170" s="64" t="s">
        <v>167</v>
      </c>
      <c r="O170" s="64" t="s">
        <v>167</v>
      </c>
      <c r="P170" s="64" t="s">
        <v>167</v>
      </c>
    </row>
    <row r="171" spans="1:16" ht="41.45">
      <c r="A171" s="16" t="s">
        <v>1412</v>
      </c>
      <c r="B171" s="61" t="s">
        <v>1691</v>
      </c>
      <c r="C171" s="61" t="s">
        <v>1692</v>
      </c>
      <c r="D171" s="61" t="s">
        <v>1694</v>
      </c>
      <c r="E171" s="62">
        <v>1</v>
      </c>
      <c r="F171" s="63"/>
      <c r="G171" s="61" t="s">
        <v>1455</v>
      </c>
      <c r="H171" s="61" t="s">
        <v>1441</v>
      </c>
      <c r="I171" s="61" t="s">
        <v>1516</v>
      </c>
      <c r="J171" s="64" t="s">
        <v>167</v>
      </c>
      <c r="K171" s="64">
        <v>5000</v>
      </c>
      <c r="L171" s="64" t="s">
        <v>167</v>
      </c>
      <c r="M171" s="64">
        <v>5000</v>
      </c>
      <c r="N171" s="64" t="s">
        <v>167</v>
      </c>
      <c r="O171" s="64" t="s">
        <v>167</v>
      </c>
      <c r="P171" s="64" t="s">
        <v>167</v>
      </c>
    </row>
    <row r="172" spans="1:16" ht="41.45">
      <c r="A172" s="16" t="s">
        <v>1412</v>
      </c>
      <c r="B172" s="61" t="s">
        <v>1691</v>
      </c>
      <c r="C172" s="61" t="s">
        <v>1692</v>
      </c>
      <c r="D172" s="61" t="s">
        <v>1695</v>
      </c>
      <c r="E172" s="62">
        <v>1</v>
      </c>
      <c r="F172" s="63"/>
      <c r="G172" s="61" t="s">
        <v>1438</v>
      </c>
      <c r="H172" s="61" t="s">
        <v>1441</v>
      </c>
      <c r="I172" s="61" t="s">
        <v>1682</v>
      </c>
      <c r="J172" s="64"/>
      <c r="K172" s="64"/>
      <c r="L172" s="64">
        <v>5000</v>
      </c>
      <c r="M172" s="64">
        <v>5000</v>
      </c>
      <c r="N172" s="64">
        <v>5000</v>
      </c>
      <c r="O172" s="64" t="s">
        <v>167</v>
      </c>
      <c r="P172" s="64" t="s">
        <v>167</v>
      </c>
    </row>
    <row r="173" spans="1:16" ht="27.6">
      <c r="A173" s="16" t="s">
        <v>1412</v>
      </c>
      <c r="B173" s="61" t="s">
        <v>1691</v>
      </c>
      <c r="C173" s="61" t="s">
        <v>1692</v>
      </c>
      <c r="D173" s="61" t="s">
        <v>1473</v>
      </c>
      <c r="E173" s="62">
        <v>1</v>
      </c>
      <c r="F173" s="63"/>
      <c r="G173" s="61" t="s">
        <v>1455</v>
      </c>
      <c r="H173" s="61" t="s">
        <v>1441</v>
      </c>
      <c r="I173" s="61" t="s">
        <v>1696</v>
      </c>
      <c r="J173" s="64"/>
      <c r="K173" s="64"/>
      <c r="L173" s="64" t="s">
        <v>167</v>
      </c>
      <c r="M173" s="64">
        <v>5000</v>
      </c>
      <c r="N173" s="64" t="s">
        <v>167</v>
      </c>
      <c r="O173" s="64">
        <v>5000</v>
      </c>
      <c r="P173" s="64" t="s">
        <v>167</v>
      </c>
    </row>
    <row r="174" spans="1:16" ht="27.6">
      <c r="A174" s="16" t="s">
        <v>1412</v>
      </c>
      <c r="B174" s="61" t="s">
        <v>1691</v>
      </c>
      <c r="C174" s="61" t="s">
        <v>1692</v>
      </c>
      <c r="D174" s="61" t="s">
        <v>1438</v>
      </c>
      <c r="E174" s="62">
        <v>1</v>
      </c>
      <c r="F174" s="63"/>
      <c r="G174" s="61" t="s">
        <v>1438</v>
      </c>
      <c r="H174" s="61" t="s">
        <v>1441</v>
      </c>
      <c r="I174" s="61" t="s">
        <v>1697</v>
      </c>
      <c r="J174" s="64"/>
      <c r="K174" s="64"/>
      <c r="L174" s="64">
        <v>5000</v>
      </c>
      <c r="M174" s="64">
        <v>5000</v>
      </c>
      <c r="N174" s="64">
        <v>5000</v>
      </c>
      <c r="O174" s="64">
        <v>5000</v>
      </c>
      <c r="P174" s="64" t="s">
        <v>167</v>
      </c>
    </row>
    <row r="175" spans="1:16" ht="27.6">
      <c r="A175" s="16" t="s">
        <v>1412</v>
      </c>
      <c r="B175" s="61" t="s">
        <v>1698</v>
      </c>
      <c r="C175" s="61" t="s">
        <v>1699</v>
      </c>
      <c r="D175" s="61" t="s">
        <v>1700</v>
      </c>
      <c r="E175" s="62">
        <v>1</v>
      </c>
      <c r="F175" s="63"/>
      <c r="G175" s="61" t="s">
        <v>1464</v>
      </c>
      <c r="H175" s="61" t="s">
        <v>1441</v>
      </c>
      <c r="I175" s="61" t="s">
        <v>1701</v>
      </c>
      <c r="J175" s="64">
        <v>10000</v>
      </c>
      <c r="K175" s="64" t="s">
        <v>167</v>
      </c>
      <c r="L175" s="64" t="s">
        <v>167</v>
      </c>
      <c r="M175" s="64" t="s">
        <v>167</v>
      </c>
      <c r="N175" s="64" t="s">
        <v>167</v>
      </c>
      <c r="O175" s="64" t="s">
        <v>167</v>
      </c>
      <c r="P175" s="64" t="s">
        <v>167</v>
      </c>
    </row>
    <row r="176" spans="1:16" ht="27.6">
      <c r="A176" s="16" t="s">
        <v>1412</v>
      </c>
      <c r="B176" s="61" t="s">
        <v>1698</v>
      </c>
      <c r="C176" s="61" t="s">
        <v>1699</v>
      </c>
      <c r="D176" s="61" t="s">
        <v>1473</v>
      </c>
      <c r="E176" s="62">
        <v>1</v>
      </c>
      <c r="F176" s="63"/>
      <c r="G176" s="61" t="s">
        <v>1602</v>
      </c>
      <c r="H176" s="61" t="s">
        <v>1441</v>
      </c>
      <c r="I176" s="61" t="s">
        <v>1628</v>
      </c>
      <c r="J176" s="64" t="s">
        <v>167</v>
      </c>
      <c r="K176" s="64">
        <v>75000</v>
      </c>
      <c r="L176" s="64" t="s">
        <v>167</v>
      </c>
      <c r="M176" s="64" t="s">
        <v>167</v>
      </c>
      <c r="N176" s="64" t="s">
        <v>167</v>
      </c>
      <c r="O176" s="64" t="s">
        <v>167</v>
      </c>
      <c r="P176" s="64" t="s">
        <v>167</v>
      </c>
    </row>
    <row r="177" spans="1:16">
      <c r="A177" s="16" t="s">
        <v>1412</v>
      </c>
      <c r="B177" s="61" t="s">
        <v>1698</v>
      </c>
      <c r="C177" s="61" t="s">
        <v>1699</v>
      </c>
      <c r="D177" s="61" t="s">
        <v>1468</v>
      </c>
      <c r="E177" s="62">
        <v>1</v>
      </c>
      <c r="F177" s="63"/>
      <c r="G177" s="61" t="s">
        <v>1464</v>
      </c>
      <c r="H177" s="61" t="s">
        <v>1441</v>
      </c>
      <c r="I177" s="61" t="s">
        <v>1702</v>
      </c>
      <c r="J177" s="64" t="s">
        <v>167</v>
      </c>
      <c r="K177" s="64">
        <v>4000</v>
      </c>
      <c r="L177" s="64" t="s">
        <v>167</v>
      </c>
      <c r="M177" s="64" t="s">
        <v>167</v>
      </c>
      <c r="N177" s="64" t="s">
        <v>167</v>
      </c>
      <c r="O177" s="64" t="s">
        <v>167</v>
      </c>
      <c r="P177" s="64" t="s">
        <v>167</v>
      </c>
    </row>
    <row r="178" spans="1:16">
      <c r="A178" s="16" t="s">
        <v>1412</v>
      </c>
      <c r="B178" s="61" t="s">
        <v>1703</v>
      </c>
      <c r="C178" s="61" t="s">
        <v>1704</v>
      </c>
      <c r="D178" s="61" t="s">
        <v>1438</v>
      </c>
      <c r="E178" s="62">
        <v>1</v>
      </c>
      <c r="F178" s="63"/>
      <c r="G178" s="61" t="s">
        <v>1438</v>
      </c>
      <c r="H178" s="61" t="s">
        <v>1441</v>
      </c>
      <c r="I178" s="61" t="s">
        <v>1596</v>
      </c>
      <c r="J178" s="64" t="s">
        <v>167</v>
      </c>
      <c r="K178" s="64">
        <v>175000</v>
      </c>
      <c r="L178" s="64" t="s">
        <v>167</v>
      </c>
      <c r="M178" s="64" t="s">
        <v>167</v>
      </c>
      <c r="N178" s="64" t="s">
        <v>167</v>
      </c>
      <c r="O178" s="64" t="s">
        <v>167</v>
      </c>
      <c r="P178" s="64" t="s">
        <v>167</v>
      </c>
    </row>
    <row r="179" spans="1:16">
      <c r="A179" s="16" t="s">
        <v>1412</v>
      </c>
      <c r="B179" s="61" t="s">
        <v>1703</v>
      </c>
      <c r="C179" s="61" t="s">
        <v>1704</v>
      </c>
      <c r="D179" s="61" t="s">
        <v>1446</v>
      </c>
      <c r="E179" s="62">
        <v>1</v>
      </c>
      <c r="F179" s="63"/>
      <c r="G179" s="61" t="s">
        <v>1446</v>
      </c>
      <c r="H179" s="61" t="s">
        <v>1441</v>
      </c>
      <c r="I179" s="61" t="s">
        <v>1705</v>
      </c>
      <c r="J179" s="64" t="s">
        <v>167</v>
      </c>
      <c r="K179" s="64">
        <v>45000</v>
      </c>
      <c r="L179" s="64" t="s">
        <v>167</v>
      </c>
      <c r="M179" s="64" t="s">
        <v>167</v>
      </c>
      <c r="N179" s="64" t="s">
        <v>167</v>
      </c>
      <c r="O179" s="64" t="s">
        <v>167</v>
      </c>
      <c r="P179" s="64" t="s">
        <v>167</v>
      </c>
    </row>
    <row r="180" spans="1:16" ht="27.6">
      <c r="A180" s="16" t="s">
        <v>1412</v>
      </c>
      <c r="B180" s="61" t="s">
        <v>1706</v>
      </c>
      <c r="C180" s="61" t="s">
        <v>1707</v>
      </c>
      <c r="D180" s="61" t="s">
        <v>1446</v>
      </c>
      <c r="E180" s="62">
        <v>1</v>
      </c>
      <c r="F180" s="63"/>
      <c r="G180" s="61" t="s">
        <v>1446</v>
      </c>
      <c r="H180" s="61" t="s">
        <v>1441</v>
      </c>
      <c r="I180" s="61" t="s">
        <v>1655</v>
      </c>
      <c r="J180" s="64">
        <v>10000</v>
      </c>
      <c r="K180" s="64">
        <v>5000</v>
      </c>
      <c r="L180" s="64" t="s">
        <v>167</v>
      </c>
      <c r="M180" s="64">
        <v>5000</v>
      </c>
      <c r="N180" s="64" t="s">
        <v>167</v>
      </c>
      <c r="O180" s="64" t="s">
        <v>167</v>
      </c>
      <c r="P180" s="64" t="s">
        <v>167</v>
      </c>
    </row>
    <row r="181" spans="1:16" ht="27.6">
      <c r="A181" s="16" t="s">
        <v>1412</v>
      </c>
      <c r="B181" s="61" t="s">
        <v>1706</v>
      </c>
      <c r="C181" s="61" t="s">
        <v>1707</v>
      </c>
      <c r="D181" s="61" t="s">
        <v>1473</v>
      </c>
      <c r="E181" s="62">
        <v>1</v>
      </c>
      <c r="F181" s="63"/>
      <c r="G181" s="61" t="s">
        <v>1602</v>
      </c>
      <c r="H181" s="61" t="s">
        <v>1441</v>
      </c>
      <c r="I181" s="61" t="s">
        <v>1628</v>
      </c>
      <c r="J181" s="64" t="s">
        <v>167</v>
      </c>
      <c r="K181" s="64" t="s">
        <v>167</v>
      </c>
      <c r="L181" s="64">
        <v>35000</v>
      </c>
      <c r="M181" s="64" t="s">
        <v>167</v>
      </c>
      <c r="N181" s="64" t="s">
        <v>167</v>
      </c>
      <c r="O181" s="64" t="s">
        <v>167</v>
      </c>
      <c r="P181" s="64" t="s">
        <v>167</v>
      </c>
    </row>
    <row r="182" spans="1:16" ht="27.6">
      <c r="A182" s="16" t="s">
        <v>1412</v>
      </c>
      <c r="B182" s="61" t="s">
        <v>1706</v>
      </c>
      <c r="C182" s="61" t="s">
        <v>1707</v>
      </c>
      <c r="D182" s="61" t="s">
        <v>1438</v>
      </c>
      <c r="E182" s="62">
        <v>1</v>
      </c>
      <c r="F182" s="63"/>
      <c r="G182" s="61" t="s">
        <v>1438</v>
      </c>
      <c r="H182" s="61" t="s">
        <v>1441</v>
      </c>
      <c r="I182" s="61" t="s">
        <v>1708</v>
      </c>
      <c r="J182" s="64"/>
      <c r="K182" s="64"/>
      <c r="L182" s="64">
        <v>1200</v>
      </c>
      <c r="M182" s="64">
        <v>1200</v>
      </c>
      <c r="N182" s="64">
        <v>1200</v>
      </c>
      <c r="O182" s="64" t="s">
        <v>167</v>
      </c>
      <c r="P182" s="64" t="s">
        <v>167</v>
      </c>
    </row>
    <row r="183" spans="1:16" ht="27.6">
      <c r="A183" s="16" t="s">
        <v>1412</v>
      </c>
      <c r="B183" s="61" t="s">
        <v>1709</v>
      </c>
      <c r="C183" s="61" t="s">
        <v>1710</v>
      </c>
      <c r="D183" s="61" t="s">
        <v>1446</v>
      </c>
      <c r="E183" s="62">
        <v>1</v>
      </c>
      <c r="F183" s="63"/>
      <c r="G183" s="61" t="s">
        <v>1446</v>
      </c>
      <c r="H183" s="61" t="s">
        <v>1441</v>
      </c>
      <c r="I183" s="61" t="s">
        <v>1711</v>
      </c>
      <c r="J183" s="64">
        <v>10000</v>
      </c>
      <c r="K183" s="64" t="s">
        <v>167</v>
      </c>
      <c r="L183" s="64" t="s">
        <v>167</v>
      </c>
      <c r="M183" s="64" t="s">
        <v>167</v>
      </c>
      <c r="N183" s="64" t="s">
        <v>167</v>
      </c>
      <c r="O183" s="64" t="s">
        <v>167</v>
      </c>
      <c r="P183" s="64" t="s">
        <v>167</v>
      </c>
    </row>
    <row r="184" spans="1:16">
      <c r="A184" s="16" t="s">
        <v>1412</v>
      </c>
      <c r="B184" s="61" t="s">
        <v>1709</v>
      </c>
      <c r="C184" s="61" t="s">
        <v>1710</v>
      </c>
      <c r="D184" s="61" t="s">
        <v>1438</v>
      </c>
      <c r="E184" s="62">
        <v>1</v>
      </c>
      <c r="F184" s="63"/>
      <c r="G184" s="61" t="s">
        <v>1438</v>
      </c>
      <c r="H184" s="61" t="s">
        <v>1441</v>
      </c>
      <c r="I184" s="61" t="s">
        <v>1475</v>
      </c>
      <c r="J184" s="64">
        <v>2000</v>
      </c>
      <c r="K184" s="64" t="s">
        <v>167</v>
      </c>
      <c r="L184" s="64" t="s">
        <v>167</v>
      </c>
      <c r="M184" s="64" t="s">
        <v>167</v>
      </c>
      <c r="N184" s="64" t="s">
        <v>167</v>
      </c>
      <c r="O184" s="64" t="s">
        <v>167</v>
      </c>
      <c r="P184" s="64" t="s">
        <v>167</v>
      </c>
    </row>
    <row r="185" spans="1:16" ht="41.45">
      <c r="A185" s="16" t="s">
        <v>1412</v>
      </c>
      <c r="B185" s="61" t="s">
        <v>403</v>
      </c>
      <c r="C185" s="61" t="s">
        <v>401</v>
      </c>
      <c r="D185" s="61" t="s">
        <v>1446</v>
      </c>
      <c r="E185" s="62">
        <v>1</v>
      </c>
      <c r="F185" s="63"/>
      <c r="G185" s="61" t="s">
        <v>1446</v>
      </c>
      <c r="H185" s="61" t="s">
        <v>1441</v>
      </c>
      <c r="I185" s="61" t="s">
        <v>1712</v>
      </c>
      <c r="J185" s="64">
        <v>5000</v>
      </c>
      <c r="K185" s="64">
        <v>20000</v>
      </c>
      <c r="L185" s="64">
        <v>5000</v>
      </c>
      <c r="M185" s="64">
        <v>5000</v>
      </c>
      <c r="N185" s="64">
        <v>5000</v>
      </c>
      <c r="O185" s="64">
        <v>5000</v>
      </c>
      <c r="P185" s="64">
        <v>5000</v>
      </c>
    </row>
    <row r="186" spans="1:16" ht="27.6">
      <c r="A186" s="16" t="s">
        <v>1412</v>
      </c>
      <c r="B186" s="61" t="s">
        <v>403</v>
      </c>
      <c r="C186" s="61" t="s">
        <v>401</v>
      </c>
      <c r="D186" s="61" t="s">
        <v>1532</v>
      </c>
      <c r="E186" s="62">
        <v>1</v>
      </c>
      <c r="F186" s="63"/>
      <c r="G186" s="61" t="s">
        <v>1455</v>
      </c>
      <c r="H186" s="61" t="s">
        <v>1441</v>
      </c>
      <c r="I186" s="61" t="s">
        <v>1713</v>
      </c>
      <c r="J186" s="64">
        <v>15000</v>
      </c>
      <c r="K186" s="64" t="s">
        <v>167</v>
      </c>
      <c r="L186" s="64">
        <v>10000</v>
      </c>
      <c r="M186" s="64" t="s">
        <v>167</v>
      </c>
      <c r="N186" s="64" t="s">
        <v>167</v>
      </c>
      <c r="O186" s="64" t="s">
        <v>167</v>
      </c>
      <c r="P186" s="64" t="s">
        <v>167</v>
      </c>
    </row>
    <row r="187" spans="1:16" ht="27.6">
      <c r="A187" s="16" t="s">
        <v>1412</v>
      </c>
      <c r="B187" s="61" t="s">
        <v>403</v>
      </c>
      <c r="C187" s="61" t="s">
        <v>401</v>
      </c>
      <c r="D187" s="61" t="s">
        <v>1508</v>
      </c>
      <c r="E187" s="62">
        <v>1</v>
      </c>
      <c r="F187" s="63"/>
      <c r="G187" s="61" t="s">
        <v>1438</v>
      </c>
      <c r="H187" s="61" t="s">
        <v>1441</v>
      </c>
      <c r="I187" s="61" t="s">
        <v>1714</v>
      </c>
      <c r="J187" s="64" t="s">
        <v>167</v>
      </c>
      <c r="K187" s="64">
        <v>257250</v>
      </c>
      <c r="L187" s="64" t="s">
        <v>167</v>
      </c>
      <c r="M187" s="64" t="s">
        <v>167</v>
      </c>
      <c r="N187" s="64" t="s">
        <v>167</v>
      </c>
      <c r="O187" s="64" t="s">
        <v>167</v>
      </c>
      <c r="P187" s="64" t="s">
        <v>167</v>
      </c>
    </row>
    <row r="188" spans="1:16" ht="27.6">
      <c r="A188" s="16" t="s">
        <v>1412</v>
      </c>
      <c r="B188" s="61" t="s">
        <v>479</v>
      </c>
      <c r="C188" s="61" t="s">
        <v>1715</v>
      </c>
      <c r="D188" s="61" t="s">
        <v>1446</v>
      </c>
      <c r="E188" s="62">
        <v>1</v>
      </c>
      <c r="F188" s="63"/>
      <c r="G188" s="61" t="s">
        <v>1446</v>
      </c>
      <c r="H188" s="61" t="s">
        <v>1441</v>
      </c>
      <c r="I188" s="61" t="s">
        <v>1716</v>
      </c>
      <c r="J188" s="64">
        <v>37500</v>
      </c>
      <c r="K188" s="64" t="s">
        <v>167</v>
      </c>
      <c r="L188" s="64" t="s">
        <v>167</v>
      </c>
      <c r="M188" s="64" t="s">
        <v>167</v>
      </c>
      <c r="N188" s="64" t="s">
        <v>167</v>
      </c>
      <c r="O188" s="64" t="s">
        <v>167</v>
      </c>
      <c r="P188" s="64" t="s">
        <v>167</v>
      </c>
    </row>
    <row r="189" spans="1:16" ht="27.6">
      <c r="A189" s="16" t="s">
        <v>1412</v>
      </c>
      <c r="B189" s="61" t="s">
        <v>479</v>
      </c>
      <c r="C189" s="61" t="s">
        <v>1715</v>
      </c>
      <c r="D189" s="61" t="s">
        <v>1473</v>
      </c>
      <c r="E189" s="62">
        <v>1</v>
      </c>
      <c r="F189" s="63"/>
      <c r="G189" s="61" t="s">
        <v>1455</v>
      </c>
      <c r="H189" s="61" t="s">
        <v>1441</v>
      </c>
      <c r="I189" s="61" t="s">
        <v>1717</v>
      </c>
      <c r="J189" s="64">
        <v>17763</v>
      </c>
      <c r="K189" s="64" t="s">
        <v>167</v>
      </c>
      <c r="L189" s="64" t="s">
        <v>167</v>
      </c>
      <c r="M189" s="64" t="s">
        <v>167</v>
      </c>
      <c r="N189" s="64" t="s">
        <v>167</v>
      </c>
      <c r="O189" s="64" t="s">
        <v>167</v>
      </c>
      <c r="P189" s="64" t="s">
        <v>167</v>
      </c>
    </row>
    <row r="190" spans="1:16" ht="41.45">
      <c r="A190" s="16" t="s">
        <v>1412</v>
      </c>
      <c r="B190" s="61" t="s">
        <v>479</v>
      </c>
      <c r="C190" s="61" t="s">
        <v>1715</v>
      </c>
      <c r="D190" s="61" t="s">
        <v>1608</v>
      </c>
      <c r="E190" s="62">
        <v>1</v>
      </c>
      <c r="F190" s="63"/>
      <c r="G190" s="61" t="s">
        <v>1438</v>
      </c>
      <c r="H190" s="61" t="s">
        <v>1441</v>
      </c>
      <c r="I190" s="61" t="s">
        <v>1448</v>
      </c>
      <c r="J190" s="64">
        <v>105000</v>
      </c>
      <c r="K190" s="64" t="s">
        <v>167</v>
      </c>
      <c r="L190" s="64" t="s">
        <v>167</v>
      </c>
      <c r="M190" s="64" t="s">
        <v>167</v>
      </c>
      <c r="N190" s="64" t="s">
        <v>167</v>
      </c>
      <c r="O190" s="64" t="s">
        <v>167</v>
      </c>
      <c r="P190" s="64" t="s">
        <v>167</v>
      </c>
    </row>
    <row r="191" spans="1:16" ht="27.6">
      <c r="A191" s="16" t="s">
        <v>1412</v>
      </c>
      <c r="B191" s="61" t="s">
        <v>479</v>
      </c>
      <c r="C191" s="61" t="s">
        <v>1715</v>
      </c>
      <c r="D191" s="61" t="s">
        <v>1520</v>
      </c>
      <c r="E191" s="62">
        <v>1</v>
      </c>
      <c r="F191" s="63"/>
      <c r="G191" s="61" t="s">
        <v>1464</v>
      </c>
      <c r="H191" s="61" t="s">
        <v>1441</v>
      </c>
      <c r="I191" s="61" t="s">
        <v>1718</v>
      </c>
      <c r="J191" s="64">
        <v>6000</v>
      </c>
      <c r="K191" s="64" t="s">
        <v>167</v>
      </c>
      <c r="L191" s="64" t="s">
        <v>167</v>
      </c>
      <c r="M191" s="64" t="s">
        <v>167</v>
      </c>
      <c r="N191" s="64" t="s">
        <v>167</v>
      </c>
      <c r="O191" s="64" t="s">
        <v>167</v>
      </c>
      <c r="P191" s="64" t="s">
        <v>167</v>
      </c>
    </row>
    <row r="192" spans="1:16" ht="27.6">
      <c r="A192" s="16" t="s">
        <v>1412</v>
      </c>
      <c r="B192" s="61" t="s">
        <v>479</v>
      </c>
      <c r="C192" s="61" t="s">
        <v>1715</v>
      </c>
      <c r="D192" s="61" t="s">
        <v>1719</v>
      </c>
      <c r="E192" s="62">
        <v>1</v>
      </c>
      <c r="F192" s="63"/>
      <c r="G192" s="61" t="s">
        <v>1464</v>
      </c>
      <c r="H192" s="61" t="s">
        <v>1441</v>
      </c>
      <c r="I192" s="61" t="s">
        <v>1720</v>
      </c>
      <c r="J192" s="64">
        <v>30000</v>
      </c>
      <c r="K192" s="64" t="s">
        <v>167</v>
      </c>
      <c r="L192" s="64" t="s">
        <v>167</v>
      </c>
      <c r="M192" s="64" t="s">
        <v>167</v>
      </c>
      <c r="N192" s="64" t="s">
        <v>167</v>
      </c>
      <c r="O192" s="64" t="s">
        <v>167</v>
      </c>
      <c r="P192" s="64" t="s">
        <v>167</v>
      </c>
    </row>
    <row r="193" spans="1:16" ht="55.15">
      <c r="A193" s="16" t="s">
        <v>1412</v>
      </c>
      <c r="B193" s="61" t="s">
        <v>1721</v>
      </c>
      <c r="C193" s="61" t="s">
        <v>1722</v>
      </c>
      <c r="D193" s="61" t="s">
        <v>1608</v>
      </c>
      <c r="E193" s="62">
        <v>1</v>
      </c>
      <c r="F193" s="63"/>
      <c r="G193" s="61" t="s">
        <v>1438</v>
      </c>
      <c r="H193" s="61" t="s">
        <v>1441</v>
      </c>
      <c r="I193" s="61" t="s">
        <v>1723</v>
      </c>
      <c r="J193" s="64">
        <v>185000</v>
      </c>
      <c r="K193" s="64" t="s">
        <v>167</v>
      </c>
      <c r="L193" s="64" t="s">
        <v>167</v>
      </c>
      <c r="M193" s="64" t="s">
        <v>167</v>
      </c>
      <c r="N193" s="64" t="s">
        <v>167</v>
      </c>
      <c r="O193" s="64" t="s">
        <v>167</v>
      </c>
      <c r="P193" s="64" t="s">
        <v>167</v>
      </c>
    </row>
    <row r="194" spans="1:16" ht="27.6">
      <c r="A194" s="16" t="s">
        <v>1412</v>
      </c>
      <c r="B194" s="61" t="s">
        <v>1721</v>
      </c>
      <c r="C194" s="61" t="s">
        <v>1722</v>
      </c>
      <c r="D194" s="61" t="s">
        <v>1532</v>
      </c>
      <c r="E194" s="62">
        <v>1</v>
      </c>
      <c r="F194" s="63"/>
      <c r="G194" s="61" t="s">
        <v>1455</v>
      </c>
      <c r="H194" s="61" t="s">
        <v>1441</v>
      </c>
      <c r="I194" s="61" t="s">
        <v>1724</v>
      </c>
      <c r="J194" s="64" t="s">
        <v>167</v>
      </c>
      <c r="K194" s="64">
        <v>75000</v>
      </c>
      <c r="L194" s="64" t="s">
        <v>167</v>
      </c>
      <c r="M194" s="64" t="s">
        <v>167</v>
      </c>
      <c r="N194" s="64" t="s">
        <v>167</v>
      </c>
      <c r="O194" s="64" t="s">
        <v>167</v>
      </c>
      <c r="P194" s="64" t="s">
        <v>167</v>
      </c>
    </row>
    <row r="195" spans="1:16" ht="41.45">
      <c r="A195" s="16" t="s">
        <v>1412</v>
      </c>
      <c r="B195" s="61" t="s">
        <v>1721</v>
      </c>
      <c r="C195" s="61" t="s">
        <v>1722</v>
      </c>
      <c r="D195" s="61" t="s">
        <v>1725</v>
      </c>
      <c r="E195" s="62">
        <v>1</v>
      </c>
      <c r="F195" s="63"/>
      <c r="G195" s="61" t="s">
        <v>1464</v>
      </c>
      <c r="H195" s="61" t="s">
        <v>1441</v>
      </c>
      <c r="I195" s="61" t="s">
        <v>1726</v>
      </c>
      <c r="J195" s="64">
        <v>25000</v>
      </c>
      <c r="K195" s="64" t="s">
        <v>167</v>
      </c>
      <c r="L195" s="64" t="s">
        <v>167</v>
      </c>
      <c r="M195" s="64" t="s">
        <v>167</v>
      </c>
      <c r="N195" s="64">
        <v>45938</v>
      </c>
      <c r="O195" s="64" t="s">
        <v>167</v>
      </c>
      <c r="P195" s="64" t="s">
        <v>167</v>
      </c>
    </row>
    <row r="196" spans="1:16" ht="27.6">
      <c r="A196" s="16" t="s">
        <v>1412</v>
      </c>
      <c r="B196" s="61" t="s">
        <v>340</v>
      </c>
      <c r="C196" s="61" t="s">
        <v>1727</v>
      </c>
      <c r="D196" s="61" t="s">
        <v>1473</v>
      </c>
      <c r="E196" s="62">
        <v>1</v>
      </c>
      <c r="F196" s="63"/>
      <c r="G196" s="61" t="s">
        <v>1602</v>
      </c>
      <c r="H196" s="61" t="s">
        <v>1441</v>
      </c>
      <c r="I196" s="61" t="s">
        <v>1728</v>
      </c>
      <c r="J196" s="64">
        <v>55000</v>
      </c>
      <c r="K196" s="64" t="s">
        <v>167</v>
      </c>
      <c r="L196" s="64" t="s">
        <v>167</v>
      </c>
      <c r="M196" s="64" t="s">
        <v>167</v>
      </c>
      <c r="N196" s="64" t="s">
        <v>167</v>
      </c>
      <c r="O196" s="64" t="s">
        <v>167</v>
      </c>
      <c r="P196" s="64" t="s">
        <v>167</v>
      </c>
    </row>
    <row r="197" spans="1:16">
      <c r="A197" s="16" t="s">
        <v>1412</v>
      </c>
      <c r="B197" s="61" t="s">
        <v>340</v>
      </c>
      <c r="C197" s="61" t="s">
        <v>1727</v>
      </c>
      <c r="D197" s="61" t="s">
        <v>1729</v>
      </c>
      <c r="E197" s="62">
        <v>1</v>
      </c>
      <c r="F197" s="63"/>
      <c r="G197" s="61" t="s">
        <v>1460</v>
      </c>
      <c r="H197" s="61" t="s">
        <v>1441</v>
      </c>
      <c r="I197" s="61" t="s">
        <v>1730</v>
      </c>
      <c r="J197" s="64">
        <v>20000</v>
      </c>
      <c r="K197" s="64" t="s">
        <v>167</v>
      </c>
      <c r="L197" s="64" t="s">
        <v>167</v>
      </c>
      <c r="M197" s="64" t="s">
        <v>167</v>
      </c>
      <c r="N197" s="64" t="s">
        <v>167</v>
      </c>
      <c r="O197" s="64" t="s">
        <v>167</v>
      </c>
      <c r="P197" s="64" t="s">
        <v>167</v>
      </c>
    </row>
    <row r="198" spans="1:16" ht="27.6">
      <c r="A198" s="16" t="s">
        <v>1412</v>
      </c>
      <c r="B198" s="61" t="s">
        <v>240</v>
      </c>
      <c r="C198" s="61" t="s">
        <v>1731</v>
      </c>
      <c r="D198" s="61" t="s">
        <v>1473</v>
      </c>
      <c r="E198" s="62">
        <v>1</v>
      </c>
      <c r="F198" s="63"/>
      <c r="G198" s="61" t="s">
        <v>1602</v>
      </c>
      <c r="H198" s="61" t="s">
        <v>1441</v>
      </c>
      <c r="I198" s="61" t="s">
        <v>1728</v>
      </c>
      <c r="J198" s="64">
        <v>55000</v>
      </c>
      <c r="K198" s="64" t="s">
        <v>167</v>
      </c>
      <c r="L198" s="64" t="s">
        <v>167</v>
      </c>
      <c r="M198" s="64" t="s">
        <v>167</v>
      </c>
      <c r="N198" s="64" t="s">
        <v>167</v>
      </c>
      <c r="O198" s="64" t="s">
        <v>167</v>
      </c>
      <c r="P198" s="64" t="s">
        <v>167</v>
      </c>
    </row>
    <row r="199" spans="1:16">
      <c r="A199" s="16" t="s">
        <v>1412</v>
      </c>
      <c r="B199" s="61" t="s">
        <v>240</v>
      </c>
      <c r="C199" s="61" t="s">
        <v>1731</v>
      </c>
      <c r="D199" s="61" t="s">
        <v>1729</v>
      </c>
      <c r="E199" s="62">
        <v>1</v>
      </c>
      <c r="F199" s="63"/>
      <c r="G199" s="61" t="s">
        <v>1460</v>
      </c>
      <c r="H199" s="61" t="s">
        <v>1441</v>
      </c>
      <c r="I199" s="61" t="s">
        <v>1730</v>
      </c>
      <c r="J199" s="64">
        <v>20000</v>
      </c>
      <c r="K199" s="64" t="s">
        <v>167</v>
      </c>
      <c r="L199" s="64" t="s">
        <v>167</v>
      </c>
      <c r="M199" s="64" t="s">
        <v>167</v>
      </c>
      <c r="N199" s="64" t="s">
        <v>167</v>
      </c>
      <c r="O199" s="64" t="s">
        <v>167</v>
      </c>
      <c r="P199" s="64" t="s">
        <v>167</v>
      </c>
    </row>
    <row r="200" spans="1:16" ht="27.6">
      <c r="A200" s="16" t="s">
        <v>1412</v>
      </c>
      <c r="B200" s="61" t="s">
        <v>316</v>
      </c>
      <c r="C200" s="61" t="s">
        <v>1732</v>
      </c>
      <c r="D200" s="61" t="s">
        <v>1473</v>
      </c>
      <c r="E200" s="62">
        <v>1</v>
      </c>
      <c r="F200" s="63"/>
      <c r="G200" s="61" t="s">
        <v>1602</v>
      </c>
      <c r="H200" s="61" t="s">
        <v>1441</v>
      </c>
      <c r="I200" s="61" t="s">
        <v>1728</v>
      </c>
      <c r="J200" s="64">
        <v>55000</v>
      </c>
      <c r="K200" s="64" t="s">
        <v>167</v>
      </c>
      <c r="L200" s="64" t="s">
        <v>167</v>
      </c>
      <c r="M200" s="64" t="s">
        <v>167</v>
      </c>
      <c r="N200" s="64" t="s">
        <v>167</v>
      </c>
      <c r="O200" s="64" t="s">
        <v>167</v>
      </c>
      <c r="P200" s="64" t="s">
        <v>167</v>
      </c>
    </row>
    <row r="201" spans="1:16">
      <c r="A201" s="16" t="s">
        <v>1412</v>
      </c>
      <c r="B201" s="61" t="s">
        <v>316</v>
      </c>
      <c r="C201" s="61" t="s">
        <v>1732</v>
      </c>
      <c r="D201" s="61" t="s">
        <v>1729</v>
      </c>
      <c r="E201" s="62">
        <v>1</v>
      </c>
      <c r="F201" s="63"/>
      <c r="G201" s="61" t="s">
        <v>1460</v>
      </c>
      <c r="H201" s="61" t="s">
        <v>1441</v>
      </c>
      <c r="I201" s="61" t="s">
        <v>1730</v>
      </c>
      <c r="J201" s="64">
        <v>20000</v>
      </c>
      <c r="K201" s="64" t="s">
        <v>167</v>
      </c>
      <c r="L201" s="64" t="s">
        <v>167</v>
      </c>
      <c r="M201" s="64" t="s">
        <v>167</v>
      </c>
      <c r="N201" s="64" t="s">
        <v>167</v>
      </c>
      <c r="O201" s="64" t="s">
        <v>167</v>
      </c>
      <c r="P201" s="64" t="s">
        <v>167</v>
      </c>
    </row>
    <row r="202" spans="1:16" ht="27.6">
      <c r="A202" s="16" t="s">
        <v>1412</v>
      </c>
      <c r="B202" s="61" t="s">
        <v>310</v>
      </c>
      <c r="C202" s="61" t="s">
        <v>1733</v>
      </c>
      <c r="D202" s="61" t="s">
        <v>1473</v>
      </c>
      <c r="E202" s="62">
        <v>1</v>
      </c>
      <c r="F202" s="63"/>
      <c r="G202" s="61" t="s">
        <v>1602</v>
      </c>
      <c r="H202" s="61" t="s">
        <v>1441</v>
      </c>
      <c r="I202" s="61" t="s">
        <v>1728</v>
      </c>
      <c r="J202" s="64">
        <v>55000</v>
      </c>
      <c r="K202" s="64" t="s">
        <v>167</v>
      </c>
      <c r="L202" s="64" t="s">
        <v>167</v>
      </c>
      <c r="M202" s="64" t="s">
        <v>167</v>
      </c>
      <c r="N202" s="64" t="s">
        <v>167</v>
      </c>
      <c r="O202" s="64" t="s">
        <v>167</v>
      </c>
      <c r="P202" s="64" t="s">
        <v>167</v>
      </c>
    </row>
    <row r="203" spans="1:16">
      <c r="A203" s="16" t="s">
        <v>1412</v>
      </c>
      <c r="B203" s="61" t="s">
        <v>310</v>
      </c>
      <c r="C203" s="61" t="s">
        <v>1733</v>
      </c>
      <c r="D203" s="61" t="s">
        <v>1729</v>
      </c>
      <c r="E203" s="62">
        <v>1</v>
      </c>
      <c r="F203" s="63"/>
      <c r="G203" s="61" t="s">
        <v>1460</v>
      </c>
      <c r="H203" s="61" t="s">
        <v>1441</v>
      </c>
      <c r="I203" s="61" t="s">
        <v>1730</v>
      </c>
      <c r="J203" s="64">
        <v>20000</v>
      </c>
      <c r="K203" s="64" t="s">
        <v>167</v>
      </c>
      <c r="L203" s="64" t="s">
        <v>167</v>
      </c>
      <c r="M203" s="64" t="s">
        <v>167</v>
      </c>
      <c r="N203" s="64" t="s">
        <v>167</v>
      </c>
      <c r="O203" s="64" t="s">
        <v>167</v>
      </c>
      <c r="P203" s="64" t="s">
        <v>167</v>
      </c>
    </row>
    <row r="204" spans="1:16" s="53" customFormat="1">
      <c r="B204" s="65"/>
      <c r="C204" s="65"/>
      <c r="D204" s="65"/>
      <c r="E204" s="66"/>
      <c r="F204" s="67"/>
      <c r="G204" s="65"/>
      <c r="H204" s="65"/>
      <c r="I204" s="65"/>
      <c r="J204" s="68"/>
      <c r="K204" s="68"/>
      <c r="L204" s="68"/>
      <c r="M204" s="68"/>
      <c r="N204" s="68"/>
      <c r="O204" s="68"/>
      <c r="P204" s="68"/>
    </row>
    <row r="205" spans="1:16" ht="27.6">
      <c r="A205" s="16" t="s">
        <v>1413</v>
      </c>
      <c r="B205" s="61" t="s">
        <v>469</v>
      </c>
      <c r="C205" s="61" t="s">
        <v>1734</v>
      </c>
      <c r="D205" s="61" t="s">
        <v>1445</v>
      </c>
      <c r="E205" s="62">
        <v>1</v>
      </c>
      <c r="F205" s="63"/>
      <c r="G205" s="61" t="s">
        <v>1446</v>
      </c>
      <c r="H205" s="61" t="s">
        <v>1441</v>
      </c>
      <c r="I205" s="61" t="s">
        <v>1735</v>
      </c>
      <c r="J205" s="64">
        <v>40000</v>
      </c>
      <c r="K205" s="64" t="s">
        <v>167</v>
      </c>
      <c r="L205" s="64" t="s">
        <v>167</v>
      </c>
      <c r="M205" s="64" t="s">
        <v>167</v>
      </c>
      <c r="N205" s="64" t="s">
        <v>167</v>
      </c>
      <c r="O205" s="64" t="s">
        <v>167</v>
      </c>
      <c r="P205" s="64" t="s">
        <v>167</v>
      </c>
    </row>
    <row r="206" spans="1:16" ht="41.45">
      <c r="A206" s="16" t="s">
        <v>1413</v>
      </c>
      <c r="B206" s="61" t="s">
        <v>469</v>
      </c>
      <c r="C206" s="61" t="s">
        <v>1734</v>
      </c>
      <c r="D206" s="61" t="s">
        <v>1736</v>
      </c>
      <c r="E206" s="62">
        <v>1</v>
      </c>
      <c r="F206" s="63"/>
      <c r="G206" s="61" t="s">
        <v>1464</v>
      </c>
      <c r="H206" s="61" t="s">
        <v>1441</v>
      </c>
      <c r="I206" s="61" t="s">
        <v>1737</v>
      </c>
      <c r="J206" s="64"/>
      <c r="K206" s="64">
        <v>10000</v>
      </c>
      <c r="L206" s="64" t="s">
        <v>167</v>
      </c>
      <c r="M206" s="64" t="s">
        <v>167</v>
      </c>
      <c r="N206" s="64" t="s">
        <v>167</v>
      </c>
      <c r="O206" s="64" t="s">
        <v>167</v>
      </c>
      <c r="P206" s="64" t="s">
        <v>167</v>
      </c>
    </row>
    <row r="207" spans="1:16">
      <c r="A207" s="16" t="s">
        <v>1413</v>
      </c>
      <c r="B207" s="61" t="s">
        <v>469</v>
      </c>
      <c r="C207" s="61" t="s">
        <v>1734</v>
      </c>
      <c r="D207" s="61" t="s">
        <v>1454</v>
      </c>
      <c r="E207" s="62">
        <v>1</v>
      </c>
      <c r="F207" s="63"/>
      <c r="G207" s="61" t="s">
        <v>1455</v>
      </c>
      <c r="H207" s="61" t="s">
        <v>1441</v>
      </c>
      <c r="I207" s="61" t="s">
        <v>1570</v>
      </c>
      <c r="J207" s="64">
        <v>30000</v>
      </c>
      <c r="K207" s="64" t="s">
        <v>167</v>
      </c>
      <c r="L207" s="64">
        <v>10000</v>
      </c>
      <c r="M207" s="64" t="s">
        <v>167</v>
      </c>
      <c r="N207" s="64" t="s">
        <v>167</v>
      </c>
      <c r="O207" s="64" t="s">
        <v>167</v>
      </c>
      <c r="P207" s="64" t="s">
        <v>167</v>
      </c>
    </row>
    <row r="208" spans="1:16" ht="82.9">
      <c r="A208" s="16" t="s">
        <v>1413</v>
      </c>
      <c r="B208" s="61" t="s">
        <v>469</v>
      </c>
      <c r="C208" s="61" t="s">
        <v>1734</v>
      </c>
      <c r="D208" s="61" t="s">
        <v>1508</v>
      </c>
      <c r="E208" s="62">
        <v>1</v>
      </c>
      <c r="F208" s="63"/>
      <c r="G208" s="61" t="s">
        <v>1438</v>
      </c>
      <c r="H208" s="61" t="s">
        <v>1441</v>
      </c>
      <c r="I208" s="61" t="s">
        <v>1738</v>
      </c>
      <c r="J208" s="64"/>
      <c r="K208" s="64">
        <v>242500</v>
      </c>
      <c r="L208" s="64" t="s">
        <v>167</v>
      </c>
      <c r="M208" s="64" t="s">
        <v>167</v>
      </c>
      <c r="N208" s="64">
        <v>173000</v>
      </c>
      <c r="O208" s="64" t="s">
        <v>167</v>
      </c>
      <c r="P208" s="64" t="s">
        <v>167</v>
      </c>
    </row>
    <row r="209" spans="1:16" ht="41.45">
      <c r="A209" s="16" t="s">
        <v>1413</v>
      </c>
      <c r="B209" s="61" t="s">
        <v>469</v>
      </c>
      <c r="C209" s="61" t="s">
        <v>1734</v>
      </c>
      <c r="D209" s="61" t="s">
        <v>1739</v>
      </c>
      <c r="E209" s="62">
        <v>1</v>
      </c>
      <c r="F209" s="63"/>
      <c r="G209" s="61" t="s">
        <v>1464</v>
      </c>
      <c r="H209" s="61" t="s">
        <v>1441</v>
      </c>
      <c r="I209" s="61" t="s">
        <v>1570</v>
      </c>
      <c r="J209" s="64">
        <v>6000</v>
      </c>
      <c r="K209" s="64" t="s">
        <v>167</v>
      </c>
      <c r="L209" s="64" t="s">
        <v>167</v>
      </c>
      <c r="M209" s="64" t="s">
        <v>167</v>
      </c>
      <c r="N209" s="64" t="s">
        <v>167</v>
      </c>
      <c r="O209" s="64" t="s">
        <v>167</v>
      </c>
      <c r="P209" s="64" t="s">
        <v>167</v>
      </c>
    </row>
    <row r="210" spans="1:16">
      <c r="A210" s="16" t="s">
        <v>1413</v>
      </c>
      <c r="B210" s="61" t="s">
        <v>469</v>
      </c>
      <c r="C210" s="61" t="s">
        <v>1734</v>
      </c>
      <c r="D210" s="61" t="s">
        <v>1740</v>
      </c>
      <c r="E210" s="62">
        <v>1</v>
      </c>
      <c r="F210" s="63"/>
      <c r="G210" s="61" t="s">
        <v>1464</v>
      </c>
      <c r="H210" s="61" t="s">
        <v>1441</v>
      </c>
      <c r="I210" s="61" t="s">
        <v>1741</v>
      </c>
      <c r="J210" s="64">
        <v>150000</v>
      </c>
      <c r="K210" s="64" t="s">
        <v>167</v>
      </c>
      <c r="L210" s="64" t="s">
        <v>167</v>
      </c>
      <c r="M210" s="64" t="s">
        <v>167</v>
      </c>
      <c r="N210" s="64" t="s">
        <v>167</v>
      </c>
      <c r="O210" s="64" t="s">
        <v>167</v>
      </c>
      <c r="P210" s="64" t="s">
        <v>167</v>
      </c>
    </row>
    <row r="211" spans="1:16" ht="27.6">
      <c r="A211" s="16" t="s">
        <v>1413</v>
      </c>
      <c r="B211" s="61" t="s">
        <v>1742</v>
      </c>
      <c r="C211" s="61" t="s">
        <v>1743</v>
      </c>
      <c r="D211" s="61" t="s">
        <v>1446</v>
      </c>
      <c r="E211" s="62">
        <v>1</v>
      </c>
      <c r="F211" s="63"/>
      <c r="G211" s="61" t="s">
        <v>1446</v>
      </c>
      <c r="H211" s="61" t="s">
        <v>1441</v>
      </c>
      <c r="I211" s="61" t="s">
        <v>1682</v>
      </c>
      <c r="J211" s="64">
        <v>5000</v>
      </c>
      <c r="K211" s="64" t="s">
        <v>167</v>
      </c>
      <c r="L211" s="64" t="s">
        <v>167</v>
      </c>
      <c r="M211" s="64" t="s">
        <v>167</v>
      </c>
      <c r="N211" s="64" t="s">
        <v>167</v>
      </c>
      <c r="O211" s="64" t="s">
        <v>167</v>
      </c>
      <c r="P211" s="64" t="s">
        <v>167</v>
      </c>
    </row>
    <row r="212" spans="1:16" ht="41.45">
      <c r="A212" s="16" t="s">
        <v>1413</v>
      </c>
      <c r="B212" s="61" t="s">
        <v>1742</v>
      </c>
      <c r="C212" s="61" t="s">
        <v>1743</v>
      </c>
      <c r="D212" s="61" t="s">
        <v>1532</v>
      </c>
      <c r="E212" s="62">
        <v>1</v>
      </c>
      <c r="F212" s="63"/>
      <c r="G212" s="61" t="s">
        <v>1455</v>
      </c>
      <c r="H212" s="61" t="s">
        <v>1441</v>
      </c>
      <c r="I212" s="61" t="s">
        <v>1744</v>
      </c>
      <c r="J212" s="64"/>
      <c r="K212" s="64">
        <v>5000</v>
      </c>
      <c r="L212" s="64" t="s">
        <v>167</v>
      </c>
      <c r="M212" s="64" t="s">
        <v>167</v>
      </c>
      <c r="N212" s="64" t="s">
        <v>167</v>
      </c>
      <c r="O212" s="64" t="s">
        <v>167</v>
      </c>
      <c r="P212" s="64" t="s">
        <v>167</v>
      </c>
    </row>
    <row r="213" spans="1:16">
      <c r="A213" s="16" t="s">
        <v>1413</v>
      </c>
      <c r="B213" s="61" t="s">
        <v>1742</v>
      </c>
      <c r="C213" s="61" t="s">
        <v>1743</v>
      </c>
      <c r="D213" s="61" t="s">
        <v>1468</v>
      </c>
      <c r="E213" s="62">
        <v>1</v>
      </c>
      <c r="F213" s="63"/>
      <c r="G213" s="61" t="s">
        <v>1464</v>
      </c>
      <c r="H213" s="61" t="s">
        <v>1441</v>
      </c>
      <c r="I213" s="61" t="s">
        <v>1745</v>
      </c>
      <c r="J213" s="64">
        <v>15000</v>
      </c>
      <c r="K213" s="64" t="s">
        <v>167</v>
      </c>
      <c r="L213" s="64" t="s">
        <v>167</v>
      </c>
      <c r="M213" s="64" t="s">
        <v>167</v>
      </c>
      <c r="N213" s="64" t="s">
        <v>167</v>
      </c>
      <c r="O213" s="64" t="s">
        <v>167</v>
      </c>
      <c r="P213" s="64" t="s">
        <v>167</v>
      </c>
    </row>
    <row r="214" spans="1:16" ht="27.6">
      <c r="A214" s="16" t="s">
        <v>1413</v>
      </c>
      <c r="B214" s="61" t="s">
        <v>1746</v>
      </c>
      <c r="C214" s="61" t="s">
        <v>1747</v>
      </c>
      <c r="D214" s="61" t="s">
        <v>1446</v>
      </c>
      <c r="E214" s="62">
        <v>1</v>
      </c>
      <c r="F214" s="63"/>
      <c r="G214" s="61" t="s">
        <v>1446</v>
      </c>
      <c r="H214" s="61" t="s">
        <v>1441</v>
      </c>
      <c r="I214" s="61" t="s">
        <v>1655</v>
      </c>
      <c r="J214" s="64"/>
      <c r="K214" s="64">
        <v>73400</v>
      </c>
      <c r="L214" s="64" t="s">
        <v>167</v>
      </c>
      <c r="M214" s="64" t="s">
        <v>167</v>
      </c>
      <c r="N214" s="64" t="s">
        <v>167</v>
      </c>
      <c r="O214" s="64" t="s">
        <v>167</v>
      </c>
      <c r="P214" s="64" t="s">
        <v>167</v>
      </c>
    </row>
    <row r="215" spans="1:16">
      <c r="A215" s="16" t="s">
        <v>1413</v>
      </c>
      <c r="B215" s="61" t="s">
        <v>1746</v>
      </c>
      <c r="C215" s="61" t="s">
        <v>1747</v>
      </c>
      <c r="D215" s="61" t="s">
        <v>1508</v>
      </c>
      <c r="E215" s="62">
        <v>1</v>
      </c>
      <c r="F215" s="63"/>
      <c r="G215" s="61" t="s">
        <v>1438</v>
      </c>
      <c r="H215" s="61" t="s">
        <v>1441</v>
      </c>
      <c r="I215" s="61" t="s">
        <v>1748</v>
      </c>
      <c r="J215" s="64" t="s">
        <v>167</v>
      </c>
      <c r="K215" s="64" t="s">
        <v>167</v>
      </c>
      <c r="L215" s="64">
        <v>223000</v>
      </c>
      <c r="M215" s="64">
        <v>43300</v>
      </c>
      <c r="N215" s="64">
        <v>9900</v>
      </c>
      <c r="O215" s="64" t="s">
        <v>167</v>
      </c>
      <c r="P215" s="64" t="s">
        <v>167</v>
      </c>
    </row>
    <row r="216" spans="1:16" ht="27.6">
      <c r="A216" s="16" t="s">
        <v>1413</v>
      </c>
      <c r="B216" s="61" t="s">
        <v>1746</v>
      </c>
      <c r="C216" s="61" t="s">
        <v>1747</v>
      </c>
      <c r="D216" s="61" t="s">
        <v>1532</v>
      </c>
      <c r="E216" s="62">
        <v>1</v>
      </c>
      <c r="F216" s="63"/>
      <c r="G216" s="61" t="s">
        <v>1602</v>
      </c>
      <c r="H216" s="61" t="s">
        <v>1441</v>
      </c>
      <c r="I216" s="61" t="s">
        <v>1628</v>
      </c>
      <c r="J216" s="64" t="s">
        <v>167</v>
      </c>
      <c r="K216" s="64">
        <v>186600</v>
      </c>
      <c r="L216" s="64" t="s">
        <v>167</v>
      </c>
      <c r="M216" s="64" t="s">
        <v>167</v>
      </c>
      <c r="N216" s="64" t="s">
        <v>167</v>
      </c>
      <c r="O216" s="64" t="s">
        <v>167</v>
      </c>
      <c r="P216" s="64" t="s">
        <v>167</v>
      </c>
    </row>
    <row r="217" spans="1:16" ht="27.6">
      <c r="A217" s="16" t="s">
        <v>1413</v>
      </c>
      <c r="B217" s="61" t="s">
        <v>254</v>
      </c>
      <c r="C217" s="61" t="s">
        <v>1749</v>
      </c>
      <c r="D217" s="61" t="s">
        <v>1438</v>
      </c>
      <c r="E217" s="62">
        <v>1</v>
      </c>
      <c r="F217" s="63"/>
      <c r="G217" s="61" t="s">
        <v>1438</v>
      </c>
      <c r="H217" s="61" t="s">
        <v>1441</v>
      </c>
      <c r="I217" s="61" t="s">
        <v>1750</v>
      </c>
      <c r="J217" s="64">
        <v>480000</v>
      </c>
      <c r="K217" s="64" t="s">
        <v>167</v>
      </c>
      <c r="L217" s="64" t="s">
        <v>167</v>
      </c>
      <c r="M217" s="64" t="s">
        <v>167</v>
      </c>
      <c r="N217" s="64" t="s">
        <v>167</v>
      </c>
      <c r="O217" s="64" t="s">
        <v>167</v>
      </c>
      <c r="P217" s="64" t="s">
        <v>167</v>
      </c>
    </row>
    <row r="218" spans="1:16">
      <c r="A218" s="16" t="s">
        <v>1413</v>
      </c>
      <c r="B218" s="61" t="s">
        <v>254</v>
      </c>
      <c r="C218" s="61" t="s">
        <v>1749</v>
      </c>
      <c r="D218" s="61" t="s">
        <v>1751</v>
      </c>
      <c r="E218" s="62">
        <v>1</v>
      </c>
      <c r="F218" s="63"/>
      <c r="G218" s="61" t="s">
        <v>1464</v>
      </c>
      <c r="H218" s="61" t="s">
        <v>1441</v>
      </c>
      <c r="I218" s="61" t="s">
        <v>1752</v>
      </c>
      <c r="J218" s="64">
        <v>7500</v>
      </c>
      <c r="K218" s="64" t="s">
        <v>167</v>
      </c>
      <c r="L218" s="64" t="s">
        <v>167</v>
      </c>
      <c r="M218" s="64" t="s">
        <v>167</v>
      </c>
      <c r="N218" s="64" t="s">
        <v>167</v>
      </c>
      <c r="O218" s="64" t="s">
        <v>167</v>
      </c>
      <c r="P218" s="64" t="s">
        <v>167</v>
      </c>
    </row>
    <row r="219" spans="1:16" ht="179.45">
      <c r="A219" s="16" t="s">
        <v>1413</v>
      </c>
      <c r="B219" s="61" t="s">
        <v>254</v>
      </c>
      <c r="C219" s="61" t="s">
        <v>1749</v>
      </c>
      <c r="D219" s="61" t="s">
        <v>1753</v>
      </c>
      <c r="E219" s="62">
        <v>1</v>
      </c>
      <c r="F219" s="63"/>
      <c r="G219" s="61" t="s">
        <v>1464</v>
      </c>
      <c r="H219" s="61" t="s">
        <v>1441</v>
      </c>
      <c r="I219" s="61" t="s">
        <v>1754</v>
      </c>
      <c r="J219" s="64">
        <v>120000</v>
      </c>
      <c r="K219" s="64" t="s">
        <v>167</v>
      </c>
      <c r="L219" s="64" t="s">
        <v>167</v>
      </c>
      <c r="M219" s="64" t="s">
        <v>167</v>
      </c>
      <c r="N219" s="64" t="s">
        <v>167</v>
      </c>
      <c r="O219" s="64" t="s">
        <v>167</v>
      </c>
      <c r="P219" s="64" t="s">
        <v>167</v>
      </c>
    </row>
    <row r="220" spans="1:16">
      <c r="A220" s="16" t="s">
        <v>1413</v>
      </c>
      <c r="B220" s="61" t="s">
        <v>1755</v>
      </c>
      <c r="C220" s="61" t="s">
        <v>1756</v>
      </c>
      <c r="D220" s="61" t="s">
        <v>1454</v>
      </c>
      <c r="E220" s="62">
        <v>1</v>
      </c>
      <c r="F220" s="63"/>
      <c r="G220" s="61" t="s">
        <v>1455</v>
      </c>
      <c r="H220" s="61" t="s">
        <v>1441</v>
      </c>
      <c r="I220" s="61" t="s">
        <v>1757</v>
      </c>
      <c r="J220" s="64">
        <v>20000</v>
      </c>
      <c r="K220" s="64">
        <v>20000</v>
      </c>
      <c r="L220" s="64">
        <v>20000</v>
      </c>
      <c r="M220" s="64" t="s">
        <v>167</v>
      </c>
      <c r="N220" s="64" t="s">
        <v>167</v>
      </c>
      <c r="O220" s="64" t="s">
        <v>167</v>
      </c>
      <c r="P220" s="64" t="s">
        <v>167</v>
      </c>
    </row>
    <row r="221" spans="1:16" ht="41.45">
      <c r="A221" s="16" t="s">
        <v>1413</v>
      </c>
      <c r="B221" s="61" t="s">
        <v>1755</v>
      </c>
      <c r="C221" s="61" t="s">
        <v>1756</v>
      </c>
      <c r="D221" s="61" t="s">
        <v>1438</v>
      </c>
      <c r="E221" s="62">
        <v>1</v>
      </c>
      <c r="F221" s="63"/>
      <c r="G221" s="61" t="s">
        <v>1438</v>
      </c>
      <c r="H221" s="61" t="s">
        <v>1441</v>
      </c>
      <c r="I221" s="61" t="s">
        <v>1758</v>
      </c>
      <c r="J221" s="64">
        <v>638000</v>
      </c>
      <c r="K221" s="64" t="s">
        <v>167</v>
      </c>
      <c r="L221" s="64" t="s">
        <v>167</v>
      </c>
      <c r="M221" s="64" t="s">
        <v>167</v>
      </c>
      <c r="N221" s="64" t="s">
        <v>167</v>
      </c>
      <c r="O221" s="64" t="s">
        <v>167</v>
      </c>
      <c r="P221" s="64" t="s">
        <v>167</v>
      </c>
    </row>
    <row r="222" spans="1:16" ht="27.6">
      <c r="A222" s="16" t="s">
        <v>1413</v>
      </c>
      <c r="B222" s="61" t="s">
        <v>1755</v>
      </c>
      <c r="C222" s="61" t="s">
        <v>1756</v>
      </c>
      <c r="D222" s="61" t="s">
        <v>1759</v>
      </c>
      <c r="E222" s="62">
        <v>1</v>
      </c>
      <c r="F222" s="63"/>
      <c r="G222" s="61" t="s">
        <v>1464</v>
      </c>
      <c r="H222" s="61" t="s">
        <v>1441</v>
      </c>
      <c r="I222" s="61" t="s">
        <v>1760</v>
      </c>
      <c r="J222" s="64">
        <v>15000</v>
      </c>
      <c r="K222" s="64" t="s">
        <v>167</v>
      </c>
      <c r="L222" s="64" t="s">
        <v>167</v>
      </c>
      <c r="M222" s="64" t="s">
        <v>167</v>
      </c>
      <c r="N222" s="64" t="s">
        <v>167</v>
      </c>
      <c r="O222" s="64" t="s">
        <v>167</v>
      </c>
      <c r="P222" s="64" t="s">
        <v>167</v>
      </c>
    </row>
    <row r="223" spans="1:16" s="53" customFormat="1">
      <c r="B223" s="65"/>
      <c r="C223" s="65"/>
      <c r="D223" s="65"/>
      <c r="E223" s="66"/>
      <c r="F223" s="67"/>
      <c r="G223" s="65"/>
      <c r="H223" s="65"/>
      <c r="I223" s="65"/>
      <c r="J223" s="68"/>
      <c r="K223" s="68"/>
      <c r="L223" s="68"/>
      <c r="M223" s="68"/>
      <c r="N223" s="68"/>
      <c r="O223" s="68"/>
      <c r="P223" s="68"/>
    </row>
    <row r="224" spans="1:16" ht="27.6">
      <c r="A224" s="16" t="s">
        <v>158</v>
      </c>
      <c r="B224" s="61" t="s">
        <v>1761</v>
      </c>
      <c r="C224" s="61" t="s">
        <v>1762</v>
      </c>
      <c r="D224" s="61" t="s">
        <v>1532</v>
      </c>
      <c r="E224" s="62">
        <v>1</v>
      </c>
      <c r="F224" s="63"/>
      <c r="G224" s="61" t="s">
        <v>1455</v>
      </c>
      <c r="H224" s="61" t="s">
        <v>1441</v>
      </c>
      <c r="I224" s="61" t="s">
        <v>1516</v>
      </c>
      <c r="J224" s="64">
        <v>17500</v>
      </c>
      <c r="K224" s="64">
        <v>17500</v>
      </c>
      <c r="L224" s="64">
        <v>17500</v>
      </c>
      <c r="M224" s="64" t="s">
        <v>167</v>
      </c>
      <c r="N224" s="64" t="s">
        <v>167</v>
      </c>
      <c r="O224" s="64" t="s">
        <v>167</v>
      </c>
      <c r="P224" s="64" t="s">
        <v>167</v>
      </c>
    </row>
    <row r="225" spans="1:16" ht="27.6">
      <c r="A225" s="16" t="s">
        <v>158</v>
      </c>
      <c r="B225" s="61" t="s">
        <v>436</v>
      </c>
      <c r="C225" s="61" t="s">
        <v>1763</v>
      </c>
      <c r="D225" s="61" t="s">
        <v>1532</v>
      </c>
      <c r="E225" s="62">
        <v>1</v>
      </c>
      <c r="F225" s="63"/>
      <c r="G225" s="61" t="s">
        <v>1455</v>
      </c>
      <c r="H225" s="61" t="s">
        <v>1441</v>
      </c>
      <c r="I225" s="61" t="s">
        <v>1516</v>
      </c>
      <c r="J225" s="64">
        <v>17500</v>
      </c>
      <c r="K225" s="64">
        <v>17500</v>
      </c>
      <c r="L225" s="64">
        <v>17500</v>
      </c>
      <c r="M225" s="64" t="s">
        <v>167</v>
      </c>
      <c r="N225" s="64" t="s">
        <v>167</v>
      </c>
      <c r="O225" s="64" t="s">
        <v>167</v>
      </c>
      <c r="P225" s="64" t="s">
        <v>167</v>
      </c>
    </row>
    <row r="226" spans="1:16" ht="27.6">
      <c r="A226" s="16" t="s">
        <v>158</v>
      </c>
      <c r="B226" s="61" t="s">
        <v>331</v>
      </c>
      <c r="C226" s="61" t="s">
        <v>1764</v>
      </c>
      <c r="D226" s="61" t="s">
        <v>1438</v>
      </c>
      <c r="E226" s="62">
        <v>1</v>
      </c>
      <c r="F226" s="63"/>
      <c r="G226" s="61" t="s">
        <v>1438</v>
      </c>
      <c r="H226" s="61" t="s">
        <v>1441</v>
      </c>
      <c r="I226" s="61" t="s">
        <v>1765</v>
      </c>
      <c r="J226" s="64"/>
      <c r="K226" s="64" t="s">
        <v>167</v>
      </c>
      <c r="L226" s="64">
        <v>850000</v>
      </c>
      <c r="M226" s="64" t="s">
        <v>167</v>
      </c>
      <c r="N226" s="64" t="s">
        <v>167</v>
      </c>
      <c r="O226" s="64" t="s">
        <v>167</v>
      </c>
      <c r="P226" s="64" t="s">
        <v>167</v>
      </c>
    </row>
    <row r="227" spans="1:16" s="53" customFormat="1">
      <c r="B227" s="65"/>
      <c r="C227" s="65"/>
      <c r="D227" s="65"/>
      <c r="E227" s="66"/>
      <c r="F227" s="67"/>
      <c r="G227" s="65"/>
      <c r="H227" s="65"/>
      <c r="I227" s="65"/>
      <c r="J227" s="68"/>
      <c r="K227" s="68"/>
      <c r="L227" s="68"/>
      <c r="M227" s="68"/>
      <c r="N227" s="68"/>
      <c r="O227" s="68"/>
      <c r="P227" s="68"/>
    </row>
    <row r="228" spans="1:16">
      <c r="A228" s="16" t="s">
        <v>1414</v>
      </c>
      <c r="B228" s="61" t="s">
        <v>1766</v>
      </c>
      <c r="C228" s="61" t="s">
        <v>1767</v>
      </c>
      <c r="D228" s="61" t="s">
        <v>1446</v>
      </c>
      <c r="E228" s="62">
        <v>1</v>
      </c>
      <c r="F228" s="63"/>
      <c r="G228" s="61" t="s">
        <v>1446</v>
      </c>
      <c r="H228" s="61" t="s">
        <v>1441</v>
      </c>
      <c r="I228" s="61" t="s">
        <v>1535</v>
      </c>
      <c r="J228" s="64">
        <v>14000</v>
      </c>
      <c r="K228" s="64" t="s">
        <v>167</v>
      </c>
      <c r="L228" s="64" t="s">
        <v>167</v>
      </c>
      <c r="M228" s="64" t="s">
        <v>167</v>
      </c>
      <c r="N228" s="64" t="s">
        <v>167</v>
      </c>
      <c r="O228" s="64" t="s">
        <v>167</v>
      </c>
      <c r="P228" s="64" t="s">
        <v>167</v>
      </c>
    </row>
    <row r="229" spans="1:16">
      <c r="A229" s="16" t="s">
        <v>1414</v>
      </c>
      <c r="B229" s="61" t="s">
        <v>1766</v>
      </c>
      <c r="C229" s="61" t="s">
        <v>1767</v>
      </c>
      <c r="D229" s="61" t="s">
        <v>1438</v>
      </c>
      <c r="E229" s="62">
        <v>1</v>
      </c>
      <c r="F229" s="63"/>
      <c r="G229" s="61" t="s">
        <v>1438</v>
      </c>
      <c r="H229" s="61" t="s">
        <v>1441</v>
      </c>
      <c r="I229" s="61" t="s">
        <v>1535</v>
      </c>
      <c r="J229" s="64">
        <v>274500</v>
      </c>
      <c r="K229" s="64" t="s">
        <v>167</v>
      </c>
      <c r="L229" s="64" t="s">
        <v>167</v>
      </c>
      <c r="M229" s="64" t="s">
        <v>167</v>
      </c>
      <c r="N229" s="64" t="s">
        <v>167</v>
      </c>
      <c r="O229" s="64" t="s">
        <v>167</v>
      </c>
      <c r="P229" s="64" t="s">
        <v>167</v>
      </c>
    </row>
    <row r="230" spans="1:16" ht="27.6">
      <c r="A230" s="16" t="s">
        <v>1414</v>
      </c>
      <c r="B230" s="61" t="s">
        <v>1766</v>
      </c>
      <c r="C230" s="61" t="s">
        <v>1767</v>
      </c>
      <c r="D230" s="61" t="s">
        <v>1768</v>
      </c>
      <c r="E230" s="62">
        <v>1</v>
      </c>
      <c r="F230" s="63"/>
      <c r="G230" s="61" t="s">
        <v>1460</v>
      </c>
      <c r="H230" s="61" t="s">
        <v>1441</v>
      </c>
      <c r="I230" s="61" t="s">
        <v>1769</v>
      </c>
      <c r="J230" s="64">
        <v>410000</v>
      </c>
      <c r="K230" s="64" t="s">
        <v>167</v>
      </c>
      <c r="L230" s="64" t="s">
        <v>167</v>
      </c>
      <c r="M230" s="64" t="s">
        <v>167</v>
      </c>
      <c r="N230" s="64" t="s">
        <v>167</v>
      </c>
      <c r="O230" s="64" t="s">
        <v>167</v>
      </c>
      <c r="P230" s="64" t="s">
        <v>167</v>
      </c>
    </row>
    <row r="231" spans="1:16" ht="27.6">
      <c r="A231" s="16" t="s">
        <v>1414</v>
      </c>
      <c r="B231" s="61" t="s">
        <v>1770</v>
      </c>
      <c r="C231" s="61" t="s">
        <v>1771</v>
      </c>
      <c r="D231" s="61" t="s">
        <v>1454</v>
      </c>
      <c r="E231" s="62">
        <v>1</v>
      </c>
      <c r="F231" s="63"/>
      <c r="G231" s="61" t="s">
        <v>1455</v>
      </c>
      <c r="H231" s="61" t="s">
        <v>1441</v>
      </c>
      <c r="I231" s="61" t="s">
        <v>1772</v>
      </c>
      <c r="J231" s="64">
        <v>40000</v>
      </c>
      <c r="K231" s="64" t="s">
        <v>167</v>
      </c>
      <c r="L231" s="64" t="s">
        <v>167</v>
      </c>
      <c r="M231" s="64" t="s">
        <v>167</v>
      </c>
      <c r="N231" s="64" t="s">
        <v>167</v>
      </c>
      <c r="O231" s="64" t="s">
        <v>167</v>
      </c>
      <c r="P231" s="64" t="s">
        <v>167</v>
      </c>
    </row>
    <row r="232" spans="1:16">
      <c r="A232" s="16" t="s">
        <v>1414</v>
      </c>
      <c r="B232" s="61" t="s">
        <v>1770</v>
      </c>
      <c r="C232" s="61" t="s">
        <v>1771</v>
      </c>
      <c r="D232" s="61" t="s">
        <v>1504</v>
      </c>
      <c r="E232" s="62">
        <v>1</v>
      </c>
      <c r="F232" s="63"/>
      <c r="G232" s="61" t="s">
        <v>1464</v>
      </c>
      <c r="H232" s="61" t="s">
        <v>1441</v>
      </c>
      <c r="I232" s="61" t="s">
        <v>1773</v>
      </c>
      <c r="J232" s="64" t="s">
        <v>167</v>
      </c>
      <c r="K232" s="64" t="s">
        <v>167</v>
      </c>
      <c r="L232" s="64" t="s">
        <v>167</v>
      </c>
      <c r="M232" s="64">
        <v>25000</v>
      </c>
      <c r="N232" s="64" t="s">
        <v>167</v>
      </c>
      <c r="O232" s="64" t="s">
        <v>167</v>
      </c>
      <c r="P232" s="64" t="s">
        <v>167</v>
      </c>
    </row>
    <row r="233" spans="1:16">
      <c r="A233" s="16" t="s">
        <v>1414</v>
      </c>
      <c r="B233" s="61" t="s">
        <v>246</v>
      </c>
      <c r="C233" s="61" t="s">
        <v>243</v>
      </c>
      <c r="D233" s="61" t="s">
        <v>1446</v>
      </c>
      <c r="E233" s="62">
        <v>1</v>
      </c>
      <c r="F233" s="63"/>
      <c r="G233" s="61" t="s">
        <v>1446</v>
      </c>
      <c r="H233" s="61" t="s">
        <v>1441</v>
      </c>
      <c r="I233" s="61" t="s">
        <v>1774</v>
      </c>
      <c r="J233" s="64" t="s">
        <v>167</v>
      </c>
      <c r="K233" s="64" t="s">
        <v>167</v>
      </c>
      <c r="L233" s="64" t="s">
        <v>167</v>
      </c>
      <c r="M233" s="64">
        <v>14000</v>
      </c>
      <c r="N233" s="64" t="s">
        <v>167</v>
      </c>
      <c r="O233" s="64" t="s">
        <v>167</v>
      </c>
      <c r="P233" s="64" t="s">
        <v>167</v>
      </c>
    </row>
    <row r="234" spans="1:16">
      <c r="A234" s="16" t="s">
        <v>1414</v>
      </c>
      <c r="B234" s="61" t="s">
        <v>246</v>
      </c>
      <c r="C234" s="61" t="s">
        <v>243</v>
      </c>
      <c r="D234" s="61" t="s">
        <v>1508</v>
      </c>
      <c r="E234" s="62">
        <v>1</v>
      </c>
      <c r="F234" s="63"/>
      <c r="G234" s="61" t="s">
        <v>1438</v>
      </c>
      <c r="H234" s="61" t="s">
        <v>1441</v>
      </c>
      <c r="I234" s="61" t="s">
        <v>1604</v>
      </c>
      <c r="J234" s="64" t="s">
        <v>167</v>
      </c>
      <c r="K234" s="64">
        <v>165000</v>
      </c>
      <c r="L234" s="64" t="s">
        <v>167</v>
      </c>
      <c r="M234" s="64" t="s">
        <v>167</v>
      </c>
      <c r="N234" s="64" t="s">
        <v>167</v>
      </c>
      <c r="O234" s="64" t="s">
        <v>167</v>
      </c>
      <c r="P234" s="64" t="s">
        <v>167</v>
      </c>
    </row>
    <row r="235" spans="1:16">
      <c r="A235" s="16" t="s">
        <v>1414</v>
      </c>
      <c r="B235" s="61" t="s">
        <v>605</v>
      </c>
      <c r="C235" s="61" t="s">
        <v>1775</v>
      </c>
      <c r="D235" s="61" t="s">
        <v>1776</v>
      </c>
      <c r="E235" s="62">
        <v>1</v>
      </c>
      <c r="F235" s="63"/>
      <c r="G235" s="61" t="s">
        <v>1455</v>
      </c>
      <c r="H235" s="61" t="s">
        <v>1441</v>
      </c>
      <c r="I235" s="61" t="s">
        <v>1535</v>
      </c>
      <c r="J235" s="64">
        <v>10000</v>
      </c>
      <c r="K235" s="64" t="s">
        <v>167</v>
      </c>
      <c r="L235" s="64" t="s">
        <v>167</v>
      </c>
      <c r="M235" s="64" t="s">
        <v>167</v>
      </c>
      <c r="N235" s="64" t="s">
        <v>167</v>
      </c>
      <c r="O235" s="64" t="s">
        <v>167</v>
      </c>
      <c r="P235" s="64" t="s">
        <v>167</v>
      </c>
    </row>
    <row r="236" spans="1:16">
      <c r="A236" s="16" t="s">
        <v>1414</v>
      </c>
      <c r="B236" s="61" t="s">
        <v>656</v>
      </c>
      <c r="C236" s="61" t="s">
        <v>1777</v>
      </c>
      <c r="D236" s="61" t="s">
        <v>1446</v>
      </c>
      <c r="E236" s="62">
        <v>1</v>
      </c>
      <c r="F236" s="63"/>
      <c r="G236" s="61" t="s">
        <v>1446</v>
      </c>
      <c r="H236" s="61" t="s">
        <v>1441</v>
      </c>
      <c r="I236" s="61" t="s">
        <v>1535</v>
      </c>
      <c r="J236" s="64">
        <v>9100</v>
      </c>
      <c r="K236" s="64">
        <v>9100</v>
      </c>
      <c r="L236" s="64">
        <v>9100</v>
      </c>
      <c r="M236" s="64">
        <v>9100</v>
      </c>
      <c r="N236" s="64">
        <v>9100</v>
      </c>
      <c r="O236" s="64" t="s">
        <v>167</v>
      </c>
      <c r="P236" s="64" t="s">
        <v>167</v>
      </c>
    </row>
    <row r="237" spans="1:16">
      <c r="A237" s="16" t="s">
        <v>1414</v>
      </c>
      <c r="B237" s="61" t="s">
        <v>355</v>
      </c>
      <c r="C237" s="61" t="s">
        <v>353</v>
      </c>
      <c r="D237" s="61" t="s">
        <v>1445</v>
      </c>
      <c r="E237" s="62">
        <v>1</v>
      </c>
      <c r="F237" s="63"/>
      <c r="G237" s="61" t="s">
        <v>1446</v>
      </c>
      <c r="H237" s="61" t="s">
        <v>1441</v>
      </c>
      <c r="I237" s="61" t="s">
        <v>1570</v>
      </c>
      <c r="J237" s="64">
        <v>34500</v>
      </c>
      <c r="K237" s="64">
        <v>17500</v>
      </c>
      <c r="L237" s="64">
        <v>17500</v>
      </c>
      <c r="M237" s="64" t="s">
        <v>167</v>
      </c>
      <c r="N237" s="64" t="s">
        <v>167</v>
      </c>
      <c r="O237" s="64" t="s">
        <v>167</v>
      </c>
      <c r="P237" s="64" t="s">
        <v>167</v>
      </c>
    </row>
    <row r="238" spans="1:16">
      <c r="A238" s="16" t="s">
        <v>1414</v>
      </c>
      <c r="B238" s="61" t="s">
        <v>355</v>
      </c>
      <c r="C238" s="61" t="s">
        <v>353</v>
      </c>
      <c r="D238" s="61" t="s">
        <v>1454</v>
      </c>
      <c r="E238" s="62">
        <v>1</v>
      </c>
      <c r="F238" s="63"/>
      <c r="G238" s="61" t="s">
        <v>1455</v>
      </c>
      <c r="H238" s="61" t="s">
        <v>1441</v>
      </c>
      <c r="I238" s="61" t="s">
        <v>1570</v>
      </c>
      <c r="J238" s="64">
        <v>90000</v>
      </c>
      <c r="K238" s="64" t="s">
        <v>167</v>
      </c>
      <c r="L238" s="64" t="s">
        <v>167</v>
      </c>
      <c r="M238" s="64" t="s">
        <v>167</v>
      </c>
      <c r="N238" s="64" t="s">
        <v>167</v>
      </c>
      <c r="O238" s="64" t="s">
        <v>167</v>
      </c>
      <c r="P238" s="64" t="s">
        <v>167</v>
      </c>
    </row>
    <row r="239" spans="1:16" ht="41.45">
      <c r="A239" s="16" t="s">
        <v>1414</v>
      </c>
      <c r="B239" s="61" t="s">
        <v>602</v>
      </c>
      <c r="C239" s="61" t="s">
        <v>1778</v>
      </c>
      <c r="D239" s="61" t="s">
        <v>1438</v>
      </c>
      <c r="E239" s="62">
        <v>1</v>
      </c>
      <c r="F239" s="63"/>
      <c r="G239" s="61" t="s">
        <v>1438</v>
      </c>
      <c r="H239" s="61" t="s">
        <v>1441</v>
      </c>
      <c r="I239" s="61" t="s">
        <v>1779</v>
      </c>
      <c r="J239" s="64" t="s">
        <v>167</v>
      </c>
      <c r="K239" s="64" t="s">
        <v>167</v>
      </c>
      <c r="L239" s="64">
        <v>137000</v>
      </c>
      <c r="M239" s="64" t="s">
        <v>167</v>
      </c>
      <c r="N239" s="64" t="s">
        <v>167</v>
      </c>
      <c r="O239" s="64" t="s">
        <v>167</v>
      </c>
      <c r="P239" s="64" t="s">
        <v>167</v>
      </c>
    </row>
    <row r="240" spans="1:16">
      <c r="A240" s="16" t="s">
        <v>1414</v>
      </c>
      <c r="B240" s="61" t="s">
        <v>1780</v>
      </c>
      <c r="C240" s="61" t="s">
        <v>1781</v>
      </c>
      <c r="D240" s="61" t="s">
        <v>1446</v>
      </c>
      <c r="E240" s="62">
        <v>1</v>
      </c>
      <c r="F240" s="63"/>
      <c r="G240" s="61" t="s">
        <v>1446</v>
      </c>
      <c r="H240" s="61" t="s">
        <v>1441</v>
      </c>
      <c r="I240" s="61" t="s">
        <v>1516</v>
      </c>
      <c r="J240" s="64">
        <v>7300</v>
      </c>
      <c r="K240" s="64" t="s">
        <v>167</v>
      </c>
      <c r="L240" s="64" t="s">
        <v>167</v>
      </c>
      <c r="M240" s="64" t="s">
        <v>167</v>
      </c>
      <c r="N240" s="64" t="s">
        <v>167</v>
      </c>
      <c r="O240" s="64" t="s">
        <v>167</v>
      </c>
      <c r="P240" s="64" t="s">
        <v>167</v>
      </c>
    </row>
    <row r="241" spans="1:19" ht="41.45">
      <c r="A241" s="16" t="s">
        <v>1414</v>
      </c>
      <c r="B241" s="61" t="s">
        <v>1780</v>
      </c>
      <c r="C241" s="61" t="s">
        <v>1781</v>
      </c>
      <c r="D241" s="61" t="s">
        <v>1438</v>
      </c>
      <c r="E241" s="62">
        <v>1</v>
      </c>
      <c r="F241" s="63"/>
      <c r="G241" s="61" t="s">
        <v>1438</v>
      </c>
      <c r="H241" s="61" t="s">
        <v>1441</v>
      </c>
      <c r="I241" s="61" t="s">
        <v>1782</v>
      </c>
      <c r="J241" s="64" t="s">
        <v>167</v>
      </c>
      <c r="K241" s="64">
        <v>580420</v>
      </c>
      <c r="L241" s="64" t="s">
        <v>167</v>
      </c>
      <c r="M241" s="64" t="s">
        <v>167</v>
      </c>
      <c r="N241" s="64">
        <v>580420</v>
      </c>
      <c r="O241" s="64" t="s">
        <v>167</v>
      </c>
      <c r="P241" s="64" t="s">
        <v>167</v>
      </c>
    </row>
    <row r="242" spans="1:19">
      <c r="A242" s="16" t="s">
        <v>1414</v>
      </c>
      <c r="B242" s="61" t="s">
        <v>1783</v>
      </c>
      <c r="C242" s="61" t="s">
        <v>1784</v>
      </c>
      <c r="D242" s="61" t="s">
        <v>1468</v>
      </c>
      <c r="E242" s="62">
        <v>1</v>
      </c>
      <c r="F242" s="63"/>
      <c r="G242" s="61" t="s">
        <v>1464</v>
      </c>
      <c r="H242" s="61" t="s">
        <v>1441</v>
      </c>
      <c r="I242" s="61" t="s">
        <v>1785</v>
      </c>
      <c r="J242" s="64">
        <v>13000</v>
      </c>
      <c r="K242" s="64">
        <v>13000</v>
      </c>
      <c r="L242" s="64" t="s">
        <v>167</v>
      </c>
      <c r="M242" s="64" t="s">
        <v>167</v>
      </c>
      <c r="N242" s="64" t="s">
        <v>167</v>
      </c>
      <c r="O242" s="64" t="s">
        <v>167</v>
      </c>
      <c r="P242" s="64" t="s">
        <v>167</v>
      </c>
    </row>
    <row r="243" spans="1:19">
      <c r="A243" s="16" t="s">
        <v>1414</v>
      </c>
      <c r="B243" s="61" t="s">
        <v>1786</v>
      </c>
      <c r="C243" s="61" t="s">
        <v>1787</v>
      </c>
      <c r="D243" s="61" t="s">
        <v>1438</v>
      </c>
      <c r="E243" s="62">
        <v>1</v>
      </c>
      <c r="F243" s="63"/>
      <c r="G243" s="61" t="s">
        <v>1438</v>
      </c>
      <c r="H243" s="61" t="s">
        <v>1441</v>
      </c>
      <c r="I243" s="61" t="s">
        <v>1516</v>
      </c>
      <c r="J243" s="64" t="s">
        <v>167</v>
      </c>
      <c r="K243" s="64" t="s">
        <v>167</v>
      </c>
      <c r="L243" s="64">
        <v>113750</v>
      </c>
      <c r="M243" s="64" t="s">
        <v>167</v>
      </c>
      <c r="N243" s="64" t="s">
        <v>167</v>
      </c>
      <c r="O243" s="64" t="s">
        <v>167</v>
      </c>
      <c r="P243" s="64" t="s">
        <v>167</v>
      </c>
    </row>
    <row r="244" spans="1:19">
      <c r="A244" s="16" t="s">
        <v>1414</v>
      </c>
      <c r="B244" s="61" t="s">
        <v>1786</v>
      </c>
      <c r="C244" s="61" t="s">
        <v>1787</v>
      </c>
      <c r="D244" s="61" t="s">
        <v>1468</v>
      </c>
      <c r="E244" s="62">
        <v>1</v>
      </c>
      <c r="F244" s="63"/>
      <c r="G244" s="61" t="s">
        <v>1464</v>
      </c>
      <c r="H244" s="61" t="s">
        <v>1441</v>
      </c>
      <c r="I244" s="61" t="s">
        <v>1788</v>
      </c>
      <c r="J244" s="64">
        <v>12000</v>
      </c>
      <c r="K244" s="64" t="s">
        <v>167</v>
      </c>
      <c r="L244" s="64">
        <v>12000</v>
      </c>
      <c r="M244" s="64" t="s">
        <v>167</v>
      </c>
      <c r="N244" s="64" t="s">
        <v>167</v>
      </c>
      <c r="O244" s="64" t="s">
        <v>167</v>
      </c>
      <c r="P244" s="64" t="s">
        <v>167</v>
      </c>
    </row>
    <row r="245" spans="1:19">
      <c r="A245" s="16" t="s">
        <v>1414</v>
      </c>
      <c r="B245" s="61" t="s">
        <v>389</v>
      </c>
      <c r="C245" s="61" t="s">
        <v>1789</v>
      </c>
      <c r="D245" s="61" t="s">
        <v>1473</v>
      </c>
      <c r="E245" s="62">
        <v>3</v>
      </c>
      <c r="F245" s="63"/>
      <c r="G245" s="61" t="s">
        <v>1455</v>
      </c>
      <c r="H245" s="61" t="s">
        <v>1441</v>
      </c>
      <c r="I245" s="61" t="s">
        <v>1790</v>
      </c>
      <c r="J245" s="64">
        <v>15000</v>
      </c>
      <c r="K245" s="64" t="s">
        <v>167</v>
      </c>
      <c r="L245" s="64" t="s">
        <v>167</v>
      </c>
      <c r="M245" s="64" t="s">
        <v>167</v>
      </c>
      <c r="N245" s="64" t="s">
        <v>167</v>
      </c>
      <c r="O245" s="64" t="s">
        <v>167</v>
      </c>
      <c r="P245" s="64" t="s">
        <v>167</v>
      </c>
    </row>
    <row r="246" spans="1:19">
      <c r="A246" s="16" t="s">
        <v>1414</v>
      </c>
      <c r="B246" s="61" t="s">
        <v>389</v>
      </c>
      <c r="C246" s="61" t="s">
        <v>1789</v>
      </c>
      <c r="D246" s="61" t="s">
        <v>1438</v>
      </c>
      <c r="E246" s="62">
        <v>3</v>
      </c>
      <c r="F246" s="63"/>
      <c r="G246" s="61" t="s">
        <v>1438</v>
      </c>
      <c r="H246" s="61" t="s">
        <v>1441</v>
      </c>
      <c r="I246" s="61" t="s">
        <v>1724</v>
      </c>
      <c r="J246" s="64" t="s">
        <v>167</v>
      </c>
      <c r="K246" s="64" t="s">
        <v>167</v>
      </c>
      <c r="L246" s="64" t="s">
        <v>167</v>
      </c>
      <c r="M246" s="64" t="s">
        <v>167</v>
      </c>
      <c r="N246" s="64">
        <v>282000</v>
      </c>
      <c r="O246" s="64" t="s">
        <v>167</v>
      </c>
      <c r="P246" s="64" t="s">
        <v>167</v>
      </c>
    </row>
    <row r="248" spans="1:19">
      <c r="I248" s="65" t="s">
        <v>1415</v>
      </c>
      <c r="J248" s="69">
        <f t="shared" ref="J248:P248" si="0">SUM(J2:J247)</f>
        <v>9549169</v>
      </c>
      <c r="K248" s="69">
        <f t="shared" si="0"/>
        <v>6325004</v>
      </c>
      <c r="L248" s="69">
        <f t="shared" si="0"/>
        <v>6216006</v>
      </c>
      <c r="M248" s="69">
        <f t="shared" si="0"/>
        <v>2712415</v>
      </c>
      <c r="N248" s="69">
        <f t="shared" si="0"/>
        <v>2679477</v>
      </c>
      <c r="O248" s="69">
        <f t="shared" si="0"/>
        <v>113750</v>
      </c>
      <c r="P248" s="69">
        <f t="shared" si="0"/>
        <v>357000</v>
      </c>
      <c r="Q248" s="24"/>
      <c r="S248" s="24"/>
    </row>
    <row r="250" spans="1:19">
      <c r="I250" s="70" t="s">
        <v>1791</v>
      </c>
      <c r="J250" s="71">
        <f>J248+K248+L248+M248+N248+O248+P248</f>
        <v>27952821</v>
      </c>
    </row>
    <row r="252" spans="1:19">
      <c r="I252" s="33" t="s">
        <v>1792</v>
      </c>
      <c r="J252" s="36" t="s">
        <v>1793</v>
      </c>
      <c r="K252" s="36"/>
      <c r="L252" s="36"/>
      <c r="M252" s="36"/>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D375C-5F72-4AA4-81BB-2E6162206C48}">
  <sheetPr codeName="Sheet14"/>
  <dimension ref="A1:S250"/>
  <sheetViews>
    <sheetView zoomScale="85" zoomScaleNormal="85" workbookViewId="0">
      <pane ySplit="1" topLeftCell="A125" activePane="bottomLeft" state="frozen"/>
      <selection pane="bottomLeft" activeCell="I252" sqref="I252:M252"/>
      <selection activeCell="I252" sqref="I252:M252"/>
    </sheetView>
  </sheetViews>
  <sheetFormatPr defaultColWidth="9" defaultRowHeight="15.6"/>
  <cols>
    <col min="1" max="1" width="9" style="16"/>
    <col min="2" max="2" width="8.625" style="16" customWidth="1"/>
    <col min="3" max="3" width="32.625" style="16" customWidth="1"/>
    <col min="4" max="4" width="8.125" style="16" customWidth="1"/>
    <col min="5" max="5" width="8.625" style="16" customWidth="1"/>
    <col min="6" max="6" width="3.5" style="16" customWidth="1"/>
    <col min="7" max="7" width="16.625" style="16" customWidth="1"/>
    <col min="8" max="8" width="3.625" style="16" customWidth="1"/>
    <col min="9" max="9" width="41.625" style="16" customWidth="1"/>
    <col min="10" max="10" width="12.5" style="72" bestFit="1" customWidth="1"/>
    <col min="11" max="14" width="11.125" style="72" bestFit="1" customWidth="1"/>
    <col min="15" max="15" width="9.625" style="72" bestFit="1" customWidth="1"/>
    <col min="16" max="16" width="10.625" style="72" bestFit="1" customWidth="1"/>
    <col min="17" max="16384" width="9" style="16"/>
  </cols>
  <sheetData>
    <row r="1" spans="1:16" ht="41.45">
      <c r="B1" s="59" t="s">
        <v>763</v>
      </c>
      <c r="C1" s="59" t="s">
        <v>1423</v>
      </c>
      <c r="D1" s="59" t="s">
        <v>1424</v>
      </c>
      <c r="E1" s="59" t="s">
        <v>1425</v>
      </c>
      <c r="F1" s="59" t="s">
        <v>772</v>
      </c>
      <c r="G1" s="59" t="s">
        <v>1426</v>
      </c>
      <c r="H1" s="59" t="s">
        <v>1427</v>
      </c>
      <c r="I1" s="59" t="s">
        <v>1428</v>
      </c>
      <c r="J1" s="60" t="s">
        <v>1429</v>
      </c>
      <c r="K1" s="60" t="s">
        <v>1430</v>
      </c>
      <c r="L1" s="60" t="s">
        <v>1431</v>
      </c>
      <c r="M1" s="60" t="s">
        <v>1432</v>
      </c>
      <c r="N1" s="60" t="s">
        <v>1433</v>
      </c>
      <c r="O1" s="60" t="s">
        <v>1434</v>
      </c>
      <c r="P1" s="60" t="s">
        <v>1435</v>
      </c>
    </row>
    <row r="2" spans="1:16" ht="27.6">
      <c r="A2" s="16" t="s">
        <v>153</v>
      </c>
      <c r="B2" s="61" t="s">
        <v>1436</v>
      </c>
      <c r="C2" s="61" t="s">
        <v>1437</v>
      </c>
      <c r="D2" s="61" t="s">
        <v>1438</v>
      </c>
      <c r="E2" s="62">
        <v>1</v>
      </c>
      <c r="F2" s="63"/>
      <c r="G2" s="61" t="s">
        <v>1438</v>
      </c>
      <c r="H2" s="61" t="s">
        <v>1439</v>
      </c>
      <c r="I2" s="61" t="s">
        <v>1440</v>
      </c>
      <c r="J2" s="64"/>
      <c r="K2" s="64"/>
      <c r="L2" s="64" t="s">
        <v>167</v>
      </c>
      <c r="M2" s="64"/>
      <c r="N2" s="64"/>
      <c r="O2" s="64" t="s">
        <v>167</v>
      </c>
      <c r="P2" s="64" t="s">
        <v>167</v>
      </c>
    </row>
    <row r="3" spans="1:16" ht="27.6">
      <c r="A3" s="16" t="s">
        <v>153</v>
      </c>
      <c r="B3" s="61" t="s">
        <v>1436</v>
      </c>
      <c r="C3" s="61" t="s">
        <v>1437</v>
      </c>
      <c r="D3" s="61" t="s">
        <v>1438</v>
      </c>
      <c r="E3" s="62">
        <v>1</v>
      </c>
      <c r="F3" s="63"/>
      <c r="G3" s="61" t="s">
        <v>1438</v>
      </c>
      <c r="H3" s="61" t="s">
        <v>1441</v>
      </c>
      <c r="I3" s="61" t="s">
        <v>1442</v>
      </c>
      <c r="J3" s="64" t="s">
        <v>167</v>
      </c>
      <c r="K3" s="64" t="s">
        <v>167</v>
      </c>
      <c r="L3" s="64">
        <v>539226</v>
      </c>
      <c r="M3" s="64" t="s">
        <v>167</v>
      </c>
      <c r="N3" s="64" t="s">
        <v>167</v>
      </c>
      <c r="O3" s="64" t="s">
        <v>167</v>
      </c>
      <c r="P3" s="64" t="s">
        <v>167</v>
      </c>
    </row>
    <row r="4" spans="1:16">
      <c r="A4" s="16" t="s">
        <v>153</v>
      </c>
      <c r="B4" s="61" t="s">
        <v>1443</v>
      </c>
      <c r="C4" s="61" t="s">
        <v>1444</v>
      </c>
      <c r="D4" s="61" t="s">
        <v>1445</v>
      </c>
      <c r="E4" s="62">
        <v>1</v>
      </c>
      <c r="F4" s="63"/>
      <c r="G4" s="61" t="s">
        <v>1446</v>
      </c>
      <c r="H4" s="61" t="s">
        <v>1441</v>
      </c>
      <c r="I4" s="61" t="s">
        <v>1447</v>
      </c>
      <c r="J4" s="64" t="s">
        <v>167</v>
      </c>
      <c r="K4" s="64"/>
      <c r="L4" s="64" t="s">
        <v>167</v>
      </c>
      <c r="M4" s="64">
        <v>25000</v>
      </c>
      <c r="N4" s="64" t="s">
        <v>167</v>
      </c>
      <c r="O4" s="64" t="s">
        <v>167</v>
      </c>
      <c r="P4" s="64" t="s">
        <v>167</v>
      </c>
    </row>
    <row r="5" spans="1:16">
      <c r="A5" s="16" t="s">
        <v>153</v>
      </c>
      <c r="B5" s="61" t="s">
        <v>1443</v>
      </c>
      <c r="C5" s="61" t="s">
        <v>1444</v>
      </c>
      <c r="D5" s="61" t="s">
        <v>1438</v>
      </c>
      <c r="E5" s="62">
        <v>1</v>
      </c>
      <c r="F5" s="63"/>
      <c r="G5" s="61" t="s">
        <v>1438</v>
      </c>
      <c r="H5" s="61" t="s">
        <v>1441</v>
      </c>
      <c r="I5" s="61" t="s">
        <v>1448</v>
      </c>
      <c r="J5" s="64" t="s">
        <v>167</v>
      </c>
      <c r="K5" s="64" t="s">
        <v>167</v>
      </c>
      <c r="L5" s="64" t="s">
        <v>167</v>
      </c>
      <c r="M5" s="64">
        <v>516445</v>
      </c>
      <c r="N5" s="64" t="s">
        <v>167</v>
      </c>
      <c r="O5" s="64" t="s">
        <v>167</v>
      </c>
      <c r="P5" s="64" t="s">
        <v>167</v>
      </c>
    </row>
    <row r="6" spans="1:16" ht="27.6">
      <c r="A6" s="16" t="s">
        <v>153</v>
      </c>
      <c r="B6" s="61" t="s">
        <v>1449</v>
      </c>
      <c r="C6" s="61" t="s">
        <v>1450</v>
      </c>
      <c r="D6" s="61" t="s">
        <v>1446</v>
      </c>
      <c r="E6" s="62">
        <v>1</v>
      </c>
      <c r="F6" s="63"/>
      <c r="G6" s="61" t="s">
        <v>1446</v>
      </c>
      <c r="H6" s="61" t="s">
        <v>1441</v>
      </c>
      <c r="I6" s="61" t="s">
        <v>1451</v>
      </c>
      <c r="J6" s="64"/>
      <c r="K6" s="64">
        <v>16250</v>
      </c>
      <c r="L6" s="64" t="s">
        <v>167</v>
      </c>
      <c r="M6" s="64" t="s">
        <v>167</v>
      </c>
      <c r="N6" s="64" t="s">
        <v>167</v>
      </c>
      <c r="O6" s="64" t="s">
        <v>167</v>
      </c>
      <c r="P6" s="64" t="s">
        <v>167</v>
      </c>
    </row>
    <row r="7" spans="1:16">
      <c r="A7" s="16" t="s">
        <v>153</v>
      </c>
      <c r="B7" s="61" t="s">
        <v>506</v>
      </c>
      <c r="C7" s="61" t="s">
        <v>1452</v>
      </c>
      <c r="D7" s="61" t="s">
        <v>1446</v>
      </c>
      <c r="E7" s="62">
        <v>1</v>
      </c>
      <c r="F7" s="63"/>
      <c r="G7" s="61" t="s">
        <v>1446</v>
      </c>
      <c r="H7" s="61" t="s">
        <v>1441</v>
      </c>
      <c r="I7" s="61" t="s">
        <v>1453</v>
      </c>
      <c r="J7" s="64" t="s">
        <v>167</v>
      </c>
      <c r="K7" s="64">
        <v>30000</v>
      </c>
      <c r="L7" s="64" t="s">
        <v>167</v>
      </c>
      <c r="M7" s="64" t="s">
        <v>167</v>
      </c>
      <c r="N7" s="64" t="s">
        <v>167</v>
      </c>
      <c r="O7" s="64" t="s">
        <v>167</v>
      </c>
      <c r="P7" s="64" t="s">
        <v>167</v>
      </c>
    </row>
    <row r="8" spans="1:16" ht="27.6">
      <c r="A8" s="16" t="s">
        <v>153</v>
      </c>
      <c r="B8" s="61" t="s">
        <v>506</v>
      </c>
      <c r="C8" s="61" t="s">
        <v>1452</v>
      </c>
      <c r="D8" s="61" t="s">
        <v>1454</v>
      </c>
      <c r="E8" s="62">
        <v>1</v>
      </c>
      <c r="F8" s="63"/>
      <c r="G8" s="61" t="s">
        <v>1455</v>
      </c>
      <c r="H8" s="61" t="s">
        <v>1441</v>
      </c>
      <c r="I8" s="61" t="s">
        <v>1456</v>
      </c>
      <c r="J8" s="64" t="s">
        <v>167</v>
      </c>
      <c r="K8" s="64">
        <v>144750</v>
      </c>
      <c r="L8" s="64" t="s">
        <v>167</v>
      </c>
      <c r="M8" s="64" t="s">
        <v>167</v>
      </c>
      <c r="N8" s="64" t="s">
        <v>167</v>
      </c>
      <c r="O8" s="64" t="s">
        <v>167</v>
      </c>
      <c r="P8" s="64" t="s">
        <v>167</v>
      </c>
    </row>
    <row r="9" spans="1:16" ht="27.6">
      <c r="A9" s="16" t="s">
        <v>153</v>
      </c>
      <c r="B9" s="61" t="s">
        <v>506</v>
      </c>
      <c r="C9" s="61" t="s">
        <v>1452</v>
      </c>
      <c r="D9" s="61" t="s">
        <v>1438</v>
      </c>
      <c r="E9" s="62">
        <v>1</v>
      </c>
      <c r="F9" s="63"/>
      <c r="G9" s="61" t="s">
        <v>1438</v>
      </c>
      <c r="H9" s="61" t="s">
        <v>1441</v>
      </c>
      <c r="I9" s="61" t="s">
        <v>1457</v>
      </c>
      <c r="J9" s="64" t="s">
        <v>167</v>
      </c>
      <c r="K9" s="64">
        <v>324996</v>
      </c>
      <c r="L9" s="64" t="s">
        <v>167</v>
      </c>
      <c r="M9" s="64" t="s">
        <v>167</v>
      </c>
      <c r="N9" s="64" t="s">
        <v>167</v>
      </c>
      <c r="O9" s="64" t="s">
        <v>167</v>
      </c>
      <c r="P9" s="64" t="s">
        <v>167</v>
      </c>
    </row>
    <row r="10" spans="1:16" ht="27.6">
      <c r="A10" s="16" t="s">
        <v>153</v>
      </c>
      <c r="B10" s="61" t="s">
        <v>1458</v>
      </c>
      <c r="C10" s="61" t="s">
        <v>1459</v>
      </c>
      <c r="D10" s="61" t="s">
        <v>104</v>
      </c>
      <c r="E10" s="62">
        <v>1</v>
      </c>
      <c r="F10" s="63"/>
      <c r="G10" s="61" t="s">
        <v>1460</v>
      </c>
      <c r="H10" s="61" t="s">
        <v>1441</v>
      </c>
      <c r="I10" s="61" t="s">
        <v>1461</v>
      </c>
      <c r="J10" s="64">
        <v>23150</v>
      </c>
      <c r="K10" s="64" t="s">
        <v>167</v>
      </c>
      <c r="L10" s="64" t="s">
        <v>167</v>
      </c>
      <c r="M10" s="64" t="s">
        <v>167</v>
      </c>
      <c r="N10" s="64" t="s">
        <v>167</v>
      </c>
      <c r="O10" s="64" t="s">
        <v>167</v>
      </c>
      <c r="P10" s="64" t="s">
        <v>167</v>
      </c>
    </row>
    <row r="11" spans="1:16">
      <c r="A11" s="16" t="s">
        <v>153</v>
      </c>
      <c r="B11" s="61" t="s">
        <v>1458</v>
      </c>
      <c r="C11" s="61" t="s">
        <v>1459</v>
      </c>
      <c r="D11" s="61" t="s">
        <v>1446</v>
      </c>
      <c r="E11" s="62">
        <v>1</v>
      </c>
      <c r="F11" s="63"/>
      <c r="G11" s="61" t="s">
        <v>1446</v>
      </c>
      <c r="H11" s="61" t="s">
        <v>1441</v>
      </c>
      <c r="I11" s="61" t="s">
        <v>1462</v>
      </c>
      <c r="J11" s="64" t="s">
        <v>167</v>
      </c>
      <c r="K11" s="64"/>
      <c r="L11" s="64"/>
      <c r="M11" s="64"/>
      <c r="N11" s="64" t="s">
        <v>167</v>
      </c>
      <c r="O11" s="64" t="s">
        <v>167</v>
      </c>
      <c r="P11" s="64" t="s">
        <v>167</v>
      </c>
    </row>
    <row r="12" spans="1:16" ht="27.6">
      <c r="A12" s="16" t="s">
        <v>153</v>
      </c>
      <c r="B12" s="61" t="s">
        <v>1458</v>
      </c>
      <c r="C12" s="61" t="s">
        <v>1459</v>
      </c>
      <c r="D12" s="61" t="s">
        <v>1463</v>
      </c>
      <c r="E12" s="62">
        <v>1</v>
      </c>
      <c r="F12" s="63"/>
      <c r="G12" s="61" t="s">
        <v>1464</v>
      </c>
      <c r="H12" s="61" t="s">
        <v>1441</v>
      </c>
      <c r="I12" s="61" t="s">
        <v>1465</v>
      </c>
      <c r="J12" s="64">
        <v>15000</v>
      </c>
      <c r="K12" s="64" t="s">
        <v>167</v>
      </c>
      <c r="L12" s="64" t="s">
        <v>167</v>
      </c>
      <c r="M12" s="64" t="s">
        <v>167</v>
      </c>
      <c r="N12" s="64" t="s">
        <v>167</v>
      </c>
      <c r="O12" s="64" t="s">
        <v>167</v>
      </c>
      <c r="P12" s="64" t="s">
        <v>167</v>
      </c>
    </row>
    <row r="13" spans="1:16" ht="41.45">
      <c r="A13" s="16" t="s">
        <v>153</v>
      </c>
      <c r="B13" s="61" t="s">
        <v>1458</v>
      </c>
      <c r="C13" s="61" t="s">
        <v>1459</v>
      </c>
      <c r="D13" s="61" t="s">
        <v>1466</v>
      </c>
      <c r="E13" s="62">
        <v>1</v>
      </c>
      <c r="F13" s="63"/>
      <c r="G13" s="61" t="s">
        <v>1455</v>
      </c>
      <c r="H13" s="61" t="s">
        <v>1441</v>
      </c>
      <c r="I13" s="61" t="s">
        <v>1467</v>
      </c>
      <c r="J13" s="64"/>
      <c r="K13" s="64">
        <v>45000</v>
      </c>
      <c r="L13" s="64"/>
      <c r="M13" s="64" t="s">
        <v>167</v>
      </c>
      <c r="N13" s="64" t="s">
        <v>167</v>
      </c>
      <c r="O13" s="64" t="s">
        <v>167</v>
      </c>
      <c r="P13" s="64" t="s">
        <v>167</v>
      </c>
    </row>
    <row r="14" spans="1:16">
      <c r="A14" s="16" t="s">
        <v>153</v>
      </c>
      <c r="B14" s="61" t="s">
        <v>1458</v>
      </c>
      <c r="C14" s="61" t="s">
        <v>1459</v>
      </c>
      <c r="D14" s="61" t="s">
        <v>1468</v>
      </c>
      <c r="E14" s="62">
        <v>1</v>
      </c>
      <c r="F14" s="63"/>
      <c r="G14" s="61" t="s">
        <v>1464</v>
      </c>
      <c r="H14" s="61" t="s">
        <v>1441</v>
      </c>
      <c r="I14" s="61" t="s">
        <v>1469</v>
      </c>
      <c r="J14" s="64">
        <v>15000</v>
      </c>
      <c r="K14" s="64" t="s">
        <v>167</v>
      </c>
      <c r="L14" s="64" t="s">
        <v>167</v>
      </c>
      <c r="M14" s="64" t="s">
        <v>167</v>
      </c>
      <c r="N14" s="64" t="s">
        <v>167</v>
      </c>
      <c r="O14" s="64" t="s">
        <v>167</v>
      </c>
      <c r="P14" s="64" t="s">
        <v>167</v>
      </c>
    </row>
    <row r="15" spans="1:16" ht="41.45">
      <c r="A15" s="16" t="s">
        <v>153</v>
      </c>
      <c r="B15" s="61" t="s">
        <v>1458</v>
      </c>
      <c r="C15" s="61" t="s">
        <v>1459</v>
      </c>
      <c r="D15" s="61" t="s">
        <v>1470</v>
      </c>
      <c r="E15" s="62">
        <v>1</v>
      </c>
      <c r="F15" s="63"/>
      <c r="G15" s="61" t="s">
        <v>1460</v>
      </c>
      <c r="H15" s="61" t="s">
        <v>1441</v>
      </c>
      <c r="I15" s="61" t="s">
        <v>1471</v>
      </c>
      <c r="J15" s="64">
        <v>175000</v>
      </c>
      <c r="K15" s="64" t="s">
        <v>167</v>
      </c>
      <c r="L15" s="64" t="s">
        <v>167</v>
      </c>
      <c r="M15" s="64" t="s">
        <v>167</v>
      </c>
      <c r="N15" s="64" t="s">
        <v>167</v>
      </c>
      <c r="O15" s="64" t="s">
        <v>167</v>
      </c>
      <c r="P15" s="64" t="s">
        <v>167</v>
      </c>
    </row>
    <row r="16" spans="1:16">
      <c r="A16" s="16" t="s">
        <v>153</v>
      </c>
      <c r="B16" s="61" t="s">
        <v>155</v>
      </c>
      <c r="C16" s="61" t="s">
        <v>1472</v>
      </c>
      <c r="D16" s="61" t="s">
        <v>1473</v>
      </c>
      <c r="E16" s="62">
        <v>1</v>
      </c>
      <c r="F16" s="63"/>
      <c r="G16" s="61" t="s">
        <v>1455</v>
      </c>
      <c r="H16" s="61" t="s">
        <v>1441</v>
      </c>
      <c r="I16" s="61" t="s">
        <v>1474</v>
      </c>
      <c r="J16" s="64"/>
      <c r="K16" s="64" t="s">
        <v>167</v>
      </c>
      <c r="L16" s="64">
        <v>15000</v>
      </c>
      <c r="M16" s="64" t="s">
        <v>167</v>
      </c>
      <c r="N16" s="64" t="s">
        <v>167</v>
      </c>
      <c r="O16" s="64" t="s">
        <v>167</v>
      </c>
      <c r="P16" s="64" t="s">
        <v>167</v>
      </c>
    </row>
    <row r="17" spans="1:16">
      <c r="A17" s="16" t="s">
        <v>153</v>
      </c>
      <c r="B17" s="61" t="s">
        <v>155</v>
      </c>
      <c r="C17" s="61" t="s">
        <v>1472</v>
      </c>
      <c r="D17" s="61" t="s">
        <v>1438</v>
      </c>
      <c r="E17" s="62">
        <v>1</v>
      </c>
      <c r="F17" s="63"/>
      <c r="G17" s="61" t="s">
        <v>1438</v>
      </c>
      <c r="H17" s="61" t="s">
        <v>1441</v>
      </c>
      <c r="I17" s="61" t="s">
        <v>1475</v>
      </c>
      <c r="J17" s="64"/>
      <c r="K17" s="64"/>
      <c r="L17" s="64"/>
      <c r="M17" s="64"/>
      <c r="N17" s="64"/>
      <c r="O17" s="64" t="s">
        <v>167</v>
      </c>
      <c r="P17" s="64" t="s">
        <v>167</v>
      </c>
    </row>
    <row r="18" spans="1:16" ht="82.9">
      <c r="A18" s="16" t="s">
        <v>153</v>
      </c>
      <c r="B18" s="61" t="s">
        <v>199</v>
      </c>
      <c r="C18" s="61" t="s">
        <v>920</v>
      </c>
      <c r="D18" s="61" t="s">
        <v>1445</v>
      </c>
      <c r="E18" s="62">
        <v>1</v>
      </c>
      <c r="F18" s="63"/>
      <c r="G18" s="61" t="s">
        <v>1446</v>
      </c>
      <c r="H18" s="61" t="s">
        <v>1441</v>
      </c>
      <c r="I18" s="61" t="s">
        <v>1476</v>
      </c>
      <c r="J18" s="64">
        <v>30000</v>
      </c>
      <c r="K18" s="64"/>
      <c r="L18" s="64" t="s">
        <v>167</v>
      </c>
      <c r="M18" s="64" t="s">
        <v>167</v>
      </c>
      <c r="N18" s="64">
        <v>12500</v>
      </c>
      <c r="O18" s="64" t="s">
        <v>167</v>
      </c>
      <c r="P18" s="64" t="s">
        <v>167</v>
      </c>
    </row>
    <row r="19" spans="1:16" ht="27.6">
      <c r="A19" s="16" t="s">
        <v>153</v>
      </c>
      <c r="B19" s="61" t="s">
        <v>199</v>
      </c>
      <c r="C19" s="61" t="s">
        <v>920</v>
      </c>
      <c r="D19" s="61" t="s">
        <v>1463</v>
      </c>
      <c r="E19" s="62">
        <v>1</v>
      </c>
      <c r="F19" s="63"/>
      <c r="G19" s="61" t="s">
        <v>1464</v>
      </c>
      <c r="H19" s="61" t="s">
        <v>1441</v>
      </c>
      <c r="I19" s="61" t="s">
        <v>1477</v>
      </c>
      <c r="J19" s="64">
        <v>10000</v>
      </c>
      <c r="K19" s="64" t="s">
        <v>167</v>
      </c>
      <c r="L19" s="64" t="s">
        <v>167</v>
      </c>
      <c r="M19" s="64"/>
      <c r="N19" s="64" t="s">
        <v>167</v>
      </c>
      <c r="O19" s="64" t="s">
        <v>167</v>
      </c>
      <c r="P19" s="64" t="s">
        <v>167</v>
      </c>
    </row>
    <row r="20" spans="1:16" ht="27.6">
      <c r="A20" s="16" t="s">
        <v>153</v>
      </c>
      <c r="B20" s="61" t="s">
        <v>199</v>
      </c>
      <c r="C20" s="61" t="s">
        <v>920</v>
      </c>
      <c r="D20" s="61" t="s">
        <v>1478</v>
      </c>
      <c r="E20" s="62">
        <v>1</v>
      </c>
      <c r="F20" s="63"/>
      <c r="G20" s="61" t="s">
        <v>1464</v>
      </c>
      <c r="H20" s="61" t="s">
        <v>1441</v>
      </c>
      <c r="I20" s="61" t="s">
        <v>1479</v>
      </c>
      <c r="J20" s="64" t="s">
        <v>167</v>
      </c>
      <c r="K20" s="64">
        <v>220000</v>
      </c>
      <c r="L20" s="64" t="s">
        <v>167</v>
      </c>
      <c r="M20" s="64" t="s">
        <v>167</v>
      </c>
      <c r="N20" s="64" t="s">
        <v>167</v>
      </c>
      <c r="O20" s="64" t="s">
        <v>167</v>
      </c>
      <c r="P20" s="64" t="s">
        <v>167</v>
      </c>
    </row>
    <row r="21" spans="1:16" ht="27.6">
      <c r="A21" s="16" t="s">
        <v>153</v>
      </c>
      <c r="B21" s="61" t="s">
        <v>199</v>
      </c>
      <c r="C21" s="61" t="s">
        <v>920</v>
      </c>
      <c r="D21" s="61" t="s">
        <v>1480</v>
      </c>
      <c r="E21" s="62">
        <v>1</v>
      </c>
      <c r="F21" s="63"/>
      <c r="G21" s="61" t="s">
        <v>1455</v>
      </c>
      <c r="H21" s="61" t="s">
        <v>1441</v>
      </c>
      <c r="I21" s="61" t="s">
        <v>1481</v>
      </c>
      <c r="J21" s="64"/>
      <c r="K21" s="64"/>
      <c r="L21" s="64">
        <v>10000</v>
      </c>
      <c r="M21" s="64"/>
      <c r="N21" s="64"/>
      <c r="O21" s="64" t="s">
        <v>167</v>
      </c>
      <c r="P21" s="64" t="s">
        <v>167</v>
      </c>
    </row>
    <row r="22" spans="1:16" ht="55.15">
      <c r="A22" s="16" t="s">
        <v>153</v>
      </c>
      <c r="B22" s="61" t="s">
        <v>199</v>
      </c>
      <c r="C22" s="61" t="s">
        <v>920</v>
      </c>
      <c r="D22" s="61" t="s">
        <v>1482</v>
      </c>
      <c r="E22" s="62">
        <v>1</v>
      </c>
      <c r="F22" s="63"/>
      <c r="G22" s="61" t="s">
        <v>1464</v>
      </c>
      <c r="H22" s="61" t="s">
        <v>1441</v>
      </c>
      <c r="I22" s="61" t="s">
        <v>1483</v>
      </c>
      <c r="J22" s="64">
        <v>28125</v>
      </c>
      <c r="K22" s="64"/>
      <c r="L22" s="64" t="s">
        <v>167</v>
      </c>
      <c r="M22" s="64">
        <v>18750</v>
      </c>
      <c r="N22" s="64">
        <v>22500</v>
      </c>
      <c r="O22" s="64" t="s">
        <v>167</v>
      </c>
      <c r="P22" s="64" t="s">
        <v>167</v>
      </c>
    </row>
    <row r="23" spans="1:16" ht="27.6">
      <c r="A23" s="16" t="s">
        <v>153</v>
      </c>
      <c r="B23" s="61" t="s">
        <v>199</v>
      </c>
      <c r="C23" s="61" t="s">
        <v>920</v>
      </c>
      <c r="D23" s="61" t="s">
        <v>1468</v>
      </c>
      <c r="E23" s="62">
        <v>1</v>
      </c>
      <c r="F23" s="63"/>
      <c r="G23" s="61" t="s">
        <v>1464</v>
      </c>
      <c r="H23" s="61" t="s">
        <v>1441</v>
      </c>
      <c r="I23" s="61" t="s">
        <v>1484</v>
      </c>
      <c r="J23" s="64">
        <v>22500</v>
      </c>
      <c r="K23" s="64" t="s">
        <v>167</v>
      </c>
      <c r="L23" s="64" t="s">
        <v>167</v>
      </c>
      <c r="M23" s="64" t="s">
        <v>167</v>
      </c>
      <c r="N23" s="64" t="s">
        <v>167</v>
      </c>
      <c r="O23" s="64" t="s">
        <v>167</v>
      </c>
      <c r="P23" s="64" t="s">
        <v>167</v>
      </c>
    </row>
    <row r="24" spans="1:16" ht="27.6">
      <c r="A24" s="16" t="s">
        <v>153</v>
      </c>
      <c r="B24" s="61" t="s">
        <v>1485</v>
      </c>
      <c r="C24" s="61" t="s">
        <v>1486</v>
      </c>
      <c r="D24" s="61" t="s">
        <v>1466</v>
      </c>
      <c r="E24" s="62">
        <v>1</v>
      </c>
      <c r="F24" s="63"/>
      <c r="G24" s="61" t="s">
        <v>1455</v>
      </c>
      <c r="H24" s="61" t="s">
        <v>1441</v>
      </c>
      <c r="I24" s="61" t="s">
        <v>1487</v>
      </c>
      <c r="J24" s="64" t="s">
        <v>167</v>
      </c>
      <c r="K24" s="64"/>
      <c r="L24" s="64">
        <v>20000</v>
      </c>
      <c r="M24" s="64"/>
      <c r="N24" s="64"/>
      <c r="O24" s="64" t="s">
        <v>167</v>
      </c>
      <c r="P24" s="64" t="s">
        <v>167</v>
      </c>
    </row>
    <row r="25" spans="1:16" ht="27.6">
      <c r="A25" s="16" t="s">
        <v>153</v>
      </c>
      <c r="B25" s="61" t="s">
        <v>1485</v>
      </c>
      <c r="C25" s="61" t="s">
        <v>1486</v>
      </c>
      <c r="D25" s="61" t="s">
        <v>1438</v>
      </c>
      <c r="E25" s="62">
        <v>1</v>
      </c>
      <c r="F25" s="63"/>
      <c r="G25" s="61" t="s">
        <v>1438</v>
      </c>
      <c r="H25" s="61" t="s">
        <v>1439</v>
      </c>
      <c r="I25" s="61" t="s">
        <v>1488</v>
      </c>
      <c r="J25" s="64"/>
      <c r="K25" s="64" t="s">
        <v>167</v>
      </c>
      <c r="L25" s="64"/>
      <c r="M25" s="64"/>
      <c r="N25" s="64"/>
      <c r="O25" s="64" t="s">
        <v>167</v>
      </c>
      <c r="P25" s="64" t="s">
        <v>167</v>
      </c>
    </row>
    <row r="26" spans="1:16">
      <c r="A26" s="16" t="s">
        <v>153</v>
      </c>
      <c r="B26" s="61" t="s">
        <v>1485</v>
      </c>
      <c r="C26" s="61" t="s">
        <v>1486</v>
      </c>
      <c r="D26" s="61" t="s">
        <v>1438</v>
      </c>
      <c r="E26" s="62">
        <v>1</v>
      </c>
      <c r="F26" s="63"/>
      <c r="G26" s="61" t="s">
        <v>1438</v>
      </c>
      <c r="H26" s="61" t="s">
        <v>1441</v>
      </c>
      <c r="I26" s="61" t="s">
        <v>1489</v>
      </c>
      <c r="J26" s="64">
        <v>24980</v>
      </c>
      <c r="K26" s="64" t="s">
        <v>167</v>
      </c>
      <c r="L26" s="64" t="s">
        <v>167</v>
      </c>
      <c r="M26" s="64" t="s">
        <v>167</v>
      </c>
      <c r="N26" s="64" t="s">
        <v>167</v>
      </c>
      <c r="O26" s="64" t="s">
        <v>167</v>
      </c>
      <c r="P26" s="64" t="s">
        <v>167</v>
      </c>
    </row>
    <row r="27" spans="1:16">
      <c r="A27" s="16" t="s">
        <v>153</v>
      </c>
      <c r="B27" s="61" t="s">
        <v>1485</v>
      </c>
      <c r="C27" s="61" t="s">
        <v>1486</v>
      </c>
      <c r="D27" s="61" t="s">
        <v>1438</v>
      </c>
      <c r="E27" s="62">
        <v>1</v>
      </c>
      <c r="F27" s="63"/>
      <c r="G27" s="61" t="s">
        <v>1438</v>
      </c>
      <c r="H27" s="61" t="s">
        <v>1441</v>
      </c>
      <c r="I27" s="61" t="s">
        <v>1490</v>
      </c>
      <c r="J27" s="64" t="s">
        <v>167</v>
      </c>
      <c r="K27" s="64">
        <v>75000</v>
      </c>
      <c r="L27" s="64" t="s">
        <v>167</v>
      </c>
      <c r="M27" s="64" t="s">
        <v>167</v>
      </c>
      <c r="N27" s="64" t="s">
        <v>167</v>
      </c>
      <c r="O27" s="64" t="s">
        <v>167</v>
      </c>
      <c r="P27" s="64" t="s">
        <v>167</v>
      </c>
    </row>
    <row r="28" spans="1:16" ht="41.45">
      <c r="A28" s="16" t="s">
        <v>153</v>
      </c>
      <c r="B28" s="61" t="s">
        <v>1485</v>
      </c>
      <c r="C28" s="61" t="s">
        <v>1486</v>
      </c>
      <c r="D28" s="61" t="s">
        <v>1468</v>
      </c>
      <c r="E28" s="62">
        <v>1</v>
      </c>
      <c r="F28" s="63"/>
      <c r="G28" s="61" t="s">
        <v>1464</v>
      </c>
      <c r="H28" s="61" t="s">
        <v>1441</v>
      </c>
      <c r="I28" s="61" t="s">
        <v>1491</v>
      </c>
      <c r="J28" s="64">
        <v>144000</v>
      </c>
      <c r="K28" s="64" t="s">
        <v>167</v>
      </c>
      <c r="L28" s="64" t="s">
        <v>167</v>
      </c>
      <c r="M28" s="64" t="s">
        <v>167</v>
      </c>
      <c r="N28" s="64" t="s">
        <v>167</v>
      </c>
      <c r="O28" s="64" t="s">
        <v>167</v>
      </c>
      <c r="P28" s="64" t="s">
        <v>167</v>
      </c>
    </row>
    <row r="29" spans="1:16">
      <c r="A29" s="16" t="s">
        <v>153</v>
      </c>
      <c r="B29" s="61" t="s">
        <v>1485</v>
      </c>
      <c r="C29" s="61" t="s">
        <v>1486</v>
      </c>
      <c r="D29" s="61" t="s">
        <v>1446</v>
      </c>
      <c r="E29" s="62">
        <v>1</v>
      </c>
      <c r="F29" s="63"/>
      <c r="G29" s="61" t="s">
        <v>1446</v>
      </c>
      <c r="H29" s="61" t="s">
        <v>1441</v>
      </c>
      <c r="I29" s="61" t="s">
        <v>1492</v>
      </c>
      <c r="J29" s="64" t="s">
        <v>167</v>
      </c>
      <c r="K29" s="64" t="s">
        <v>167</v>
      </c>
      <c r="L29" s="64">
        <v>80000</v>
      </c>
      <c r="M29" s="64" t="s">
        <v>167</v>
      </c>
      <c r="N29" s="64" t="s">
        <v>167</v>
      </c>
      <c r="O29" s="64" t="s">
        <v>167</v>
      </c>
      <c r="P29" s="64" t="s">
        <v>167</v>
      </c>
    </row>
    <row r="30" spans="1:16">
      <c r="A30" s="16" t="s">
        <v>153</v>
      </c>
      <c r="B30" s="61" t="s">
        <v>1493</v>
      </c>
      <c r="C30" s="61" t="s">
        <v>1494</v>
      </c>
      <c r="D30" s="61" t="s">
        <v>1438</v>
      </c>
      <c r="E30" s="62">
        <v>1</v>
      </c>
      <c r="F30" s="63"/>
      <c r="G30" s="61" t="s">
        <v>1438</v>
      </c>
      <c r="H30" s="61" t="s">
        <v>1441</v>
      </c>
      <c r="I30" s="61" t="s">
        <v>1448</v>
      </c>
      <c r="J30" s="64" t="s">
        <v>167</v>
      </c>
      <c r="K30" s="64" t="s">
        <v>167</v>
      </c>
      <c r="L30" s="64" t="s">
        <v>167</v>
      </c>
      <c r="M30" s="64">
        <v>303345</v>
      </c>
      <c r="N30" s="64" t="s">
        <v>167</v>
      </c>
      <c r="O30" s="64" t="s">
        <v>167</v>
      </c>
      <c r="P30" s="64" t="s">
        <v>167</v>
      </c>
    </row>
    <row r="31" spans="1:16" ht="55.15">
      <c r="A31" s="16" t="s">
        <v>153</v>
      </c>
      <c r="B31" s="61" t="s">
        <v>1495</v>
      </c>
      <c r="C31" s="61" t="s">
        <v>1496</v>
      </c>
      <c r="D31" s="61" t="s">
        <v>1497</v>
      </c>
      <c r="E31" s="62">
        <v>1</v>
      </c>
      <c r="F31" s="63"/>
      <c r="G31" s="61" t="s">
        <v>1460</v>
      </c>
      <c r="H31" s="61" t="s">
        <v>1441</v>
      </c>
      <c r="I31" s="61" t="s">
        <v>1498</v>
      </c>
      <c r="J31" s="64">
        <v>127276</v>
      </c>
      <c r="K31" s="64" t="s">
        <v>167</v>
      </c>
      <c r="L31" s="64" t="s">
        <v>167</v>
      </c>
      <c r="M31" s="64" t="s">
        <v>167</v>
      </c>
      <c r="N31" s="64" t="s">
        <v>167</v>
      </c>
      <c r="O31" s="64" t="s">
        <v>167</v>
      </c>
      <c r="P31" s="64" t="s">
        <v>167</v>
      </c>
    </row>
    <row r="32" spans="1:16">
      <c r="A32" s="16" t="s">
        <v>153</v>
      </c>
      <c r="B32" s="61" t="s">
        <v>1495</v>
      </c>
      <c r="C32" s="61" t="s">
        <v>1496</v>
      </c>
      <c r="D32" s="61" t="s">
        <v>1438</v>
      </c>
      <c r="E32" s="62">
        <v>1</v>
      </c>
      <c r="F32" s="63"/>
      <c r="G32" s="61" t="s">
        <v>1438</v>
      </c>
      <c r="H32" s="61" t="s">
        <v>1441</v>
      </c>
      <c r="I32" s="61" t="s">
        <v>1448</v>
      </c>
      <c r="J32" s="64">
        <v>288000</v>
      </c>
      <c r="K32" s="64" t="s">
        <v>167</v>
      </c>
      <c r="L32" s="64" t="s">
        <v>167</v>
      </c>
      <c r="M32" s="64" t="s">
        <v>167</v>
      </c>
      <c r="N32" s="64" t="s">
        <v>167</v>
      </c>
      <c r="O32" s="64" t="s">
        <v>167</v>
      </c>
      <c r="P32" s="64" t="s">
        <v>167</v>
      </c>
    </row>
    <row r="33" spans="1:16">
      <c r="A33" s="16" t="s">
        <v>153</v>
      </c>
      <c r="B33" s="61" t="s">
        <v>1495</v>
      </c>
      <c r="C33" s="61" t="s">
        <v>1496</v>
      </c>
      <c r="D33" s="61" t="s">
        <v>1482</v>
      </c>
      <c r="E33" s="62">
        <v>1</v>
      </c>
      <c r="F33" s="63"/>
      <c r="G33" s="61" t="s">
        <v>1460</v>
      </c>
      <c r="H33" s="61" t="s">
        <v>1441</v>
      </c>
      <c r="I33" s="61" t="s">
        <v>1499</v>
      </c>
      <c r="J33" s="64">
        <v>60000</v>
      </c>
      <c r="K33" s="64" t="s">
        <v>167</v>
      </c>
      <c r="L33" s="64" t="s">
        <v>167</v>
      </c>
      <c r="M33" s="64" t="s">
        <v>167</v>
      </c>
      <c r="N33" s="64" t="s">
        <v>167</v>
      </c>
      <c r="O33" s="64" t="s">
        <v>167</v>
      </c>
      <c r="P33" s="64" t="s">
        <v>167</v>
      </c>
    </row>
    <row r="34" spans="1:16">
      <c r="A34" s="16" t="s">
        <v>153</v>
      </c>
      <c r="B34" s="61" t="s">
        <v>1495</v>
      </c>
      <c r="C34" s="61" t="s">
        <v>1496</v>
      </c>
      <c r="D34" s="61" t="s">
        <v>1446</v>
      </c>
      <c r="E34" s="62">
        <v>1</v>
      </c>
      <c r="F34" s="63"/>
      <c r="G34" s="61" t="s">
        <v>1446</v>
      </c>
      <c r="H34" s="61" t="s">
        <v>1441</v>
      </c>
      <c r="I34" s="61" t="s">
        <v>1500</v>
      </c>
      <c r="J34" s="64" t="s">
        <v>167</v>
      </c>
      <c r="K34" s="64"/>
      <c r="L34" s="64" t="s">
        <v>167</v>
      </c>
      <c r="M34" s="64" t="s">
        <v>167</v>
      </c>
      <c r="N34" s="64" t="s">
        <v>167</v>
      </c>
      <c r="O34" s="64" t="s">
        <v>167</v>
      </c>
      <c r="P34" s="64" t="s">
        <v>167</v>
      </c>
    </row>
    <row r="35" spans="1:16">
      <c r="A35" s="16" t="s">
        <v>153</v>
      </c>
      <c r="B35" s="61" t="s">
        <v>1495</v>
      </c>
      <c r="C35" s="61" t="s">
        <v>1496</v>
      </c>
      <c r="D35" s="61" t="s">
        <v>1468</v>
      </c>
      <c r="E35" s="62">
        <v>1</v>
      </c>
      <c r="F35" s="63"/>
      <c r="G35" s="61" t="s">
        <v>1464</v>
      </c>
      <c r="H35" s="61" t="s">
        <v>1441</v>
      </c>
      <c r="I35" s="61" t="s">
        <v>1501</v>
      </c>
      <c r="J35" s="64" t="s">
        <v>167</v>
      </c>
      <c r="K35" s="64" t="s">
        <v>167</v>
      </c>
      <c r="L35" s="64">
        <v>30000</v>
      </c>
      <c r="M35" s="64" t="s">
        <v>167</v>
      </c>
      <c r="N35" s="64" t="s">
        <v>167</v>
      </c>
      <c r="O35" s="64" t="s">
        <v>167</v>
      </c>
      <c r="P35" s="64" t="s">
        <v>167</v>
      </c>
    </row>
    <row r="36" spans="1:16">
      <c r="A36" s="16" t="s">
        <v>153</v>
      </c>
      <c r="B36" s="61" t="s">
        <v>1502</v>
      </c>
      <c r="C36" s="61" t="s">
        <v>1503</v>
      </c>
      <c r="D36" s="61" t="s">
        <v>1504</v>
      </c>
      <c r="E36" s="62">
        <v>1</v>
      </c>
      <c r="F36" s="63"/>
      <c r="G36" s="61" t="s">
        <v>1464</v>
      </c>
      <c r="H36" s="61" t="s">
        <v>1439</v>
      </c>
      <c r="I36" s="61" t="s">
        <v>1505</v>
      </c>
      <c r="J36" s="64"/>
      <c r="K36" s="64" t="s">
        <v>167</v>
      </c>
      <c r="L36" s="64" t="s">
        <v>167</v>
      </c>
      <c r="M36" s="64" t="s">
        <v>167</v>
      </c>
      <c r="N36" s="64" t="s">
        <v>167</v>
      </c>
      <c r="O36" s="64" t="s">
        <v>167</v>
      </c>
      <c r="P36" s="64" t="s">
        <v>167</v>
      </c>
    </row>
    <row r="37" spans="1:16" ht="27.6">
      <c r="A37" s="16" t="s">
        <v>153</v>
      </c>
      <c r="B37" s="61" t="s">
        <v>664</v>
      </c>
      <c r="C37" s="61" t="s">
        <v>1506</v>
      </c>
      <c r="D37" s="61" t="s">
        <v>1454</v>
      </c>
      <c r="E37" s="62">
        <v>1</v>
      </c>
      <c r="F37" s="63"/>
      <c r="G37" s="61" t="s">
        <v>1455</v>
      </c>
      <c r="H37" s="61" t="s">
        <v>1441</v>
      </c>
      <c r="I37" s="61" t="s">
        <v>1507</v>
      </c>
      <c r="J37" s="64" t="s">
        <v>167</v>
      </c>
      <c r="K37" s="64"/>
      <c r="L37" s="64"/>
      <c r="M37" s="64" t="s">
        <v>167</v>
      </c>
      <c r="N37" s="64" t="s">
        <v>167</v>
      </c>
      <c r="O37" s="64" t="s">
        <v>167</v>
      </c>
      <c r="P37" s="64" t="s">
        <v>167</v>
      </c>
    </row>
    <row r="38" spans="1:16" ht="27.6">
      <c r="A38" s="16" t="s">
        <v>153</v>
      </c>
      <c r="B38" s="61" t="s">
        <v>664</v>
      </c>
      <c r="C38" s="61" t="s">
        <v>1506</v>
      </c>
      <c r="D38" s="61" t="s">
        <v>1508</v>
      </c>
      <c r="E38" s="62">
        <v>1</v>
      </c>
      <c r="F38" s="63"/>
      <c r="G38" s="61" t="s">
        <v>1438</v>
      </c>
      <c r="H38" s="61" t="s">
        <v>1441</v>
      </c>
      <c r="I38" s="61" t="s">
        <v>1509</v>
      </c>
      <c r="J38" s="64"/>
      <c r="K38" s="64"/>
      <c r="L38" s="64">
        <v>45000</v>
      </c>
      <c r="M38" s="64"/>
      <c r="N38" s="64"/>
      <c r="O38" s="64"/>
      <c r="P38" s="64" t="s">
        <v>167</v>
      </c>
    </row>
    <row r="39" spans="1:16" ht="27.6">
      <c r="A39" s="16" t="s">
        <v>153</v>
      </c>
      <c r="B39" s="61" t="s">
        <v>433</v>
      </c>
      <c r="C39" s="61" t="s">
        <v>1510</v>
      </c>
      <c r="D39" s="61" t="s">
        <v>1445</v>
      </c>
      <c r="E39" s="62">
        <v>1</v>
      </c>
      <c r="F39" s="63"/>
      <c r="G39" s="61" t="s">
        <v>1446</v>
      </c>
      <c r="H39" s="61" t="s">
        <v>1441</v>
      </c>
      <c r="I39" s="61" t="s">
        <v>1511</v>
      </c>
      <c r="J39" s="64">
        <v>25000</v>
      </c>
      <c r="K39" s="64" t="s">
        <v>167</v>
      </c>
      <c r="L39" s="64" t="s">
        <v>167</v>
      </c>
      <c r="M39" s="64" t="s">
        <v>167</v>
      </c>
      <c r="N39" s="64" t="s">
        <v>167</v>
      </c>
      <c r="O39" s="64" t="s">
        <v>167</v>
      </c>
      <c r="P39" s="64" t="s">
        <v>167</v>
      </c>
    </row>
    <row r="40" spans="1:16" ht="41.45">
      <c r="A40" s="16" t="s">
        <v>153</v>
      </c>
      <c r="B40" s="61" t="s">
        <v>433</v>
      </c>
      <c r="C40" s="61" t="s">
        <v>1510</v>
      </c>
      <c r="D40" s="61" t="s">
        <v>1512</v>
      </c>
      <c r="E40" s="62">
        <v>1</v>
      </c>
      <c r="F40" s="63"/>
      <c r="G40" s="61" t="s">
        <v>1455</v>
      </c>
      <c r="H40" s="61" t="s">
        <v>1441</v>
      </c>
      <c r="I40" s="61" t="s">
        <v>1513</v>
      </c>
      <c r="J40" s="64" t="s">
        <v>167</v>
      </c>
      <c r="K40" s="64" t="s">
        <v>167</v>
      </c>
      <c r="L40" s="64">
        <v>25000</v>
      </c>
      <c r="M40" s="64" t="s">
        <v>167</v>
      </c>
      <c r="N40" s="64">
        <v>25000</v>
      </c>
      <c r="O40" s="64" t="s">
        <v>167</v>
      </c>
      <c r="P40" s="64" t="s">
        <v>167</v>
      </c>
    </row>
    <row r="41" spans="1:16">
      <c r="A41" s="16" t="s">
        <v>153</v>
      </c>
      <c r="B41" s="61" t="s">
        <v>1514</v>
      </c>
      <c r="C41" s="61" t="s">
        <v>1515</v>
      </c>
      <c r="D41" s="61" t="s">
        <v>1446</v>
      </c>
      <c r="E41" s="62">
        <v>1</v>
      </c>
      <c r="F41" s="63"/>
      <c r="G41" s="61" t="s">
        <v>1446</v>
      </c>
      <c r="H41" s="61" t="s">
        <v>1441</v>
      </c>
      <c r="I41" s="61" t="s">
        <v>1516</v>
      </c>
      <c r="J41" s="64" t="s">
        <v>167</v>
      </c>
      <c r="K41" s="64" t="s">
        <v>167</v>
      </c>
      <c r="L41" s="64"/>
      <c r="M41" s="64" t="s">
        <v>167</v>
      </c>
      <c r="N41" s="64" t="s">
        <v>167</v>
      </c>
      <c r="O41" s="64" t="s">
        <v>167</v>
      </c>
      <c r="P41" s="64" t="s">
        <v>167</v>
      </c>
    </row>
    <row r="42" spans="1:16" ht="27.6">
      <c r="A42" s="16" t="s">
        <v>153</v>
      </c>
      <c r="B42" s="61" t="s">
        <v>1517</v>
      </c>
      <c r="C42" s="61" t="s">
        <v>1518</v>
      </c>
      <c r="D42" s="61" t="s">
        <v>1446</v>
      </c>
      <c r="E42" s="62">
        <v>1</v>
      </c>
      <c r="F42" s="63"/>
      <c r="G42" s="61" t="s">
        <v>1446</v>
      </c>
      <c r="H42" s="61" t="s">
        <v>1439</v>
      </c>
      <c r="I42" s="61" t="s">
        <v>1519</v>
      </c>
      <c r="J42" s="64"/>
      <c r="K42" s="64" t="s">
        <v>167</v>
      </c>
      <c r="L42" s="64" t="s">
        <v>167</v>
      </c>
      <c r="M42" s="64">
        <v>17500</v>
      </c>
      <c r="N42" s="64">
        <v>42500</v>
      </c>
      <c r="O42" s="64" t="s">
        <v>167</v>
      </c>
      <c r="P42" s="64" t="s">
        <v>167</v>
      </c>
    </row>
    <row r="43" spans="1:16" ht="27.6">
      <c r="A43" s="16" t="s">
        <v>153</v>
      </c>
      <c r="B43" s="61" t="s">
        <v>1517</v>
      </c>
      <c r="C43" s="61" t="s">
        <v>1518</v>
      </c>
      <c r="D43" s="61" t="s">
        <v>1520</v>
      </c>
      <c r="E43" s="62">
        <v>1</v>
      </c>
      <c r="F43" s="63"/>
      <c r="G43" s="61" t="s">
        <v>1464</v>
      </c>
      <c r="H43" s="61" t="s">
        <v>1441</v>
      </c>
      <c r="I43" s="61" t="s">
        <v>1521</v>
      </c>
      <c r="J43" s="64" t="s">
        <v>167</v>
      </c>
      <c r="K43" s="64" t="s">
        <v>167</v>
      </c>
      <c r="L43" s="64" t="s">
        <v>167</v>
      </c>
      <c r="M43" s="64" t="s">
        <v>167</v>
      </c>
      <c r="N43" s="64">
        <v>75000</v>
      </c>
      <c r="O43" s="64" t="s">
        <v>167</v>
      </c>
      <c r="P43" s="64" t="s">
        <v>167</v>
      </c>
    </row>
    <row r="44" spans="1:16" ht="27.6">
      <c r="A44" s="16" t="s">
        <v>153</v>
      </c>
      <c r="B44" s="61" t="s">
        <v>1517</v>
      </c>
      <c r="C44" s="61" t="s">
        <v>1518</v>
      </c>
      <c r="D44" s="61" t="s">
        <v>1466</v>
      </c>
      <c r="E44" s="62">
        <v>1</v>
      </c>
      <c r="F44" s="63"/>
      <c r="G44" s="61" t="s">
        <v>1455</v>
      </c>
      <c r="H44" s="61" t="s">
        <v>1441</v>
      </c>
      <c r="I44" s="61" t="s">
        <v>1522</v>
      </c>
      <c r="J44" s="64">
        <v>25000</v>
      </c>
      <c r="K44" s="64"/>
      <c r="L44" s="64">
        <v>100000</v>
      </c>
      <c r="M44" s="64"/>
      <c r="N44" s="64"/>
      <c r="O44" s="64" t="s">
        <v>167</v>
      </c>
      <c r="P44" s="64" t="s">
        <v>167</v>
      </c>
    </row>
    <row r="45" spans="1:16">
      <c r="A45" s="16" t="s">
        <v>153</v>
      </c>
      <c r="B45" s="61" t="s">
        <v>1517</v>
      </c>
      <c r="C45" s="61" t="s">
        <v>1518</v>
      </c>
      <c r="D45" s="61" t="s">
        <v>1438</v>
      </c>
      <c r="E45" s="62">
        <v>1</v>
      </c>
      <c r="F45" s="63"/>
      <c r="G45" s="61" t="s">
        <v>1438</v>
      </c>
      <c r="H45" s="61" t="s">
        <v>1441</v>
      </c>
      <c r="I45" s="61" t="s">
        <v>1523</v>
      </c>
      <c r="J45" s="64" t="s">
        <v>167</v>
      </c>
      <c r="K45" s="64">
        <v>40000</v>
      </c>
      <c r="L45" s="64" t="s">
        <v>167</v>
      </c>
      <c r="M45" s="64" t="s">
        <v>167</v>
      </c>
      <c r="N45" s="64" t="s">
        <v>167</v>
      </c>
      <c r="O45" s="64" t="s">
        <v>167</v>
      </c>
      <c r="P45" s="64" t="s">
        <v>167</v>
      </c>
    </row>
    <row r="46" spans="1:16" ht="41.45">
      <c r="A46" s="16" t="s">
        <v>153</v>
      </c>
      <c r="B46" s="61" t="s">
        <v>1524</v>
      </c>
      <c r="C46" s="61" t="s">
        <v>1525</v>
      </c>
      <c r="D46" s="61" t="s">
        <v>1438</v>
      </c>
      <c r="E46" s="62">
        <v>1</v>
      </c>
      <c r="F46" s="63"/>
      <c r="G46" s="61" t="s">
        <v>1438</v>
      </c>
      <c r="H46" s="61" t="s">
        <v>1441</v>
      </c>
      <c r="I46" s="61" t="s">
        <v>1526</v>
      </c>
      <c r="J46" s="64">
        <v>116000</v>
      </c>
      <c r="K46" s="64" t="s">
        <v>167</v>
      </c>
      <c r="L46" s="64" t="s">
        <v>167</v>
      </c>
      <c r="M46" s="64" t="s">
        <v>167</v>
      </c>
      <c r="N46" s="64" t="s">
        <v>167</v>
      </c>
      <c r="O46" s="64" t="s">
        <v>167</v>
      </c>
      <c r="P46" s="64" t="s">
        <v>167</v>
      </c>
    </row>
    <row r="47" spans="1:16">
      <c r="A47" s="16" t="s">
        <v>153</v>
      </c>
      <c r="B47" s="61" t="s">
        <v>1527</v>
      </c>
      <c r="C47" s="61" t="s">
        <v>1528</v>
      </c>
      <c r="D47" s="61" t="s">
        <v>1446</v>
      </c>
      <c r="E47" s="62">
        <v>1</v>
      </c>
      <c r="F47" s="63"/>
      <c r="G47" s="61" t="s">
        <v>1446</v>
      </c>
      <c r="H47" s="61" t="s">
        <v>1441</v>
      </c>
      <c r="I47" s="61" t="s">
        <v>1529</v>
      </c>
      <c r="J47" s="64" t="s">
        <v>167</v>
      </c>
      <c r="K47" s="64" t="s">
        <v>167</v>
      </c>
      <c r="L47" s="64">
        <v>40000</v>
      </c>
      <c r="M47" s="64">
        <v>40000</v>
      </c>
      <c r="N47" s="64" t="s">
        <v>167</v>
      </c>
      <c r="O47" s="64" t="s">
        <v>167</v>
      </c>
      <c r="P47" s="64" t="s">
        <v>167</v>
      </c>
    </row>
    <row r="48" spans="1:16">
      <c r="A48" s="16" t="s">
        <v>153</v>
      </c>
      <c r="B48" s="61" t="s">
        <v>454</v>
      </c>
      <c r="C48" s="61" t="s">
        <v>1530</v>
      </c>
      <c r="D48" s="61" t="s">
        <v>1468</v>
      </c>
      <c r="E48" s="62">
        <v>1</v>
      </c>
      <c r="F48" s="63"/>
      <c r="G48" s="61" t="s">
        <v>1464</v>
      </c>
      <c r="H48" s="61" t="s">
        <v>1441</v>
      </c>
      <c r="I48" s="61" t="s">
        <v>1531</v>
      </c>
      <c r="J48" s="64" t="s">
        <v>167</v>
      </c>
      <c r="K48" s="64">
        <v>25000</v>
      </c>
      <c r="L48" s="64" t="s">
        <v>167</v>
      </c>
      <c r="M48" s="64" t="s">
        <v>167</v>
      </c>
      <c r="N48" s="64" t="s">
        <v>167</v>
      </c>
      <c r="O48" s="64" t="s">
        <v>167</v>
      </c>
      <c r="P48" s="64" t="s">
        <v>167</v>
      </c>
    </row>
    <row r="49" spans="1:16" ht="27.6">
      <c r="A49" s="16" t="s">
        <v>153</v>
      </c>
      <c r="B49" s="61" t="s">
        <v>454</v>
      </c>
      <c r="C49" s="61" t="s">
        <v>1530</v>
      </c>
      <c r="D49" s="61" t="s">
        <v>1532</v>
      </c>
      <c r="E49" s="62">
        <v>1</v>
      </c>
      <c r="F49" s="63"/>
      <c r="G49" s="61" t="s">
        <v>1455</v>
      </c>
      <c r="H49" s="61" t="s">
        <v>1441</v>
      </c>
      <c r="I49" s="61" t="s">
        <v>1533</v>
      </c>
      <c r="J49" s="64">
        <v>68750</v>
      </c>
      <c r="K49" s="64" t="s">
        <v>167</v>
      </c>
      <c r="L49" s="64" t="s">
        <v>167</v>
      </c>
      <c r="M49" s="64" t="s">
        <v>167</v>
      </c>
      <c r="N49" s="64" t="s">
        <v>167</v>
      </c>
      <c r="O49" s="64" t="s">
        <v>167</v>
      </c>
      <c r="P49" s="64" t="s">
        <v>167</v>
      </c>
    </row>
    <row r="50" spans="1:16" ht="27.6">
      <c r="A50" s="16" t="s">
        <v>153</v>
      </c>
      <c r="B50" s="61" t="s">
        <v>450</v>
      </c>
      <c r="C50" s="61" t="s">
        <v>1534</v>
      </c>
      <c r="D50" s="61" t="s">
        <v>1532</v>
      </c>
      <c r="E50" s="62">
        <v>1</v>
      </c>
      <c r="F50" s="63"/>
      <c r="G50" s="61" t="s">
        <v>1455</v>
      </c>
      <c r="H50" s="61" t="s">
        <v>1441</v>
      </c>
      <c r="I50" s="61" t="s">
        <v>1533</v>
      </c>
      <c r="J50" s="64">
        <v>68750</v>
      </c>
      <c r="K50" s="64" t="s">
        <v>167</v>
      </c>
      <c r="L50" s="64" t="s">
        <v>167</v>
      </c>
      <c r="M50" s="64" t="s">
        <v>167</v>
      </c>
      <c r="N50" s="64" t="s">
        <v>167</v>
      </c>
      <c r="O50" s="64" t="s">
        <v>167</v>
      </c>
      <c r="P50" s="64" t="s">
        <v>167</v>
      </c>
    </row>
    <row r="51" spans="1:16">
      <c r="A51" s="16" t="s">
        <v>153</v>
      </c>
      <c r="B51" s="61" t="s">
        <v>450</v>
      </c>
      <c r="C51" s="61" t="s">
        <v>1534</v>
      </c>
      <c r="D51" s="61" t="s">
        <v>1446</v>
      </c>
      <c r="E51" s="62">
        <v>1</v>
      </c>
      <c r="F51" s="63"/>
      <c r="G51" s="61" t="s">
        <v>1446</v>
      </c>
      <c r="H51" s="61" t="s">
        <v>1441</v>
      </c>
      <c r="I51" s="61" t="s">
        <v>1535</v>
      </c>
      <c r="J51" s="64" t="s">
        <v>167</v>
      </c>
      <c r="K51" s="64"/>
      <c r="L51" s="64" t="s">
        <v>167</v>
      </c>
      <c r="M51" s="64" t="s">
        <v>167</v>
      </c>
      <c r="N51" s="64" t="s">
        <v>167</v>
      </c>
      <c r="O51" s="64" t="s">
        <v>167</v>
      </c>
      <c r="P51" s="64" t="s">
        <v>167</v>
      </c>
    </row>
    <row r="52" spans="1:16" ht="27.6">
      <c r="A52" s="16" t="s">
        <v>153</v>
      </c>
      <c r="B52" s="61" t="s">
        <v>450</v>
      </c>
      <c r="C52" s="61" t="s">
        <v>1534</v>
      </c>
      <c r="D52" s="61" t="s">
        <v>1438</v>
      </c>
      <c r="E52" s="62">
        <v>1</v>
      </c>
      <c r="F52" s="63"/>
      <c r="G52" s="61" t="s">
        <v>1438</v>
      </c>
      <c r="H52" s="61" t="s">
        <v>1439</v>
      </c>
      <c r="I52" s="61" t="s">
        <v>1536</v>
      </c>
      <c r="J52" s="64"/>
      <c r="K52" s="64"/>
      <c r="L52" s="64"/>
      <c r="M52" s="64"/>
      <c r="N52" s="64" t="s">
        <v>167</v>
      </c>
      <c r="O52" s="64" t="s">
        <v>167</v>
      </c>
      <c r="P52" s="64" t="s">
        <v>167</v>
      </c>
    </row>
    <row r="53" spans="1:16" ht="41.45">
      <c r="A53" s="16" t="s">
        <v>153</v>
      </c>
      <c r="B53" s="61" t="s">
        <v>450</v>
      </c>
      <c r="C53" s="61" t="s">
        <v>1534</v>
      </c>
      <c r="D53" s="61" t="s">
        <v>1468</v>
      </c>
      <c r="E53" s="62">
        <v>1</v>
      </c>
      <c r="F53" s="63"/>
      <c r="G53" s="61" t="s">
        <v>1464</v>
      </c>
      <c r="H53" s="61" t="s">
        <v>1441</v>
      </c>
      <c r="I53" s="61" t="s">
        <v>1537</v>
      </c>
      <c r="J53" s="64"/>
      <c r="K53" s="64" t="s">
        <v>167</v>
      </c>
      <c r="L53" s="64" t="s">
        <v>167</v>
      </c>
      <c r="M53" s="64" t="s">
        <v>167</v>
      </c>
      <c r="N53" s="64" t="s">
        <v>167</v>
      </c>
      <c r="O53" s="64" t="s">
        <v>167</v>
      </c>
      <c r="P53" s="64" t="s">
        <v>167</v>
      </c>
    </row>
    <row r="54" spans="1:16" ht="27.6">
      <c r="A54" s="16" t="s">
        <v>153</v>
      </c>
      <c r="B54" s="61" t="s">
        <v>452</v>
      </c>
      <c r="C54" s="61" t="s">
        <v>1538</v>
      </c>
      <c r="D54" s="61" t="s">
        <v>1438</v>
      </c>
      <c r="E54" s="62">
        <v>1</v>
      </c>
      <c r="F54" s="63"/>
      <c r="G54" s="61" t="s">
        <v>1438</v>
      </c>
      <c r="H54" s="61" t="s">
        <v>1439</v>
      </c>
      <c r="I54" s="61" t="s">
        <v>1536</v>
      </c>
      <c r="J54" s="64"/>
      <c r="K54" s="64"/>
      <c r="L54" s="64"/>
      <c r="M54" s="64"/>
      <c r="N54" s="64" t="s">
        <v>167</v>
      </c>
      <c r="O54" s="64" t="s">
        <v>167</v>
      </c>
      <c r="P54" s="64" t="s">
        <v>167</v>
      </c>
    </row>
    <row r="55" spans="1:16" ht="27.6">
      <c r="A55" s="16" t="s">
        <v>153</v>
      </c>
      <c r="B55" s="61" t="s">
        <v>1539</v>
      </c>
      <c r="C55" s="61" t="s">
        <v>1540</v>
      </c>
      <c r="D55" s="61" t="s">
        <v>1532</v>
      </c>
      <c r="E55" s="62">
        <v>1</v>
      </c>
      <c r="F55" s="63"/>
      <c r="G55" s="61" t="s">
        <v>1455</v>
      </c>
      <c r="H55" s="61" t="s">
        <v>1441</v>
      </c>
      <c r="I55" s="61" t="s">
        <v>1516</v>
      </c>
      <c r="J55" s="64" t="s">
        <v>167</v>
      </c>
      <c r="K55" s="64"/>
      <c r="L55" s="64" t="s">
        <v>167</v>
      </c>
      <c r="M55" s="64" t="s">
        <v>167</v>
      </c>
      <c r="N55" s="64" t="s">
        <v>167</v>
      </c>
      <c r="O55" s="64" t="s">
        <v>167</v>
      </c>
      <c r="P55" s="64" t="s">
        <v>167</v>
      </c>
    </row>
    <row r="56" spans="1:16" ht="27.6">
      <c r="A56" s="16" t="s">
        <v>153</v>
      </c>
      <c r="B56" s="61" t="s">
        <v>1541</v>
      </c>
      <c r="C56" s="61" t="s">
        <v>1542</v>
      </c>
      <c r="D56" s="61" t="s">
        <v>1532</v>
      </c>
      <c r="E56" s="62">
        <v>1</v>
      </c>
      <c r="F56" s="63"/>
      <c r="G56" s="61" t="s">
        <v>1455</v>
      </c>
      <c r="H56" s="61" t="s">
        <v>1441</v>
      </c>
      <c r="I56" s="61" t="s">
        <v>1543</v>
      </c>
      <c r="J56" s="64" t="s">
        <v>167</v>
      </c>
      <c r="K56" s="64">
        <v>65000</v>
      </c>
      <c r="L56" s="64" t="s">
        <v>167</v>
      </c>
      <c r="M56" s="64" t="s">
        <v>167</v>
      </c>
      <c r="N56" s="64" t="s">
        <v>167</v>
      </c>
      <c r="O56" s="64" t="s">
        <v>167</v>
      </c>
      <c r="P56" s="64" t="s">
        <v>167</v>
      </c>
    </row>
    <row r="57" spans="1:16" ht="27.6">
      <c r="A57" s="16" t="s">
        <v>153</v>
      </c>
      <c r="B57" s="61" t="s">
        <v>1544</v>
      </c>
      <c r="C57" s="61" t="s">
        <v>1545</v>
      </c>
      <c r="D57" s="61" t="s">
        <v>1532</v>
      </c>
      <c r="E57" s="62">
        <v>1</v>
      </c>
      <c r="F57" s="63"/>
      <c r="G57" s="61" t="s">
        <v>1455</v>
      </c>
      <c r="H57" s="61" t="s">
        <v>1441</v>
      </c>
      <c r="I57" s="61" t="s">
        <v>1516</v>
      </c>
      <c r="J57" s="64" t="s">
        <v>167</v>
      </c>
      <c r="K57" s="64"/>
      <c r="L57" s="64" t="s">
        <v>167</v>
      </c>
      <c r="M57" s="64" t="s">
        <v>167</v>
      </c>
      <c r="N57" s="64" t="s">
        <v>167</v>
      </c>
      <c r="O57" s="64" t="s">
        <v>167</v>
      </c>
      <c r="P57" s="64" t="s">
        <v>167</v>
      </c>
    </row>
    <row r="58" spans="1:16">
      <c r="A58" s="16" t="s">
        <v>153</v>
      </c>
      <c r="B58" s="61" t="s">
        <v>1544</v>
      </c>
      <c r="C58" s="61" t="s">
        <v>1545</v>
      </c>
      <c r="D58" s="61" t="s">
        <v>1468</v>
      </c>
      <c r="E58" s="62">
        <v>1</v>
      </c>
      <c r="F58" s="63"/>
      <c r="G58" s="61" t="s">
        <v>1464</v>
      </c>
      <c r="H58" s="61" t="s">
        <v>1441</v>
      </c>
      <c r="I58" s="61" t="s">
        <v>1546</v>
      </c>
      <c r="J58" s="64" t="s">
        <v>167</v>
      </c>
      <c r="K58" s="64"/>
      <c r="L58" s="64" t="s">
        <v>167</v>
      </c>
      <c r="M58" s="64" t="s">
        <v>167</v>
      </c>
      <c r="N58" s="64" t="s">
        <v>167</v>
      </c>
      <c r="O58" s="64" t="s">
        <v>167</v>
      </c>
      <c r="P58" s="64" t="s">
        <v>167</v>
      </c>
    </row>
    <row r="59" spans="1:16" ht="27.6">
      <c r="A59" s="16" t="s">
        <v>153</v>
      </c>
      <c r="B59" s="61" t="s">
        <v>1547</v>
      </c>
      <c r="C59" s="61" t="s">
        <v>1548</v>
      </c>
      <c r="D59" s="61" t="s">
        <v>1532</v>
      </c>
      <c r="E59" s="62">
        <v>1</v>
      </c>
      <c r="F59" s="63"/>
      <c r="G59" s="61" t="s">
        <v>1455</v>
      </c>
      <c r="H59" s="61" t="s">
        <v>1441</v>
      </c>
      <c r="I59" s="61" t="s">
        <v>1516</v>
      </c>
      <c r="J59" s="64" t="s">
        <v>167</v>
      </c>
      <c r="K59" s="64"/>
      <c r="L59" s="64" t="s">
        <v>167</v>
      </c>
      <c r="M59" s="64" t="s">
        <v>167</v>
      </c>
      <c r="N59" s="64" t="s">
        <v>167</v>
      </c>
      <c r="O59" s="64" t="s">
        <v>167</v>
      </c>
      <c r="P59" s="64" t="s">
        <v>167</v>
      </c>
    </row>
    <row r="60" spans="1:16">
      <c r="A60" s="16" t="s">
        <v>153</v>
      </c>
      <c r="B60" s="61" t="s">
        <v>1547</v>
      </c>
      <c r="C60" s="61" t="s">
        <v>1548</v>
      </c>
      <c r="D60" s="61" t="s">
        <v>1468</v>
      </c>
      <c r="E60" s="62">
        <v>1</v>
      </c>
      <c r="F60" s="63"/>
      <c r="G60" s="61" t="s">
        <v>1464</v>
      </c>
      <c r="H60" s="61" t="s">
        <v>1441</v>
      </c>
      <c r="I60" s="61" t="s">
        <v>1546</v>
      </c>
      <c r="J60" s="64" t="s">
        <v>167</v>
      </c>
      <c r="K60" s="64"/>
      <c r="L60" s="64" t="s">
        <v>167</v>
      </c>
      <c r="M60" s="64" t="s">
        <v>167</v>
      </c>
      <c r="N60" s="64" t="s">
        <v>167</v>
      </c>
      <c r="O60" s="64" t="s">
        <v>167</v>
      </c>
      <c r="P60" s="64" t="s">
        <v>167</v>
      </c>
    </row>
    <row r="61" spans="1:16" ht="27.6">
      <c r="A61" s="16" t="s">
        <v>153</v>
      </c>
      <c r="B61" s="61" t="s">
        <v>1549</v>
      </c>
      <c r="C61" s="61" t="s">
        <v>1550</v>
      </c>
      <c r="D61" s="61" t="s">
        <v>1532</v>
      </c>
      <c r="E61" s="62">
        <v>1</v>
      </c>
      <c r="F61" s="63"/>
      <c r="G61" s="61" t="s">
        <v>1455</v>
      </c>
      <c r="H61" s="61" t="s">
        <v>1441</v>
      </c>
      <c r="I61" s="61" t="s">
        <v>1516</v>
      </c>
      <c r="J61" s="64" t="s">
        <v>167</v>
      </c>
      <c r="K61" s="64"/>
      <c r="L61" s="64" t="s">
        <v>167</v>
      </c>
      <c r="M61" s="64" t="s">
        <v>167</v>
      </c>
      <c r="N61" s="64" t="s">
        <v>167</v>
      </c>
      <c r="O61" s="64" t="s">
        <v>167</v>
      </c>
      <c r="P61" s="64" t="s">
        <v>167</v>
      </c>
    </row>
    <row r="62" spans="1:16">
      <c r="A62" s="16" t="s">
        <v>153</v>
      </c>
      <c r="B62" s="61" t="s">
        <v>1524</v>
      </c>
      <c r="C62" s="61" t="s">
        <v>1525</v>
      </c>
      <c r="D62" s="61" t="s">
        <v>1446</v>
      </c>
      <c r="E62" s="62">
        <v>3</v>
      </c>
      <c r="F62" s="63"/>
      <c r="G62" s="61" t="s">
        <v>1446</v>
      </c>
      <c r="H62" s="61" t="s">
        <v>1441</v>
      </c>
      <c r="I62" s="61" t="s">
        <v>1551</v>
      </c>
      <c r="J62" s="64" t="s">
        <v>167</v>
      </c>
      <c r="K62" s="64">
        <v>11800</v>
      </c>
      <c r="L62" s="64" t="s">
        <v>167</v>
      </c>
      <c r="M62" s="64" t="s">
        <v>167</v>
      </c>
      <c r="N62" s="64" t="s">
        <v>167</v>
      </c>
      <c r="O62" s="64" t="s">
        <v>167</v>
      </c>
      <c r="P62" s="64" t="s">
        <v>167</v>
      </c>
    </row>
    <row r="63" spans="1:16" ht="27.6">
      <c r="A63" s="16" t="s">
        <v>153</v>
      </c>
      <c r="B63" s="61" t="s">
        <v>1524</v>
      </c>
      <c r="C63" s="61" t="s">
        <v>1525</v>
      </c>
      <c r="D63" s="61" t="s">
        <v>1482</v>
      </c>
      <c r="E63" s="62">
        <v>3</v>
      </c>
      <c r="F63" s="63"/>
      <c r="G63" s="61" t="s">
        <v>1464</v>
      </c>
      <c r="H63" s="61" t="s">
        <v>1441</v>
      </c>
      <c r="I63" s="61" t="s">
        <v>1552</v>
      </c>
      <c r="J63" s="64"/>
      <c r="K63" s="64" t="s">
        <v>167</v>
      </c>
      <c r="L63" s="64" t="s">
        <v>167</v>
      </c>
      <c r="M63" s="64" t="s">
        <v>167</v>
      </c>
      <c r="N63" s="64" t="s">
        <v>167</v>
      </c>
      <c r="O63" s="64" t="s">
        <v>167</v>
      </c>
      <c r="P63" s="64" t="s">
        <v>167</v>
      </c>
    </row>
    <row r="64" spans="1:16" ht="41.45">
      <c r="A64" s="16" t="s">
        <v>153</v>
      </c>
      <c r="B64" s="61" t="s">
        <v>1524</v>
      </c>
      <c r="C64" s="61" t="s">
        <v>1525</v>
      </c>
      <c r="D64" s="61" t="s">
        <v>1553</v>
      </c>
      <c r="E64" s="62">
        <v>3</v>
      </c>
      <c r="F64" s="63"/>
      <c r="G64" s="61" t="s">
        <v>1464</v>
      </c>
      <c r="H64" s="61" t="s">
        <v>1441</v>
      </c>
      <c r="I64" s="61" t="s">
        <v>1554</v>
      </c>
      <c r="J64" s="64">
        <v>12500</v>
      </c>
      <c r="K64" s="64" t="s">
        <v>167</v>
      </c>
      <c r="L64" s="64" t="s">
        <v>167</v>
      </c>
      <c r="M64" s="64" t="s">
        <v>167</v>
      </c>
      <c r="N64" s="64" t="s">
        <v>167</v>
      </c>
      <c r="O64" s="64" t="s">
        <v>167</v>
      </c>
      <c r="P64" s="64" t="s">
        <v>167</v>
      </c>
    </row>
    <row r="65" spans="1:16">
      <c r="A65" s="16" t="s">
        <v>153</v>
      </c>
      <c r="B65" s="61" t="s">
        <v>1555</v>
      </c>
      <c r="C65" s="61" t="s">
        <v>1556</v>
      </c>
      <c r="D65" s="61" t="s">
        <v>1438</v>
      </c>
      <c r="E65" s="62">
        <v>3</v>
      </c>
      <c r="F65" s="63"/>
      <c r="G65" s="61" t="s">
        <v>1438</v>
      </c>
      <c r="H65" s="61" t="s">
        <v>1441</v>
      </c>
      <c r="I65" s="61" t="s">
        <v>1448</v>
      </c>
      <c r="J65" s="64" t="s">
        <v>167</v>
      </c>
      <c r="K65" s="64">
        <v>105900</v>
      </c>
      <c r="L65" s="64" t="s">
        <v>167</v>
      </c>
      <c r="M65" s="64" t="s">
        <v>167</v>
      </c>
      <c r="N65" s="64" t="s">
        <v>167</v>
      </c>
      <c r="O65" s="64" t="s">
        <v>167</v>
      </c>
      <c r="P65" s="64" t="s">
        <v>167</v>
      </c>
    </row>
    <row r="66" spans="1:16" ht="41.45">
      <c r="A66" s="16" t="s">
        <v>153</v>
      </c>
      <c r="B66" s="61" t="s">
        <v>1555</v>
      </c>
      <c r="C66" s="61" t="s">
        <v>1556</v>
      </c>
      <c r="D66" s="61" t="s">
        <v>1553</v>
      </c>
      <c r="E66" s="62">
        <v>3</v>
      </c>
      <c r="F66" s="63"/>
      <c r="G66" s="61" t="s">
        <v>1464</v>
      </c>
      <c r="H66" s="61" t="s">
        <v>1441</v>
      </c>
      <c r="I66" s="61" t="s">
        <v>1554</v>
      </c>
      <c r="J66" s="64">
        <v>12500</v>
      </c>
      <c r="K66" s="64" t="s">
        <v>167</v>
      </c>
      <c r="L66" s="64" t="s">
        <v>167</v>
      </c>
      <c r="M66" s="64" t="s">
        <v>167</v>
      </c>
      <c r="N66" s="64" t="s">
        <v>167</v>
      </c>
      <c r="O66" s="64" t="s">
        <v>167</v>
      </c>
      <c r="P66" s="64" t="s">
        <v>167</v>
      </c>
    </row>
    <row r="67" spans="1:16" ht="27.6">
      <c r="A67" s="16" t="s">
        <v>153</v>
      </c>
      <c r="B67" s="61" t="s">
        <v>1555</v>
      </c>
      <c r="C67" s="61" t="s">
        <v>1556</v>
      </c>
      <c r="D67" s="61" t="s">
        <v>1468</v>
      </c>
      <c r="E67" s="62">
        <v>3</v>
      </c>
      <c r="F67" s="63"/>
      <c r="G67" s="61" t="s">
        <v>1464</v>
      </c>
      <c r="H67" s="61" t="s">
        <v>1441</v>
      </c>
      <c r="I67" s="61" t="s">
        <v>1557</v>
      </c>
      <c r="J67" s="64" t="s">
        <v>167</v>
      </c>
      <c r="K67" s="64">
        <v>12500</v>
      </c>
      <c r="L67" s="64" t="s">
        <v>167</v>
      </c>
      <c r="M67" s="64" t="s">
        <v>167</v>
      </c>
      <c r="N67" s="64" t="s">
        <v>167</v>
      </c>
      <c r="O67" s="64" t="s">
        <v>167</v>
      </c>
      <c r="P67" s="64" t="s">
        <v>167</v>
      </c>
    </row>
    <row r="68" spans="1:16" ht="27.6">
      <c r="A68" s="16" t="s">
        <v>153</v>
      </c>
      <c r="B68" s="61" t="s">
        <v>1558</v>
      </c>
      <c r="C68" s="61" t="s">
        <v>1559</v>
      </c>
      <c r="D68" s="61" t="s">
        <v>1438</v>
      </c>
      <c r="E68" s="62">
        <v>3</v>
      </c>
      <c r="F68" s="63"/>
      <c r="G68" s="61" t="s">
        <v>1438</v>
      </c>
      <c r="H68" s="61" t="s">
        <v>1441</v>
      </c>
      <c r="I68" s="61" t="s">
        <v>1560</v>
      </c>
      <c r="J68" s="64"/>
      <c r="K68" s="64">
        <v>133900</v>
      </c>
      <c r="L68" s="64" t="s">
        <v>167</v>
      </c>
      <c r="M68" s="64" t="s">
        <v>167</v>
      </c>
      <c r="N68" s="64" t="s">
        <v>167</v>
      </c>
      <c r="O68" s="64" t="s">
        <v>167</v>
      </c>
      <c r="P68" s="64" t="s">
        <v>167</v>
      </c>
    </row>
    <row r="69" spans="1:16" ht="41.45">
      <c r="A69" s="16" t="s">
        <v>153</v>
      </c>
      <c r="B69" s="61" t="s">
        <v>1558</v>
      </c>
      <c r="C69" s="61" t="s">
        <v>1559</v>
      </c>
      <c r="D69" s="61" t="s">
        <v>1553</v>
      </c>
      <c r="E69" s="62">
        <v>3</v>
      </c>
      <c r="F69" s="63"/>
      <c r="G69" s="61" t="s">
        <v>1464</v>
      </c>
      <c r="H69" s="61" t="s">
        <v>1441</v>
      </c>
      <c r="I69" s="61" t="s">
        <v>1554</v>
      </c>
      <c r="J69" s="64">
        <v>12500</v>
      </c>
      <c r="K69" s="64" t="s">
        <v>167</v>
      </c>
      <c r="L69" s="64" t="s">
        <v>167</v>
      </c>
      <c r="M69" s="64" t="s">
        <v>167</v>
      </c>
      <c r="N69" s="64" t="s">
        <v>167</v>
      </c>
      <c r="O69" s="64" t="s">
        <v>167</v>
      </c>
      <c r="P69" s="64" t="s">
        <v>167</v>
      </c>
    </row>
    <row r="70" spans="1:16" ht="27.6">
      <c r="A70" s="16" t="s">
        <v>153</v>
      </c>
      <c r="B70" s="61" t="s">
        <v>1561</v>
      </c>
      <c r="C70" s="61" t="s">
        <v>1562</v>
      </c>
      <c r="D70" s="61" t="s">
        <v>1532</v>
      </c>
      <c r="E70" s="62">
        <v>3</v>
      </c>
      <c r="F70" s="63"/>
      <c r="G70" s="61" t="s">
        <v>1455</v>
      </c>
      <c r="H70" s="61" t="s">
        <v>1441</v>
      </c>
      <c r="I70" s="61" t="s">
        <v>1563</v>
      </c>
      <c r="J70" s="64">
        <v>33334</v>
      </c>
      <c r="K70" s="64" t="s">
        <v>167</v>
      </c>
      <c r="L70" s="64" t="s">
        <v>167</v>
      </c>
      <c r="M70" s="64" t="s">
        <v>167</v>
      </c>
      <c r="N70" s="64" t="s">
        <v>167</v>
      </c>
      <c r="O70" s="64" t="s">
        <v>167</v>
      </c>
      <c r="P70" s="64" t="s">
        <v>167</v>
      </c>
    </row>
    <row r="71" spans="1:16">
      <c r="A71" s="16" t="s">
        <v>153</v>
      </c>
      <c r="B71" s="61" t="s">
        <v>1561</v>
      </c>
      <c r="C71" s="61" t="s">
        <v>1562</v>
      </c>
      <c r="D71" s="61" t="s">
        <v>1438</v>
      </c>
      <c r="E71" s="62">
        <v>3</v>
      </c>
      <c r="F71" s="63"/>
      <c r="G71" s="61" t="s">
        <v>1438</v>
      </c>
      <c r="H71" s="61" t="s">
        <v>1441</v>
      </c>
      <c r="I71" s="61" t="s">
        <v>1448</v>
      </c>
      <c r="J71" s="64">
        <v>96500</v>
      </c>
      <c r="K71" s="64" t="s">
        <v>167</v>
      </c>
      <c r="L71" s="64" t="s">
        <v>167</v>
      </c>
      <c r="M71" s="64" t="s">
        <v>167</v>
      </c>
      <c r="N71" s="64" t="s">
        <v>167</v>
      </c>
      <c r="O71" s="64" t="s">
        <v>167</v>
      </c>
      <c r="P71" s="64" t="s">
        <v>167</v>
      </c>
    </row>
    <row r="72" spans="1:16" ht="27.6">
      <c r="A72" s="16" t="s">
        <v>153</v>
      </c>
      <c r="B72" s="61" t="s">
        <v>1561</v>
      </c>
      <c r="C72" s="61" t="s">
        <v>1562</v>
      </c>
      <c r="D72" s="61" t="s">
        <v>1482</v>
      </c>
      <c r="E72" s="62">
        <v>3</v>
      </c>
      <c r="F72" s="63"/>
      <c r="G72" s="61" t="s">
        <v>1464</v>
      </c>
      <c r="H72" s="61" t="s">
        <v>1441</v>
      </c>
      <c r="I72" s="61" t="s">
        <v>1552</v>
      </c>
      <c r="J72" s="64"/>
      <c r="K72" s="64" t="s">
        <v>167</v>
      </c>
      <c r="L72" s="64" t="s">
        <v>167</v>
      </c>
      <c r="M72" s="64" t="s">
        <v>167</v>
      </c>
      <c r="N72" s="64" t="s">
        <v>167</v>
      </c>
      <c r="O72" s="64" t="s">
        <v>167</v>
      </c>
      <c r="P72" s="64" t="s">
        <v>167</v>
      </c>
    </row>
    <row r="73" spans="1:16" ht="27.6">
      <c r="A73" s="16" t="s">
        <v>153</v>
      </c>
      <c r="B73" s="61" t="s">
        <v>1561</v>
      </c>
      <c r="C73" s="61" t="s">
        <v>1562</v>
      </c>
      <c r="D73" s="61" t="s">
        <v>1468</v>
      </c>
      <c r="E73" s="62">
        <v>3</v>
      </c>
      <c r="F73" s="63"/>
      <c r="G73" s="61" t="s">
        <v>1464</v>
      </c>
      <c r="H73" s="61" t="s">
        <v>1439</v>
      </c>
      <c r="I73" s="61" t="s">
        <v>1564</v>
      </c>
      <c r="J73" s="64" t="s">
        <v>167</v>
      </c>
      <c r="K73" s="64">
        <v>12500</v>
      </c>
      <c r="L73" s="64" t="s">
        <v>167</v>
      </c>
      <c r="M73" s="64" t="s">
        <v>167</v>
      </c>
      <c r="N73" s="64" t="s">
        <v>167</v>
      </c>
      <c r="O73" s="64" t="s">
        <v>167</v>
      </c>
      <c r="P73" s="64" t="s">
        <v>167</v>
      </c>
    </row>
    <row r="74" spans="1:16" ht="27.6">
      <c r="A74" s="16" t="s">
        <v>153</v>
      </c>
      <c r="B74" s="61" t="s">
        <v>1565</v>
      </c>
      <c r="C74" s="61" t="s">
        <v>1566</v>
      </c>
      <c r="D74" s="61" t="s">
        <v>1532</v>
      </c>
      <c r="E74" s="62">
        <v>3</v>
      </c>
      <c r="F74" s="63"/>
      <c r="G74" s="61" t="s">
        <v>1455</v>
      </c>
      <c r="H74" s="61" t="s">
        <v>1441</v>
      </c>
      <c r="I74" s="61" t="s">
        <v>1563</v>
      </c>
      <c r="J74" s="64">
        <v>33334</v>
      </c>
      <c r="K74" s="64" t="s">
        <v>167</v>
      </c>
      <c r="L74" s="64" t="s">
        <v>167</v>
      </c>
      <c r="M74" s="64" t="s">
        <v>167</v>
      </c>
      <c r="N74" s="64" t="s">
        <v>167</v>
      </c>
      <c r="O74" s="64" t="s">
        <v>167</v>
      </c>
      <c r="P74" s="64" t="s">
        <v>167</v>
      </c>
    </row>
    <row r="75" spans="1:16">
      <c r="A75" s="16" t="s">
        <v>153</v>
      </c>
      <c r="B75" s="61" t="s">
        <v>1565</v>
      </c>
      <c r="C75" s="61" t="s">
        <v>1566</v>
      </c>
      <c r="D75" s="61" t="s">
        <v>1438</v>
      </c>
      <c r="E75" s="62">
        <v>3</v>
      </c>
      <c r="F75" s="63"/>
      <c r="G75" s="61" t="s">
        <v>1438</v>
      </c>
      <c r="H75" s="61" t="s">
        <v>1441</v>
      </c>
      <c r="I75" s="61" t="s">
        <v>1448</v>
      </c>
      <c r="J75" s="64" t="s">
        <v>167</v>
      </c>
      <c r="K75" s="64" t="s">
        <v>167</v>
      </c>
      <c r="L75" s="64" t="s">
        <v>167</v>
      </c>
      <c r="M75" s="64">
        <v>96500</v>
      </c>
      <c r="N75" s="64" t="s">
        <v>167</v>
      </c>
      <c r="O75" s="64" t="s">
        <v>167</v>
      </c>
      <c r="P75" s="64" t="s">
        <v>167</v>
      </c>
    </row>
    <row r="76" spans="1:16" ht="41.45">
      <c r="A76" s="16" t="s">
        <v>153</v>
      </c>
      <c r="B76" s="61" t="s">
        <v>1565</v>
      </c>
      <c r="C76" s="61" t="s">
        <v>1566</v>
      </c>
      <c r="D76" s="61" t="s">
        <v>1553</v>
      </c>
      <c r="E76" s="62">
        <v>3</v>
      </c>
      <c r="F76" s="63"/>
      <c r="G76" s="61" t="s">
        <v>1464</v>
      </c>
      <c r="H76" s="61" t="s">
        <v>1441</v>
      </c>
      <c r="I76" s="61" t="s">
        <v>1554</v>
      </c>
      <c r="J76" s="64">
        <v>12500</v>
      </c>
      <c r="K76" s="64" t="s">
        <v>167</v>
      </c>
      <c r="L76" s="64" t="s">
        <v>167</v>
      </c>
      <c r="M76" s="64" t="s">
        <v>167</v>
      </c>
      <c r="N76" s="64" t="s">
        <v>167</v>
      </c>
      <c r="O76" s="64" t="s">
        <v>167</v>
      </c>
      <c r="P76" s="64" t="s">
        <v>167</v>
      </c>
    </row>
    <row r="77" spans="1:16">
      <c r="A77" s="16" t="s">
        <v>153</v>
      </c>
      <c r="B77" s="61" t="s">
        <v>1565</v>
      </c>
      <c r="C77" s="61" t="s">
        <v>1566</v>
      </c>
      <c r="D77" s="61" t="s">
        <v>1468</v>
      </c>
      <c r="E77" s="62">
        <v>3</v>
      </c>
      <c r="F77" s="63"/>
      <c r="G77" s="61" t="s">
        <v>1464</v>
      </c>
      <c r="H77" s="61" t="s">
        <v>1441</v>
      </c>
      <c r="I77" s="61" t="s">
        <v>1567</v>
      </c>
      <c r="J77" s="64" t="s">
        <v>167</v>
      </c>
      <c r="K77" s="64">
        <v>12500</v>
      </c>
      <c r="L77" s="64" t="s">
        <v>167</v>
      </c>
      <c r="M77" s="64" t="s">
        <v>167</v>
      </c>
      <c r="N77" s="64" t="s">
        <v>167</v>
      </c>
      <c r="O77" s="64" t="s">
        <v>167</v>
      </c>
      <c r="P77" s="64" t="s">
        <v>167</v>
      </c>
    </row>
    <row r="78" spans="1:16" s="53" customFormat="1">
      <c r="B78" s="65"/>
      <c r="C78" s="65"/>
      <c r="D78" s="65"/>
      <c r="E78" s="66"/>
      <c r="F78" s="67"/>
      <c r="G78" s="65"/>
      <c r="H78" s="65"/>
      <c r="I78" s="65"/>
      <c r="J78" s="68"/>
      <c r="K78" s="68"/>
      <c r="L78" s="68"/>
      <c r="M78" s="68"/>
      <c r="N78" s="68"/>
      <c r="O78" s="68"/>
      <c r="P78" s="68"/>
    </row>
    <row r="79" spans="1:16">
      <c r="A79" s="16" t="s">
        <v>144</v>
      </c>
      <c r="B79" s="61" t="s">
        <v>647</v>
      </c>
      <c r="C79" s="61" t="s">
        <v>1568</v>
      </c>
      <c r="D79" s="61" t="s">
        <v>1445</v>
      </c>
      <c r="E79" s="62">
        <v>1</v>
      </c>
      <c r="F79" s="63"/>
      <c r="G79" s="61" t="s">
        <v>1446</v>
      </c>
      <c r="H79" s="61" t="s">
        <v>1441</v>
      </c>
      <c r="I79" s="61" t="s">
        <v>1569</v>
      </c>
      <c r="J79" s="64" t="s">
        <v>167</v>
      </c>
      <c r="K79" s="64" t="s">
        <v>167</v>
      </c>
      <c r="L79" s="64">
        <v>30000</v>
      </c>
      <c r="M79" s="64" t="s">
        <v>167</v>
      </c>
      <c r="N79" s="64" t="s">
        <v>167</v>
      </c>
      <c r="O79" s="64" t="s">
        <v>167</v>
      </c>
      <c r="P79" s="64" t="s">
        <v>167</v>
      </c>
    </row>
    <row r="80" spans="1:16">
      <c r="A80" s="16" t="s">
        <v>144</v>
      </c>
      <c r="B80" s="61" t="s">
        <v>647</v>
      </c>
      <c r="C80" s="61" t="s">
        <v>1568</v>
      </c>
      <c r="D80" s="61" t="s">
        <v>1454</v>
      </c>
      <c r="E80" s="62">
        <v>1</v>
      </c>
      <c r="F80" s="63"/>
      <c r="G80" s="61" t="s">
        <v>1455</v>
      </c>
      <c r="H80" s="61" t="s">
        <v>1441</v>
      </c>
      <c r="I80" s="61" t="s">
        <v>1570</v>
      </c>
      <c r="J80" s="64">
        <v>20000</v>
      </c>
      <c r="K80" s="64" t="s">
        <v>167</v>
      </c>
      <c r="L80" s="64" t="s">
        <v>167</v>
      </c>
      <c r="M80" s="64" t="s">
        <v>167</v>
      </c>
      <c r="N80" s="64" t="s">
        <v>167</v>
      </c>
      <c r="O80" s="64" t="s">
        <v>167</v>
      </c>
      <c r="P80" s="64" t="s">
        <v>167</v>
      </c>
    </row>
    <row r="81" spans="1:16">
      <c r="A81" s="16" t="s">
        <v>144</v>
      </c>
      <c r="B81" s="61" t="s">
        <v>647</v>
      </c>
      <c r="C81" s="61" t="s">
        <v>1568</v>
      </c>
      <c r="D81" s="61" t="s">
        <v>1508</v>
      </c>
      <c r="E81" s="62">
        <v>1</v>
      </c>
      <c r="F81" s="63"/>
      <c r="G81" s="61" t="s">
        <v>1438</v>
      </c>
      <c r="H81" s="61" t="s">
        <v>1441</v>
      </c>
      <c r="I81" s="61" t="s">
        <v>1570</v>
      </c>
      <c r="J81" s="64" t="s">
        <v>167</v>
      </c>
      <c r="K81" s="64" t="s">
        <v>167</v>
      </c>
      <c r="L81" s="64" t="s">
        <v>167</v>
      </c>
      <c r="M81" s="64">
        <v>240000</v>
      </c>
      <c r="N81" s="64" t="s">
        <v>167</v>
      </c>
      <c r="O81" s="64" t="s">
        <v>167</v>
      </c>
      <c r="P81" s="64" t="s">
        <v>167</v>
      </c>
    </row>
    <row r="82" spans="1:16">
      <c r="A82" s="16" t="s">
        <v>144</v>
      </c>
      <c r="B82" s="61" t="s">
        <v>582</v>
      </c>
      <c r="C82" s="61" t="s">
        <v>1571</v>
      </c>
      <c r="D82" s="61" t="s">
        <v>1446</v>
      </c>
      <c r="E82" s="62">
        <v>1</v>
      </c>
      <c r="F82" s="63"/>
      <c r="G82" s="61" t="s">
        <v>1446</v>
      </c>
      <c r="H82" s="61" t="s">
        <v>1441</v>
      </c>
      <c r="I82" s="61" t="s">
        <v>1570</v>
      </c>
      <c r="J82" s="64" t="s">
        <v>167</v>
      </c>
      <c r="K82" s="64" t="s">
        <v>167</v>
      </c>
      <c r="L82" s="64">
        <v>40000</v>
      </c>
      <c r="M82" s="64" t="s">
        <v>167</v>
      </c>
      <c r="N82" s="64" t="s">
        <v>167</v>
      </c>
      <c r="O82" s="64" t="s">
        <v>167</v>
      </c>
      <c r="P82" s="64" t="s">
        <v>167</v>
      </c>
    </row>
    <row r="83" spans="1:16" ht="41.45">
      <c r="A83" s="16" t="s">
        <v>144</v>
      </c>
      <c r="B83" s="61" t="s">
        <v>1572</v>
      </c>
      <c r="C83" s="61" t="s">
        <v>1573</v>
      </c>
      <c r="D83" s="61" t="s">
        <v>1446</v>
      </c>
      <c r="E83" s="62">
        <v>1</v>
      </c>
      <c r="F83" s="63"/>
      <c r="G83" s="61" t="s">
        <v>1446</v>
      </c>
      <c r="H83" s="61" t="s">
        <v>1441</v>
      </c>
      <c r="I83" s="61" t="s">
        <v>1574</v>
      </c>
      <c r="J83" s="64"/>
      <c r="K83" s="64" t="s">
        <v>167</v>
      </c>
      <c r="L83" s="64" t="s">
        <v>167</v>
      </c>
      <c r="M83" s="64" t="s">
        <v>167</v>
      </c>
      <c r="N83" s="64">
        <v>49600</v>
      </c>
      <c r="O83" s="64" t="s">
        <v>167</v>
      </c>
      <c r="P83" s="64" t="s">
        <v>167</v>
      </c>
    </row>
    <row r="84" spans="1:16" ht="55.15">
      <c r="A84" s="16" t="s">
        <v>144</v>
      </c>
      <c r="B84" s="61" t="s">
        <v>1572</v>
      </c>
      <c r="C84" s="61" t="s">
        <v>1573</v>
      </c>
      <c r="D84" s="61" t="s">
        <v>1438</v>
      </c>
      <c r="E84" s="62">
        <v>1</v>
      </c>
      <c r="F84" s="63"/>
      <c r="G84" s="61" t="s">
        <v>1438</v>
      </c>
      <c r="H84" s="61" t="s">
        <v>1441</v>
      </c>
      <c r="I84" s="61" t="s">
        <v>1575</v>
      </c>
      <c r="J84" s="64">
        <v>635000</v>
      </c>
      <c r="K84" s="64" t="s">
        <v>167</v>
      </c>
      <c r="L84" s="64" t="s">
        <v>167</v>
      </c>
      <c r="M84" s="64" t="s">
        <v>167</v>
      </c>
      <c r="N84" s="64" t="s">
        <v>167</v>
      </c>
      <c r="O84" s="64" t="s">
        <v>167</v>
      </c>
      <c r="P84" s="64" t="s">
        <v>167</v>
      </c>
    </row>
    <row r="85" spans="1:16">
      <c r="A85" s="16" t="s">
        <v>144</v>
      </c>
      <c r="B85" s="61" t="s">
        <v>425</v>
      </c>
      <c r="C85" s="61" t="s">
        <v>1576</v>
      </c>
      <c r="D85" s="61" t="s">
        <v>1446</v>
      </c>
      <c r="E85" s="62">
        <v>1</v>
      </c>
      <c r="F85" s="63"/>
      <c r="G85" s="61" t="s">
        <v>1446</v>
      </c>
      <c r="H85" s="61" t="s">
        <v>1441</v>
      </c>
      <c r="I85" s="61" t="s">
        <v>1516</v>
      </c>
      <c r="J85" s="64" t="s">
        <v>167</v>
      </c>
      <c r="K85" s="64" t="s">
        <v>167</v>
      </c>
      <c r="L85" s="64">
        <v>34000</v>
      </c>
      <c r="M85" s="64" t="s">
        <v>167</v>
      </c>
      <c r="N85" s="64" t="s">
        <v>167</v>
      </c>
      <c r="O85" s="64" t="s">
        <v>167</v>
      </c>
      <c r="P85" s="64" t="s">
        <v>167</v>
      </c>
    </row>
    <row r="86" spans="1:16">
      <c r="A86" s="16" t="s">
        <v>144</v>
      </c>
      <c r="B86" s="61" t="s">
        <v>1577</v>
      </c>
      <c r="C86" s="61" t="s">
        <v>210</v>
      </c>
      <c r="D86" s="61" t="s">
        <v>1578</v>
      </c>
      <c r="E86" s="62">
        <v>1</v>
      </c>
      <c r="F86" s="63"/>
      <c r="G86" s="61" t="s">
        <v>1438</v>
      </c>
      <c r="H86" s="61" t="s">
        <v>1441</v>
      </c>
      <c r="I86" s="61" t="s">
        <v>1535</v>
      </c>
      <c r="J86" s="64" t="s">
        <v>167</v>
      </c>
      <c r="K86" s="64">
        <v>660000</v>
      </c>
      <c r="L86" s="64" t="s">
        <v>167</v>
      </c>
      <c r="M86" s="64" t="s">
        <v>167</v>
      </c>
      <c r="N86" s="64" t="s">
        <v>167</v>
      </c>
      <c r="O86" s="64" t="s">
        <v>167</v>
      </c>
      <c r="P86" s="64" t="s">
        <v>167</v>
      </c>
    </row>
    <row r="87" spans="1:16">
      <c r="A87" s="16" t="s">
        <v>144</v>
      </c>
      <c r="B87" s="61" t="s">
        <v>1579</v>
      </c>
      <c r="C87" s="61" t="s">
        <v>1580</v>
      </c>
      <c r="D87" s="61" t="s">
        <v>1446</v>
      </c>
      <c r="E87" s="62">
        <v>1</v>
      </c>
      <c r="F87" s="63"/>
      <c r="G87" s="61" t="s">
        <v>1446</v>
      </c>
      <c r="H87" s="61" t="s">
        <v>1441</v>
      </c>
      <c r="I87" s="61" t="s">
        <v>1535</v>
      </c>
      <c r="J87" s="64" t="s">
        <v>167</v>
      </c>
      <c r="K87" s="64">
        <v>75000</v>
      </c>
      <c r="L87" s="64" t="s">
        <v>167</v>
      </c>
      <c r="M87" s="64" t="s">
        <v>167</v>
      </c>
      <c r="N87" s="64" t="s">
        <v>167</v>
      </c>
      <c r="O87" s="64" t="s">
        <v>167</v>
      </c>
      <c r="P87" s="64" t="s">
        <v>167</v>
      </c>
    </row>
    <row r="88" spans="1:16">
      <c r="A88" s="16" t="s">
        <v>144</v>
      </c>
      <c r="B88" s="61" t="s">
        <v>1579</v>
      </c>
      <c r="C88" s="61" t="s">
        <v>1580</v>
      </c>
      <c r="D88" s="61" t="s">
        <v>1454</v>
      </c>
      <c r="E88" s="62">
        <v>1</v>
      </c>
      <c r="F88" s="63"/>
      <c r="G88" s="61" t="s">
        <v>1455</v>
      </c>
      <c r="H88" s="61" t="s">
        <v>1441</v>
      </c>
      <c r="I88" s="61" t="s">
        <v>1535</v>
      </c>
      <c r="J88" s="64" t="s">
        <v>167</v>
      </c>
      <c r="K88" s="64">
        <v>75000</v>
      </c>
      <c r="L88" s="64" t="s">
        <v>167</v>
      </c>
      <c r="M88" s="64" t="s">
        <v>167</v>
      </c>
      <c r="N88" s="64" t="s">
        <v>167</v>
      </c>
      <c r="O88" s="64" t="s">
        <v>167</v>
      </c>
      <c r="P88" s="64" t="s">
        <v>167</v>
      </c>
    </row>
    <row r="89" spans="1:16">
      <c r="A89" s="16" t="s">
        <v>144</v>
      </c>
      <c r="B89" s="61" t="s">
        <v>1581</v>
      </c>
      <c r="C89" s="61" t="s">
        <v>1582</v>
      </c>
      <c r="D89" s="61" t="s">
        <v>1446</v>
      </c>
      <c r="E89" s="62">
        <v>1</v>
      </c>
      <c r="F89" s="63"/>
      <c r="G89" s="61" t="s">
        <v>1446</v>
      </c>
      <c r="H89" s="61" t="s">
        <v>1441</v>
      </c>
      <c r="I89" s="61" t="s">
        <v>1535</v>
      </c>
      <c r="J89" s="64">
        <v>28750</v>
      </c>
      <c r="K89" s="64" t="s">
        <v>167</v>
      </c>
      <c r="L89" s="64" t="s">
        <v>167</v>
      </c>
      <c r="M89" s="64" t="s">
        <v>167</v>
      </c>
      <c r="N89" s="64">
        <v>28750</v>
      </c>
      <c r="O89" s="64" t="s">
        <v>167</v>
      </c>
      <c r="P89" s="64" t="s">
        <v>167</v>
      </c>
    </row>
    <row r="90" spans="1:16" ht="27.6">
      <c r="A90" s="16" t="s">
        <v>144</v>
      </c>
      <c r="B90" s="61" t="s">
        <v>1581</v>
      </c>
      <c r="C90" s="61" t="s">
        <v>1582</v>
      </c>
      <c r="D90" s="61" t="s">
        <v>1532</v>
      </c>
      <c r="E90" s="62">
        <v>1</v>
      </c>
      <c r="F90" s="63"/>
      <c r="G90" s="61" t="s">
        <v>1455</v>
      </c>
      <c r="H90" s="61" t="s">
        <v>1441</v>
      </c>
      <c r="I90" s="61" t="s">
        <v>1516</v>
      </c>
      <c r="J90" s="64" t="s">
        <v>167</v>
      </c>
      <c r="K90" s="64" t="s">
        <v>167</v>
      </c>
      <c r="L90" s="64" t="s">
        <v>167</v>
      </c>
      <c r="M90" s="64">
        <v>100000</v>
      </c>
      <c r="N90" s="64" t="s">
        <v>167</v>
      </c>
      <c r="O90" s="64" t="s">
        <v>167</v>
      </c>
      <c r="P90" s="64" t="s">
        <v>167</v>
      </c>
    </row>
    <row r="91" spans="1:16">
      <c r="A91" s="16" t="s">
        <v>144</v>
      </c>
      <c r="B91" s="61" t="s">
        <v>1581</v>
      </c>
      <c r="C91" s="61" t="s">
        <v>1582</v>
      </c>
      <c r="D91" s="61" t="s">
        <v>1438</v>
      </c>
      <c r="E91" s="62">
        <v>1</v>
      </c>
      <c r="F91" s="63"/>
      <c r="G91" s="61" t="s">
        <v>1438</v>
      </c>
      <c r="H91" s="61" t="s">
        <v>1441</v>
      </c>
      <c r="I91" s="61" t="s">
        <v>1516</v>
      </c>
      <c r="J91" s="64" t="s">
        <v>167</v>
      </c>
      <c r="K91" s="64" t="s">
        <v>167</v>
      </c>
      <c r="L91" s="64" t="s">
        <v>167</v>
      </c>
      <c r="M91" s="64" t="s">
        <v>167</v>
      </c>
      <c r="N91" s="64">
        <v>170000</v>
      </c>
      <c r="O91" s="64" t="s">
        <v>167</v>
      </c>
      <c r="P91" s="64" t="s">
        <v>167</v>
      </c>
    </row>
    <row r="92" spans="1:16">
      <c r="A92" s="16" t="s">
        <v>144</v>
      </c>
      <c r="B92" s="61" t="s">
        <v>1583</v>
      </c>
      <c r="C92" s="61" t="s">
        <v>1584</v>
      </c>
      <c r="D92" s="61" t="s">
        <v>1446</v>
      </c>
      <c r="E92" s="62">
        <v>1</v>
      </c>
      <c r="F92" s="63"/>
      <c r="G92" s="61" t="s">
        <v>1446</v>
      </c>
      <c r="H92" s="61" t="s">
        <v>1441</v>
      </c>
      <c r="I92" s="61" t="s">
        <v>1535</v>
      </c>
      <c r="J92" s="64" t="s">
        <v>167</v>
      </c>
      <c r="K92" s="64">
        <v>100000</v>
      </c>
      <c r="L92" s="64" t="s">
        <v>167</v>
      </c>
      <c r="M92" s="64" t="s">
        <v>167</v>
      </c>
      <c r="N92" s="64" t="s">
        <v>167</v>
      </c>
      <c r="O92" s="64" t="s">
        <v>167</v>
      </c>
      <c r="P92" s="64" t="s">
        <v>167</v>
      </c>
    </row>
    <row r="93" spans="1:16">
      <c r="A93" s="16" t="s">
        <v>144</v>
      </c>
      <c r="B93" s="61" t="s">
        <v>1585</v>
      </c>
      <c r="C93" s="61" t="s">
        <v>1586</v>
      </c>
      <c r="D93" s="61" t="s">
        <v>1446</v>
      </c>
      <c r="E93" s="62">
        <v>1</v>
      </c>
      <c r="F93" s="63"/>
      <c r="G93" s="61" t="s">
        <v>1446</v>
      </c>
      <c r="H93" s="61" t="s">
        <v>1441</v>
      </c>
      <c r="I93" s="61" t="s">
        <v>1516</v>
      </c>
      <c r="J93" s="64"/>
      <c r="K93" s="64" t="s">
        <v>167</v>
      </c>
      <c r="L93" s="64" t="s">
        <v>167</v>
      </c>
      <c r="M93" s="64" t="s">
        <v>167</v>
      </c>
      <c r="N93" s="64">
        <v>27500</v>
      </c>
      <c r="O93" s="64" t="s">
        <v>167</v>
      </c>
      <c r="P93" s="64" t="s">
        <v>167</v>
      </c>
    </row>
    <row r="94" spans="1:16" ht="27.6">
      <c r="A94" s="16" t="s">
        <v>144</v>
      </c>
      <c r="B94" s="61" t="s">
        <v>151</v>
      </c>
      <c r="C94" s="61" t="s">
        <v>142</v>
      </c>
      <c r="D94" s="61" t="s">
        <v>1445</v>
      </c>
      <c r="E94" s="62">
        <v>1</v>
      </c>
      <c r="F94" s="63"/>
      <c r="G94" s="61" t="s">
        <v>1446</v>
      </c>
      <c r="H94" s="61" t="s">
        <v>1441</v>
      </c>
      <c r="I94" s="61" t="s">
        <v>1587</v>
      </c>
      <c r="J94" s="64" t="s">
        <v>167</v>
      </c>
      <c r="K94" s="64"/>
      <c r="L94" s="64"/>
      <c r="M94" s="64" t="s">
        <v>167</v>
      </c>
      <c r="N94" s="64" t="s">
        <v>167</v>
      </c>
      <c r="O94" s="64" t="s">
        <v>167</v>
      </c>
      <c r="P94" s="64" t="s">
        <v>167</v>
      </c>
    </row>
    <row r="95" spans="1:16" ht="27.6">
      <c r="A95" s="16" t="s">
        <v>144</v>
      </c>
      <c r="B95" s="61" t="s">
        <v>669</v>
      </c>
      <c r="C95" s="61" t="s">
        <v>1588</v>
      </c>
      <c r="D95" s="61" t="s">
        <v>1446</v>
      </c>
      <c r="E95" s="62">
        <v>1</v>
      </c>
      <c r="F95" s="63"/>
      <c r="G95" s="61" t="s">
        <v>1446</v>
      </c>
      <c r="H95" s="61" t="s">
        <v>1441</v>
      </c>
      <c r="I95" s="61" t="s">
        <v>1589</v>
      </c>
      <c r="J95" s="64">
        <v>80000</v>
      </c>
      <c r="K95" s="64"/>
      <c r="L95" s="64" t="s">
        <v>167</v>
      </c>
      <c r="M95" s="64" t="s">
        <v>167</v>
      </c>
      <c r="N95" s="64" t="s">
        <v>167</v>
      </c>
      <c r="O95" s="64" t="s">
        <v>167</v>
      </c>
      <c r="P95" s="64" t="s">
        <v>167</v>
      </c>
    </row>
    <row r="96" spans="1:16">
      <c r="A96" s="16" t="s">
        <v>144</v>
      </c>
      <c r="B96" s="61" t="s">
        <v>1590</v>
      </c>
      <c r="C96" s="61" t="s">
        <v>1591</v>
      </c>
      <c r="D96" s="61" t="s">
        <v>1446</v>
      </c>
      <c r="E96" s="62">
        <v>1</v>
      </c>
      <c r="F96" s="63"/>
      <c r="G96" s="61" t="s">
        <v>1446</v>
      </c>
      <c r="H96" s="61" t="s">
        <v>1441</v>
      </c>
      <c r="I96" s="61" t="s">
        <v>1516</v>
      </c>
      <c r="J96" s="64" t="s">
        <v>167</v>
      </c>
      <c r="K96" s="64">
        <v>15000</v>
      </c>
      <c r="L96" s="64" t="s">
        <v>167</v>
      </c>
      <c r="M96" s="64" t="s">
        <v>167</v>
      </c>
      <c r="N96" s="64" t="s">
        <v>167</v>
      </c>
      <c r="O96" s="64" t="s">
        <v>167</v>
      </c>
      <c r="P96" s="64" t="s">
        <v>167</v>
      </c>
    </row>
    <row r="97" spans="1:16" ht="27.6">
      <c r="A97" s="16" t="s">
        <v>144</v>
      </c>
      <c r="B97" s="61" t="s">
        <v>1590</v>
      </c>
      <c r="C97" s="61" t="s">
        <v>1591</v>
      </c>
      <c r="D97" s="61" t="s">
        <v>1532</v>
      </c>
      <c r="E97" s="62">
        <v>1</v>
      </c>
      <c r="F97" s="63"/>
      <c r="G97" s="61" t="s">
        <v>1455</v>
      </c>
      <c r="H97" s="61" t="s">
        <v>1441</v>
      </c>
      <c r="I97" s="61" t="s">
        <v>1516</v>
      </c>
      <c r="J97" s="64" t="s">
        <v>167</v>
      </c>
      <c r="K97" s="64">
        <v>15000</v>
      </c>
      <c r="L97" s="64" t="s">
        <v>167</v>
      </c>
      <c r="M97" s="64" t="s">
        <v>167</v>
      </c>
      <c r="N97" s="64" t="s">
        <v>167</v>
      </c>
      <c r="O97" s="64" t="s">
        <v>167</v>
      </c>
      <c r="P97" s="64" t="s">
        <v>167</v>
      </c>
    </row>
    <row r="98" spans="1:16" s="53" customFormat="1">
      <c r="B98" s="65"/>
      <c r="C98" s="65"/>
      <c r="D98" s="65"/>
      <c r="E98" s="66"/>
      <c r="F98" s="67"/>
      <c r="G98" s="65"/>
      <c r="H98" s="65"/>
      <c r="I98" s="65"/>
      <c r="J98" s="68"/>
      <c r="K98" s="68"/>
      <c r="L98" s="68"/>
      <c r="M98" s="68"/>
      <c r="N98" s="68"/>
      <c r="O98" s="68"/>
      <c r="P98" s="68"/>
    </row>
    <row r="99" spans="1:16" ht="41.45">
      <c r="A99" s="16" t="s">
        <v>1411</v>
      </c>
      <c r="B99" s="61" t="s">
        <v>1592</v>
      </c>
      <c r="C99" s="61" t="s">
        <v>1593</v>
      </c>
      <c r="D99" s="61" t="s">
        <v>1594</v>
      </c>
      <c r="E99" s="62">
        <v>1</v>
      </c>
      <c r="F99" s="63"/>
      <c r="G99" s="61" t="s">
        <v>1464</v>
      </c>
      <c r="H99" s="61" t="s">
        <v>1441</v>
      </c>
      <c r="I99" s="61" t="s">
        <v>1595</v>
      </c>
      <c r="J99" s="64" t="s">
        <v>167</v>
      </c>
      <c r="K99" s="64"/>
      <c r="L99" s="64">
        <v>250000</v>
      </c>
      <c r="M99" s="64" t="s">
        <v>167</v>
      </c>
      <c r="N99" s="64" t="s">
        <v>167</v>
      </c>
      <c r="O99" s="64" t="s">
        <v>167</v>
      </c>
      <c r="P99" s="64" t="s">
        <v>167</v>
      </c>
    </row>
    <row r="100" spans="1:16" ht="41.45">
      <c r="A100" s="16" t="s">
        <v>1411</v>
      </c>
      <c r="B100" s="61" t="s">
        <v>216</v>
      </c>
      <c r="C100" s="61" t="s">
        <v>213</v>
      </c>
      <c r="D100" s="61" t="s">
        <v>1596</v>
      </c>
      <c r="E100" s="62">
        <v>1</v>
      </c>
      <c r="F100" s="63"/>
      <c r="G100" s="61" t="s">
        <v>1438</v>
      </c>
      <c r="H100" s="61" t="s">
        <v>1441</v>
      </c>
      <c r="I100" s="61" t="s">
        <v>1597</v>
      </c>
      <c r="J100" s="64" t="s">
        <v>167</v>
      </c>
      <c r="K100" s="64" t="s">
        <v>167</v>
      </c>
      <c r="L100" s="64" t="s">
        <v>167</v>
      </c>
      <c r="M100" s="64">
        <v>68250</v>
      </c>
      <c r="N100" s="64" t="s">
        <v>167</v>
      </c>
      <c r="O100" s="64" t="s">
        <v>167</v>
      </c>
      <c r="P100" s="64" t="s">
        <v>167</v>
      </c>
    </row>
    <row r="101" spans="1:16">
      <c r="A101" s="16" t="s">
        <v>1411</v>
      </c>
      <c r="B101" s="61" t="s">
        <v>1598</v>
      </c>
      <c r="C101" s="61" t="s">
        <v>204</v>
      </c>
      <c r="D101" s="61" t="s">
        <v>1446</v>
      </c>
      <c r="E101" s="62">
        <v>1</v>
      </c>
      <c r="F101" s="63"/>
      <c r="G101" s="61" t="s">
        <v>1446</v>
      </c>
      <c r="H101" s="61" t="s">
        <v>1441</v>
      </c>
      <c r="I101" s="61" t="s">
        <v>1599</v>
      </c>
      <c r="J101" s="64">
        <v>120000</v>
      </c>
      <c r="K101" s="64"/>
      <c r="L101" s="64"/>
      <c r="M101" s="64">
        <v>60000</v>
      </c>
      <c r="N101" s="64"/>
      <c r="O101" s="64"/>
      <c r="P101" s="64" t="s">
        <v>167</v>
      </c>
    </row>
    <row r="102" spans="1:16" s="53" customFormat="1">
      <c r="B102" s="65"/>
      <c r="C102" s="65"/>
      <c r="D102" s="65"/>
      <c r="E102" s="66"/>
      <c r="F102" s="67"/>
      <c r="G102" s="65"/>
      <c r="H102" s="65"/>
      <c r="I102" s="65"/>
      <c r="J102" s="68"/>
      <c r="K102" s="68"/>
      <c r="L102" s="68"/>
      <c r="M102" s="68"/>
      <c r="N102" s="68"/>
      <c r="O102" s="68"/>
      <c r="P102" s="68"/>
    </row>
    <row r="103" spans="1:16" ht="27.6">
      <c r="A103" s="16" t="s">
        <v>1410</v>
      </c>
      <c r="B103" s="61" t="s">
        <v>1600</v>
      </c>
      <c r="C103" s="61" t="s">
        <v>1601</v>
      </c>
      <c r="D103" s="61" t="s">
        <v>1454</v>
      </c>
      <c r="E103" s="62">
        <v>1</v>
      </c>
      <c r="F103" s="63"/>
      <c r="G103" s="61" t="s">
        <v>1602</v>
      </c>
      <c r="H103" s="61" t="s">
        <v>1441</v>
      </c>
      <c r="I103" s="61" t="s">
        <v>1603</v>
      </c>
      <c r="J103" s="64" t="s">
        <v>167</v>
      </c>
      <c r="K103" s="64" t="s">
        <v>167</v>
      </c>
      <c r="L103" s="64">
        <v>487500</v>
      </c>
      <c r="M103" s="64" t="s">
        <v>167</v>
      </c>
      <c r="N103" s="64" t="s">
        <v>167</v>
      </c>
      <c r="O103" s="64" t="s">
        <v>167</v>
      </c>
      <c r="P103" s="64" t="s">
        <v>167</v>
      </c>
    </row>
    <row r="104" spans="1:16">
      <c r="A104" s="16" t="s">
        <v>1410</v>
      </c>
      <c r="B104" s="61" t="s">
        <v>1600</v>
      </c>
      <c r="C104" s="61" t="s">
        <v>1601</v>
      </c>
      <c r="D104" s="61" t="s">
        <v>1504</v>
      </c>
      <c r="E104" s="62">
        <v>1</v>
      </c>
      <c r="F104" s="63"/>
      <c r="G104" s="61" t="s">
        <v>1464</v>
      </c>
      <c r="H104" s="61" t="s">
        <v>1441</v>
      </c>
      <c r="I104" s="61" t="s">
        <v>1570</v>
      </c>
      <c r="J104" s="64" t="s">
        <v>167</v>
      </c>
      <c r="K104" s="64" t="s">
        <v>167</v>
      </c>
      <c r="L104" s="64">
        <v>212500</v>
      </c>
      <c r="M104" s="64" t="s">
        <v>167</v>
      </c>
      <c r="N104" s="64" t="s">
        <v>167</v>
      </c>
      <c r="O104" s="64" t="s">
        <v>167</v>
      </c>
      <c r="P104" s="64" t="s">
        <v>167</v>
      </c>
    </row>
    <row r="105" spans="1:16">
      <c r="A105" s="16" t="s">
        <v>1410</v>
      </c>
      <c r="B105" s="61" t="s">
        <v>1600</v>
      </c>
      <c r="C105" s="61" t="s">
        <v>1601</v>
      </c>
      <c r="D105" s="61" t="s">
        <v>1438</v>
      </c>
      <c r="E105" s="62">
        <v>1</v>
      </c>
      <c r="F105" s="63"/>
      <c r="G105" s="61" t="s">
        <v>1438</v>
      </c>
      <c r="H105" s="61" t="s">
        <v>1441</v>
      </c>
      <c r="I105" s="61" t="s">
        <v>1604</v>
      </c>
      <c r="J105" s="64" t="s">
        <v>167</v>
      </c>
      <c r="K105" s="64">
        <v>500000</v>
      </c>
      <c r="L105" s="64">
        <v>135000</v>
      </c>
      <c r="M105" s="64" t="s">
        <v>167</v>
      </c>
      <c r="N105" s="64" t="s">
        <v>167</v>
      </c>
      <c r="O105" s="64" t="s">
        <v>167</v>
      </c>
      <c r="P105" s="64" t="s">
        <v>167</v>
      </c>
    </row>
    <row r="106" spans="1:16">
      <c r="A106" s="16" t="s">
        <v>1410</v>
      </c>
      <c r="B106" s="61" t="s">
        <v>1600</v>
      </c>
      <c r="C106" s="61" t="s">
        <v>1601</v>
      </c>
      <c r="D106" s="61" t="s">
        <v>1464</v>
      </c>
      <c r="E106" s="62">
        <v>1</v>
      </c>
      <c r="F106" s="63"/>
      <c r="G106" s="61" t="s">
        <v>1464</v>
      </c>
      <c r="H106" s="61" t="s">
        <v>1441</v>
      </c>
      <c r="I106" s="61" t="s">
        <v>1605</v>
      </c>
      <c r="J106" s="64" t="s">
        <v>167</v>
      </c>
      <c r="K106" s="64" t="s">
        <v>167</v>
      </c>
      <c r="L106" s="64">
        <v>37763</v>
      </c>
      <c r="M106" s="64">
        <v>25175</v>
      </c>
      <c r="N106" s="64">
        <v>37763</v>
      </c>
      <c r="O106" s="64" t="s">
        <v>167</v>
      </c>
      <c r="P106" s="64" t="s">
        <v>167</v>
      </c>
    </row>
    <row r="107" spans="1:16">
      <c r="A107" s="16" t="s">
        <v>1410</v>
      </c>
      <c r="B107" s="61" t="s">
        <v>179</v>
      </c>
      <c r="C107" s="61" t="s">
        <v>1606</v>
      </c>
      <c r="D107" s="61" t="s">
        <v>1438</v>
      </c>
      <c r="E107" s="62">
        <v>1</v>
      </c>
      <c r="F107" s="63"/>
      <c r="G107" s="61" t="s">
        <v>1438</v>
      </c>
      <c r="H107" s="61" t="s">
        <v>1441</v>
      </c>
      <c r="I107" s="61" t="s">
        <v>1438</v>
      </c>
      <c r="J107" s="64" t="s">
        <v>167</v>
      </c>
      <c r="K107" s="64" t="s">
        <v>167</v>
      </c>
      <c r="L107" s="64" t="s">
        <v>167</v>
      </c>
      <c r="M107" s="64" t="s">
        <v>167</v>
      </c>
      <c r="N107" s="64">
        <v>182706</v>
      </c>
      <c r="O107" s="64" t="s">
        <v>167</v>
      </c>
      <c r="P107" s="64" t="s">
        <v>167</v>
      </c>
    </row>
    <row r="108" spans="1:16">
      <c r="A108" s="16" t="s">
        <v>1410</v>
      </c>
      <c r="B108" s="61" t="s">
        <v>272</v>
      </c>
      <c r="C108" s="61" t="s">
        <v>270</v>
      </c>
      <c r="D108" s="61" t="s">
        <v>1468</v>
      </c>
      <c r="E108" s="62">
        <v>1</v>
      </c>
      <c r="F108" s="63"/>
      <c r="G108" s="61" t="s">
        <v>1464</v>
      </c>
      <c r="H108" s="61" t="s">
        <v>1441</v>
      </c>
      <c r="I108" s="61" t="s">
        <v>1607</v>
      </c>
      <c r="J108" s="64" t="s">
        <v>167</v>
      </c>
      <c r="K108" s="64" t="s">
        <v>167</v>
      </c>
      <c r="L108" s="64">
        <v>367056</v>
      </c>
      <c r="M108" s="64" t="s">
        <v>167</v>
      </c>
      <c r="N108" s="64" t="s">
        <v>167</v>
      </c>
      <c r="O108" s="64" t="s">
        <v>167</v>
      </c>
      <c r="P108" s="64" t="s">
        <v>167</v>
      </c>
    </row>
    <row r="109" spans="1:16" ht="41.45">
      <c r="A109" s="16" t="s">
        <v>1410</v>
      </c>
      <c r="B109" s="61" t="s">
        <v>272</v>
      </c>
      <c r="C109" s="61" t="s">
        <v>270</v>
      </c>
      <c r="D109" s="61" t="s">
        <v>1608</v>
      </c>
      <c r="E109" s="62">
        <v>1</v>
      </c>
      <c r="F109" s="63"/>
      <c r="G109" s="61" t="s">
        <v>1438</v>
      </c>
      <c r="H109" s="61" t="s">
        <v>1441</v>
      </c>
      <c r="I109" s="61" t="s">
        <v>1609</v>
      </c>
      <c r="J109" s="64" t="s">
        <v>167</v>
      </c>
      <c r="K109" s="64" t="s">
        <v>167</v>
      </c>
      <c r="L109" s="64">
        <v>632944</v>
      </c>
      <c r="M109" s="64" t="s">
        <v>167</v>
      </c>
      <c r="N109" s="64" t="s">
        <v>167</v>
      </c>
      <c r="O109" s="64" t="s">
        <v>167</v>
      </c>
      <c r="P109" s="64" t="s">
        <v>167</v>
      </c>
    </row>
    <row r="110" spans="1:16" ht="27.6">
      <c r="A110" s="16" t="s">
        <v>1410</v>
      </c>
      <c r="B110" s="61" t="s">
        <v>1610</v>
      </c>
      <c r="C110" s="61" t="s">
        <v>1611</v>
      </c>
      <c r="D110" s="61" t="s">
        <v>1612</v>
      </c>
      <c r="E110" s="62">
        <v>1</v>
      </c>
      <c r="F110" s="63"/>
      <c r="G110" s="61" t="s">
        <v>1455</v>
      </c>
      <c r="H110" s="61" t="s">
        <v>1441</v>
      </c>
      <c r="I110" s="61" t="s">
        <v>1613</v>
      </c>
      <c r="J110" s="64" t="s">
        <v>167</v>
      </c>
      <c r="K110" s="64" t="s">
        <v>167</v>
      </c>
      <c r="L110" s="64">
        <v>30000</v>
      </c>
      <c r="M110" s="64" t="s">
        <v>167</v>
      </c>
      <c r="N110" s="64" t="s">
        <v>167</v>
      </c>
      <c r="O110" s="64" t="s">
        <v>167</v>
      </c>
      <c r="P110" s="64" t="s">
        <v>167</v>
      </c>
    </row>
    <row r="111" spans="1:16" ht="41.45">
      <c r="A111" s="16" t="s">
        <v>1410</v>
      </c>
      <c r="B111" s="61" t="s">
        <v>1610</v>
      </c>
      <c r="C111" s="61" t="s">
        <v>1611</v>
      </c>
      <c r="D111" s="61" t="s">
        <v>1614</v>
      </c>
      <c r="E111" s="62">
        <v>1</v>
      </c>
      <c r="F111" s="63"/>
      <c r="G111" s="61" t="s">
        <v>1464</v>
      </c>
      <c r="H111" s="61" t="s">
        <v>1441</v>
      </c>
      <c r="I111" s="61" t="s">
        <v>1615</v>
      </c>
      <c r="J111" s="64">
        <v>36500</v>
      </c>
      <c r="K111" s="64" t="s">
        <v>167</v>
      </c>
      <c r="L111" s="64" t="s">
        <v>167</v>
      </c>
      <c r="M111" s="64" t="s">
        <v>167</v>
      </c>
      <c r="N111" s="64" t="s">
        <v>167</v>
      </c>
      <c r="O111" s="64" t="s">
        <v>167</v>
      </c>
      <c r="P111" s="64" t="s">
        <v>167</v>
      </c>
    </row>
    <row r="112" spans="1:16" ht="27.6">
      <c r="A112" s="16" t="s">
        <v>1410</v>
      </c>
      <c r="B112" s="61" t="s">
        <v>1610</v>
      </c>
      <c r="C112" s="61" t="s">
        <v>1611</v>
      </c>
      <c r="D112" s="61" t="s">
        <v>1468</v>
      </c>
      <c r="E112" s="62">
        <v>1</v>
      </c>
      <c r="F112" s="63"/>
      <c r="G112" s="61" t="s">
        <v>1464</v>
      </c>
      <c r="H112" s="61" t="s">
        <v>1441</v>
      </c>
      <c r="I112" s="61" t="s">
        <v>1616</v>
      </c>
      <c r="J112" s="64" t="s">
        <v>167</v>
      </c>
      <c r="K112" s="64">
        <v>33900</v>
      </c>
      <c r="L112" s="64" t="s">
        <v>167</v>
      </c>
      <c r="M112" s="64">
        <v>52500</v>
      </c>
      <c r="N112" s="64" t="s">
        <v>167</v>
      </c>
      <c r="O112" s="64" t="s">
        <v>167</v>
      </c>
      <c r="P112" s="64" t="s">
        <v>167</v>
      </c>
    </row>
    <row r="113" spans="1:16" s="53" customFormat="1">
      <c r="B113" s="65"/>
      <c r="C113" s="65"/>
      <c r="D113" s="65"/>
      <c r="E113" s="66"/>
      <c r="F113" s="67"/>
      <c r="G113" s="65"/>
      <c r="H113" s="65"/>
      <c r="I113" s="65"/>
      <c r="J113" s="68"/>
      <c r="K113" s="68"/>
      <c r="L113" s="68"/>
      <c r="M113" s="68"/>
      <c r="N113" s="68"/>
      <c r="O113" s="68"/>
      <c r="P113" s="68"/>
    </row>
    <row r="114" spans="1:16" ht="41.45">
      <c r="A114" s="16" t="s">
        <v>1412</v>
      </c>
      <c r="B114" s="61" t="s">
        <v>1617</v>
      </c>
      <c r="C114" s="61" t="s">
        <v>1618</v>
      </c>
      <c r="D114" s="61" t="s">
        <v>1619</v>
      </c>
      <c r="E114" s="62">
        <v>1</v>
      </c>
      <c r="F114" s="63"/>
      <c r="G114" s="61" t="s">
        <v>1464</v>
      </c>
      <c r="H114" s="61" t="s">
        <v>1441</v>
      </c>
      <c r="I114" s="61" t="s">
        <v>1620</v>
      </c>
      <c r="J114" s="64">
        <v>30000</v>
      </c>
      <c r="K114" s="64" t="s">
        <v>167</v>
      </c>
      <c r="L114" s="64" t="s">
        <v>167</v>
      </c>
      <c r="M114" s="64" t="s">
        <v>167</v>
      </c>
      <c r="N114" s="64" t="s">
        <v>167</v>
      </c>
      <c r="O114" s="64" t="s">
        <v>167</v>
      </c>
      <c r="P114" s="64" t="s">
        <v>167</v>
      </c>
    </row>
    <row r="115" spans="1:16" ht="41.45">
      <c r="A115" s="16" t="s">
        <v>1412</v>
      </c>
      <c r="B115" s="61" t="s">
        <v>1617</v>
      </c>
      <c r="C115" s="61" t="s">
        <v>1618</v>
      </c>
      <c r="D115" s="61" t="s">
        <v>1473</v>
      </c>
      <c r="E115" s="62">
        <v>1</v>
      </c>
      <c r="F115" s="63"/>
      <c r="G115" s="61" t="s">
        <v>1455</v>
      </c>
      <c r="H115" s="61" t="s">
        <v>1441</v>
      </c>
      <c r="I115" s="61" t="s">
        <v>1621</v>
      </c>
      <c r="J115" s="64"/>
      <c r="K115" s="64" t="s">
        <v>167</v>
      </c>
      <c r="L115" s="64">
        <v>20000</v>
      </c>
      <c r="M115" s="64" t="s">
        <v>167</v>
      </c>
      <c r="N115" s="64" t="s">
        <v>167</v>
      </c>
      <c r="O115" s="64" t="s">
        <v>167</v>
      </c>
      <c r="P115" s="64" t="s">
        <v>167</v>
      </c>
    </row>
    <row r="116" spans="1:16">
      <c r="A116" s="16" t="s">
        <v>1412</v>
      </c>
      <c r="B116" s="61" t="s">
        <v>1622</v>
      </c>
      <c r="C116" s="61" t="s">
        <v>1623</v>
      </c>
      <c r="D116" s="61" t="s">
        <v>1446</v>
      </c>
      <c r="E116" s="62">
        <v>1</v>
      </c>
      <c r="F116" s="63"/>
      <c r="G116" s="61" t="s">
        <v>1446</v>
      </c>
      <c r="H116" s="61" t="s">
        <v>1441</v>
      </c>
      <c r="I116" s="61" t="s">
        <v>1624</v>
      </c>
      <c r="J116" s="64"/>
      <c r="K116" s="64" t="s">
        <v>167</v>
      </c>
      <c r="L116" s="64"/>
      <c r="M116" s="64" t="s">
        <v>167</v>
      </c>
      <c r="N116" s="64" t="s">
        <v>167</v>
      </c>
      <c r="O116" s="64" t="s">
        <v>167</v>
      </c>
      <c r="P116" s="64" t="s">
        <v>167</v>
      </c>
    </row>
    <row r="117" spans="1:16" ht="27.6">
      <c r="A117" s="16" t="s">
        <v>1412</v>
      </c>
      <c r="B117" s="61" t="s">
        <v>1625</v>
      </c>
      <c r="C117" s="61" t="s">
        <v>1626</v>
      </c>
      <c r="D117" s="61" t="s">
        <v>1446</v>
      </c>
      <c r="E117" s="62">
        <v>1</v>
      </c>
      <c r="F117" s="63"/>
      <c r="G117" s="61" t="s">
        <v>1446</v>
      </c>
      <c r="H117" s="61" t="s">
        <v>1441</v>
      </c>
      <c r="I117" s="61" t="s">
        <v>1627</v>
      </c>
      <c r="J117" s="64"/>
      <c r="K117" s="64" t="s">
        <v>167</v>
      </c>
      <c r="L117" s="64"/>
      <c r="M117" s="64"/>
      <c r="N117" s="64"/>
      <c r="O117" s="64" t="s">
        <v>167</v>
      </c>
      <c r="P117" s="64" t="s">
        <v>167</v>
      </c>
    </row>
    <row r="118" spans="1:16" ht="27.6">
      <c r="A118" s="16" t="s">
        <v>1412</v>
      </c>
      <c r="B118" s="61" t="s">
        <v>1625</v>
      </c>
      <c r="C118" s="61" t="s">
        <v>1626</v>
      </c>
      <c r="D118" s="61" t="s">
        <v>1473</v>
      </c>
      <c r="E118" s="62">
        <v>1</v>
      </c>
      <c r="F118" s="63"/>
      <c r="G118" s="61" t="s">
        <v>1602</v>
      </c>
      <c r="H118" s="61" t="s">
        <v>1441</v>
      </c>
      <c r="I118" s="61" t="s">
        <v>1628</v>
      </c>
      <c r="J118" s="64"/>
      <c r="K118" s="64">
        <v>30000</v>
      </c>
      <c r="L118" s="64" t="s">
        <v>167</v>
      </c>
      <c r="M118" s="64" t="s">
        <v>167</v>
      </c>
      <c r="N118" s="64" t="s">
        <v>167</v>
      </c>
      <c r="O118" s="64" t="s">
        <v>167</v>
      </c>
      <c r="P118" s="64" t="s">
        <v>167</v>
      </c>
    </row>
    <row r="119" spans="1:16">
      <c r="A119" s="16" t="s">
        <v>1412</v>
      </c>
      <c r="B119" s="61" t="s">
        <v>1625</v>
      </c>
      <c r="C119" s="61" t="s">
        <v>1626</v>
      </c>
      <c r="D119" s="61" t="s">
        <v>1438</v>
      </c>
      <c r="E119" s="62">
        <v>1</v>
      </c>
      <c r="F119" s="63"/>
      <c r="G119" s="61" t="s">
        <v>1438</v>
      </c>
      <c r="H119" s="61" t="s">
        <v>1441</v>
      </c>
      <c r="I119" s="61" t="s">
        <v>1448</v>
      </c>
      <c r="J119" s="64" t="s">
        <v>167</v>
      </c>
      <c r="K119" s="64">
        <v>350000</v>
      </c>
      <c r="L119" s="64" t="s">
        <v>167</v>
      </c>
      <c r="M119" s="64" t="s">
        <v>167</v>
      </c>
      <c r="N119" s="64" t="s">
        <v>167</v>
      </c>
      <c r="O119" s="64" t="s">
        <v>167</v>
      </c>
      <c r="P119" s="64" t="s">
        <v>167</v>
      </c>
    </row>
    <row r="120" spans="1:16" ht="27.6">
      <c r="A120" s="16" t="s">
        <v>1412</v>
      </c>
      <c r="B120" s="61" t="s">
        <v>1629</v>
      </c>
      <c r="C120" s="61" t="s">
        <v>1630</v>
      </c>
      <c r="D120" s="61" t="s">
        <v>1446</v>
      </c>
      <c r="E120" s="62">
        <v>1</v>
      </c>
      <c r="F120" s="63"/>
      <c r="G120" s="61" t="s">
        <v>1446</v>
      </c>
      <c r="H120" s="61" t="s">
        <v>1441</v>
      </c>
      <c r="I120" s="61" t="s">
        <v>1631</v>
      </c>
      <c r="J120" s="64">
        <v>86500</v>
      </c>
      <c r="K120" s="64" t="s">
        <v>167</v>
      </c>
      <c r="L120" s="64" t="s">
        <v>167</v>
      </c>
      <c r="M120" s="64">
        <v>118000</v>
      </c>
      <c r="N120" s="64" t="s">
        <v>167</v>
      </c>
      <c r="O120" s="64" t="s">
        <v>167</v>
      </c>
      <c r="P120" s="64" t="s">
        <v>167</v>
      </c>
    </row>
    <row r="121" spans="1:16" ht="41.45">
      <c r="A121" s="16" t="s">
        <v>1412</v>
      </c>
      <c r="B121" s="61" t="s">
        <v>1629</v>
      </c>
      <c r="C121" s="61" t="s">
        <v>1630</v>
      </c>
      <c r="D121" s="61" t="s">
        <v>1438</v>
      </c>
      <c r="E121" s="62">
        <v>1</v>
      </c>
      <c r="F121" s="63"/>
      <c r="G121" s="61" t="s">
        <v>1438</v>
      </c>
      <c r="H121" s="61" t="s">
        <v>1441</v>
      </c>
      <c r="I121" s="61" t="s">
        <v>1632</v>
      </c>
      <c r="J121" s="64">
        <v>602800</v>
      </c>
      <c r="K121" s="64"/>
      <c r="L121" s="64" t="s">
        <v>167</v>
      </c>
      <c r="M121" s="64" t="s">
        <v>167</v>
      </c>
      <c r="N121" s="64" t="s">
        <v>167</v>
      </c>
      <c r="O121" s="64" t="s">
        <v>167</v>
      </c>
      <c r="P121" s="64" t="s">
        <v>167</v>
      </c>
    </row>
    <row r="122" spans="1:16">
      <c r="A122" s="16" t="s">
        <v>1412</v>
      </c>
      <c r="B122" s="61" t="s">
        <v>497</v>
      </c>
      <c r="C122" s="61" t="s">
        <v>500</v>
      </c>
      <c r="D122" s="61" t="s">
        <v>1445</v>
      </c>
      <c r="E122" s="62">
        <v>1</v>
      </c>
      <c r="F122" s="63"/>
      <c r="G122" s="61" t="s">
        <v>1446</v>
      </c>
      <c r="H122" s="61" t="s">
        <v>1441</v>
      </c>
      <c r="I122" s="61" t="s">
        <v>1570</v>
      </c>
      <c r="J122" s="64"/>
      <c r="K122" s="64"/>
      <c r="L122" s="64"/>
      <c r="M122" s="64"/>
      <c r="N122" s="64"/>
      <c r="O122" s="64"/>
      <c r="P122" s="64"/>
    </row>
    <row r="123" spans="1:16" ht="27.6">
      <c r="A123" s="16" t="s">
        <v>1412</v>
      </c>
      <c r="B123" s="61" t="s">
        <v>497</v>
      </c>
      <c r="C123" s="61" t="s">
        <v>500</v>
      </c>
      <c r="D123" s="61" t="s">
        <v>1633</v>
      </c>
      <c r="E123" s="62">
        <v>1</v>
      </c>
      <c r="F123" s="63"/>
      <c r="G123" s="61" t="s">
        <v>1460</v>
      </c>
      <c r="H123" s="61" t="s">
        <v>1441</v>
      </c>
      <c r="I123" s="61" t="s">
        <v>1570</v>
      </c>
      <c r="J123" s="64">
        <v>71000</v>
      </c>
      <c r="K123" s="64" t="s">
        <v>167</v>
      </c>
      <c r="L123" s="64" t="s">
        <v>167</v>
      </c>
      <c r="M123" s="64" t="s">
        <v>167</v>
      </c>
      <c r="N123" s="64" t="s">
        <v>167</v>
      </c>
      <c r="O123" s="64" t="s">
        <v>167</v>
      </c>
      <c r="P123" s="64" t="s">
        <v>167</v>
      </c>
    </row>
    <row r="124" spans="1:16">
      <c r="A124" s="16" t="s">
        <v>1412</v>
      </c>
      <c r="B124" s="61" t="s">
        <v>373</v>
      </c>
      <c r="C124" s="61" t="s">
        <v>1634</v>
      </c>
      <c r="D124" s="61" t="s">
        <v>1508</v>
      </c>
      <c r="E124" s="62">
        <v>1</v>
      </c>
      <c r="F124" s="63"/>
      <c r="G124" s="61" t="s">
        <v>1438</v>
      </c>
      <c r="H124" s="61" t="s">
        <v>1441</v>
      </c>
      <c r="I124" s="61" t="s">
        <v>1635</v>
      </c>
      <c r="J124" s="64" t="s">
        <v>167</v>
      </c>
      <c r="K124" s="64">
        <v>226600</v>
      </c>
      <c r="L124" s="64" t="s">
        <v>167</v>
      </c>
      <c r="M124" s="64">
        <v>182000</v>
      </c>
      <c r="N124" s="64" t="s">
        <v>167</v>
      </c>
      <c r="O124" s="64" t="s">
        <v>167</v>
      </c>
      <c r="P124" s="64" t="s">
        <v>167</v>
      </c>
    </row>
    <row r="125" spans="1:16" ht="41.45">
      <c r="A125" s="16" t="s">
        <v>1412</v>
      </c>
      <c r="B125" s="61" t="s">
        <v>373</v>
      </c>
      <c r="C125" s="61" t="s">
        <v>1634</v>
      </c>
      <c r="D125" s="61" t="s">
        <v>1633</v>
      </c>
      <c r="E125" s="62">
        <v>1</v>
      </c>
      <c r="F125" s="63"/>
      <c r="G125" s="61" t="s">
        <v>1460</v>
      </c>
      <c r="H125" s="61" t="s">
        <v>1441</v>
      </c>
      <c r="I125" s="61" t="s">
        <v>1636</v>
      </c>
      <c r="J125" s="64">
        <v>41343</v>
      </c>
      <c r="K125" s="64" t="s">
        <v>167</v>
      </c>
      <c r="L125" s="64" t="s">
        <v>167</v>
      </c>
      <c r="M125" s="64" t="s">
        <v>167</v>
      </c>
      <c r="N125" s="64" t="s">
        <v>167</v>
      </c>
      <c r="O125" s="64" t="s">
        <v>167</v>
      </c>
      <c r="P125" s="64" t="s">
        <v>167</v>
      </c>
    </row>
    <row r="126" spans="1:16" ht="41.45">
      <c r="A126" s="16" t="s">
        <v>1412</v>
      </c>
      <c r="B126" s="61" t="s">
        <v>444</v>
      </c>
      <c r="C126" s="61" t="s">
        <v>442</v>
      </c>
      <c r="D126" s="61" t="s">
        <v>1508</v>
      </c>
      <c r="E126" s="62">
        <v>1</v>
      </c>
      <c r="F126" s="63"/>
      <c r="G126" s="61" t="s">
        <v>1438</v>
      </c>
      <c r="H126" s="61" t="s">
        <v>1441</v>
      </c>
      <c r="I126" s="61" t="s">
        <v>1637</v>
      </c>
      <c r="J126" s="64">
        <v>16000</v>
      </c>
      <c r="K126" s="64" t="s">
        <v>167</v>
      </c>
      <c r="L126" s="64">
        <v>184140</v>
      </c>
      <c r="M126" s="64" t="s">
        <v>167</v>
      </c>
      <c r="N126" s="64" t="s">
        <v>167</v>
      </c>
      <c r="O126" s="64" t="s">
        <v>167</v>
      </c>
      <c r="P126" s="64" t="s">
        <v>167</v>
      </c>
    </row>
    <row r="127" spans="1:16" ht="27.6">
      <c r="A127" s="16" t="s">
        <v>1412</v>
      </c>
      <c r="B127" s="61" t="s">
        <v>444</v>
      </c>
      <c r="C127" s="61" t="s">
        <v>442</v>
      </c>
      <c r="D127" s="61" t="s">
        <v>1633</v>
      </c>
      <c r="E127" s="62">
        <v>1</v>
      </c>
      <c r="F127" s="63"/>
      <c r="G127" s="61" t="s">
        <v>1460</v>
      </c>
      <c r="H127" s="61" t="s">
        <v>1441</v>
      </c>
      <c r="I127" s="61" t="s">
        <v>1570</v>
      </c>
      <c r="J127" s="64">
        <v>23554</v>
      </c>
      <c r="K127" s="64" t="s">
        <v>167</v>
      </c>
      <c r="L127" s="64" t="s">
        <v>167</v>
      </c>
      <c r="M127" s="64" t="s">
        <v>167</v>
      </c>
      <c r="N127" s="64" t="s">
        <v>167</v>
      </c>
      <c r="O127" s="64" t="s">
        <v>167</v>
      </c>
      <c r="P127" s="64" t="s">
        <v>167</v>
      </c>
    </row>
    <row r="128" spans="1:16" ht="55.15">
      <c r="A128" s="16" t="s">
        <v>1412</v>
      </c>
      <c r="B128" s="61" t="s">
        <v>1638</v>
      </c>
      <c r="C128" s="61" t="s">
        <v>1639</v>
      </c>
      <c r="D128" s="61" t="s">
        <v>1473</v>
      </c>
      <c r="E128" s="62">
        <v>1</v>
      </c>
      <c r="F128" s="63"/>
      <c r="G128" s="61" t="s">
        <v>1455</v>
      </c>
      <c r="H128" s="61" t="s">
        <v>1441</v>
      </c>
      <c r="I128" s="61" t="s">
        <v>1640</v>
      </c>
      <c r="J128" s="64"/>
      <c r="K128" s="64"/>
      <c r="L128" s="64" t="s">
        <v>167</v>
      </c>
      <c r="M128" s="64"/>
      <c r="N128" s="64" t="s">
        <v>167</v>
      </c>
      <c r="O128" s="64" t="s">
        <v>167</v>
      </c>
      <c r="P128" s="64" t="s">
        <v>167</v>
      </c>
    </row>
    <row r="129" spans="1:16">
      <c r="A129" s="16" t="s">
        <v>1412</v>
      </c>
      <c r="B129" s="61" t="s">
        <v>1638</v>
      </c>
      <c r="C129" s="61" t="s">
        <v>1639</v>
      </c>
      <c r="D129" s="61" t="s">
        <v>1438</v>
      </c>
      <c r="E129" s="62">
        <v>1</v>
      </c>
      <c r="F129" s="63"/>
      <c r="G129" s="61" t="s">
        <v>1438</v>
      </c>
      <c r="H129" s="61" t="s">
        <v>1441</v>
      </c>
      <c r="I129" s="61" t="s">
        <v>1448</v>
      </c>
      <c r="J129" s="64" t="s">
        <v>167</v>
      </c>
      <c r="K129" s="64" t="s">
        <v>167</v>
      </c>
      <c r="L129" s="64" t="s">
        <v>167</v>
      </c>
      <c r="M129" s="64" t="s">
        <v>167</v>
      </c>
      <c r="N129" s="64">
        <v>100000</v>
      </c>
      <c r="O129" s="64" t="s">
        <v>167</v>
      </c>
      <c r="P129" s="64" t="s">
        <v>167</v>
      </c>
    </row>
    <row r="130" spans="1:16" ht="41.45">
      <c r="A130" s="16" t="s">
        <v>1412</v>
      </c>
      <c r="B130" s="61" t="s">
        <v>466</v>
      </c>
      <c r="C130" s="61" t="s">
        <v>1641</v>
      </c>
      <c r="D130" s="61" t="s">
        <v>1446</v>
      </c>
      <c r="E130" s="62">
        <v>1</v>
      </c>
      <c r="F130" s="63"/>
      <c r="G130" s="61" t="s">
        <v>1446</v>
      </c>
      <c r="H130" s="61" t="s">
        <v>1441</v>
      </c>
      <c r="I130" s="61" t="s">
        <v>1642</v>
      </c>
      <c r="J130" s="64"/>
      <c r="K130" s="64" t="s">
        <v>167</v>
      </c>
      <c r="L130" s="64">
        <v>12100</v>
      </c>
      <c r="M130" s="64" t="s">
        <v>167</v>
      </c>
      <c r="N130" s="64" t="s">
        <v>167</v>
      </c>
      <c r="O130" s="64" t="s">
        <v>167</v>
      </c>
      <c r="P130" s="64" t="s">
        <v>167</v>
      </c>
    </row>
    <row r="131" spans="1:16" ht="41.45">
      <c r="A131" s="16" t="s">
        <v>1412</v>
      </c>
      <c r="B131" s="61" t="s">
        <v>466</v>
      </c>
      <c r="C131" s="61" t="s">
        <v>1641</v>
      </c>
      <c r="D131" s="61" t="s">
        <v>1473</v>
      </c>
      <c r="E131" s="62">
        <v>1</v>
      </c>
      <c r="F131" s="63"/>
      <c r="G131" s="61" t="s">
        <v>1455</v>
      </c>
      <c r="H131" s="61" t="s">
        <v>1441</v>
      </c>
      <c r="I131" s="61" t="s">
        <v>1642</v>
      </c>
      <c r="J131" s="64"/>
      <c r="K131" s="64"/>
      <c r="L131" s="64"/>
      <c r="M131" s="64"/>
      <c r="N131" s="64"/>
      <c r="O131" s="64"/>
      <c r="P131" s="64" t="s">
        <v>167</v>
      </c>
    </row>
    <row r="132" spans="1:16">
      <c r="A132" s="16" t="s">
        <v>1412</v>
      </c>
      <c r="B132" s="61" t="s">
        <v>466</v>
      </c>
      <c r="C132" s="61" t="s">
        <v>1641</v>
      </c>
      <c r="D132" s="61" t="s">
        <v>1504</v>
      </c>
      <c r="E132" s="62">
        <v>1</v>
      </c>
      <c r="F132" s="63"/>
      <c r="G132" s="61" t="s">
        <v>1464</v>
      </c>
      <c r="H132" s="61" t="s">
        <v>1441</v>
      </c>
      <c r="I132" s="61" t="s">
        <v>1570</v>
      </c>
      <c r="J132" s="64" t="s">
        <v>167</v>
      </c>
      <c r="K132" s="64"/>
      <c r="L132" s="64" t="s">
        <v>167</v>
      </c>
      <c r="M132" s="64" t="s">
        <v>167</v>
      </c>
      <c r="N132" s="64"/>
      <c r="O132" s="64"/>
      <c r="P132" s="64" t="s">
        <v>167</v>
      </c>
    </row>
    <row r="133" spans="1:16" ht="41.45">
      <c r="A133" s="16" t="s">
        <v>1412</v>
      </c>
      <c r="B133" s="61" t="s">
        <v>466</v>
      </c>
      <c r="C133" s="61" t="s">
        <v>1641</v>
      </c>
      <c r="D133" s="61" t="s">
        <v>1633</v>
      </c>
      <c r="E133" s="62">
        <v>1</v>
      </c>
      <c r="F133" s="63"/>
      <c r="G133" s="61" t="s">
        <v>1460</v>
      </c>
      <c r="H133" s="61" t="s">
        <v>1441</v>
      </c>
      <c r="I133" s="61" t="s">
        <v>1643</v>
      </c>
      <c r="J133" s="64"/>
      <c r="K133" s="64" t="s">
        <v>167</v>
      </c>
      <c r="L133" s="64">
        <v>22227</v>
      </c>
      <c r="M133" s="64" t="s">
        <v>167</v>
      </c>
      <c r="N133" s="64" t="s">
        <v>167</v>
      </c>
      <c r="O133" s="64" t="s">
        <v>167</v>
      </c>
      <c r="P133" s="64" t="s">
        <v>167</v>
      </c>
    </row>
    <row r="134" spans="1:16" ht="55.15">
      <c r="A134" s="16" t="s">
        <v>1412</v>
      </c>
      <c r="B134" s="61" t="s">
        <v>466</v>
      </c>
      <c r="C134" s="61" t="s">
        <v>1641</v>
      </c>
      <c r="D134" s="61" t="s">
        <v>104</v>
      </c>
      <c r="E134" s="62">
        <v>1</v>
      </c>
      <c r="F134" s="63"/>
      <c r="G134" s="61" t="s">
        <v>1460</v>
      </c>
      <c r="H134" s="61" t="s">
        <v>1441</v>
      </c>
      <c r="I134" s="61" t="s">
        <v>1644</v>
      </c>
      <c r="J134" s="64"/>
      <c r="K134" s="64" t="s">
        <v>167</v>
      </c>
      <c r="L134" s="64">
        <v>313000</v>
      </c>
      <c r="M134" s="64" t="s">
        <v>167</v>
      </c>
      <c r="N134" s="64" t="s">
        <v>167</v>
      </c>
      <c r="O134" s="64" t="s">
        <v>167</v>
      </c>
      <c r="P134" s="64" t="s">
        <v>167</v>
      </c>
    </row>
    <row r="135" spans="1:16">
      <c r="A135" s="16" t="s">
        <v>1412</v>
      </c>
      <c r="B135" s="61" t="s">
        <v>183</v>
      </c>
      <c r="C135" s="61" t="s">
        <v>180</v>
      </c>
      <c r="D135" s="61" t="s">
        <v>1438</v>
      </c>
      <c r="E135" s="62">
        <v>1</v>
      </c>
      <c r="F135" s="63"/>
      <c r="G135" s="61" t="s">
        <v>1438</v>
      </c>
      <c r="H135" s="61" t="s">
        <v>1441</v>
      </c>
      <c r="I135" s="61" t="s">
        <v>1596</v>
      </c>
      <c r="J135" s="64" t="s">
        <v>167</v>
      </c>
      <c r="K135" s="64" t="s">
        <v>167</v>
      </c>
      <c r="L135" s="64">
        <v>65650</v>
      </c>
      <c r="M135" s="64" t="s">
        <v>167</v>
      </c>
      <c r="N135" s="64">
        <v>308750</v>
      </c>
      <c r="O135" s="64" t="s">
        <v>167</v>
      </c>
      <c r="P135" s="64" t="s">
        <v>167</v>
      </c>
    </row>
    <row r="136" spans="1:16" ht="27.6">
      <c r="A136" s="16" t="s">
        <v>1412</v>
      </c>
      <c r="B136" s="61" t="s">
        <v>183</v>
      </c>
      <c r="C136" s="61" t="s">
        <v>180</v>
      </c>
      <c r="D136" s="61" t="s">
        <v>1473</v>
      </c>
      <c r="E136" s="62">
        <v>1</v>
      </c>
      <c r="F136" s="63"/>
      <c r="G136" s="61" t="s">
        <v>1455</v>
      </c>
      <c r="H136" s="61" t="s">
        <v>1441</v>
      </c>
      <c r="I136" s="61" t="s">
        <v>1645</v>
      </c>
      <c r="J136" s="64">
        <v>15000</v>
      </c>
      <c r="K136" s="64" t="s">
        <v>167</v>
      </c>
      <c r="L136" s="64" t="s">
        <v>167</v>
      </c>
      <c r="M136" s="64">
        <v>15000</v>
      </c>
      <c r="N136" s="64" t="s">
        <v>167</v>
      </c>
      <c r="O136" s="64" t="s">
        <v>167</v>
      </c>
      <c r="P136" s="64" t="s">
        <v>167</v>
      </c>
    </row>
    <row r="137" spans="1:16" ht="27.6">
      <c r="A137" s="16" t="s">
        <v>1412</v>
      </c>
      <c r="B137" s="61" t="s">
        <v>325</v>
      </c>
      <c r="C137" s="61" t="s">
        <v>682</v>
      </c>
      <c r="D137" s="61" t="s">
        <v>1445</v>
      </c>
      <c r="E137" s="62">
        <v>1</v>
      </c>
      <c r="F137" s="63"/>
      <c r="G137" s="61" t="s">
        <v>1446</v>
      </c>
      <c r="H137" s="61" t="s">
        <v>1441</v>
      </c>
      <c r="I137" s="61" t="s">
        <v>1646</v>
      </c>
      <c r="J137" s="64">
        <v>40000</v>
      </c>
      <c r="K137" s="64"/>
      <c r="L137" s="64"/>
      <c r="M137" s="64">
        <v>15000</v>
      </c>
      <c r="N137" s="64"/>
      <c r="O137" s="64"/>
      <c r="P137" s="64" t="s">
        <v>167</v>
      </c>
    </row>
    <row r="138" spans="1:16">
      <c r="A138" s="16" t="s">
        <v>1412</v>
      </c>
      <c r="B138" s="61" t="s">
        <v>325</v>
      </c>
      <c r="C138" s="61" t="s">
        <v>682</v>
      </c>
      <c r="D138" s="61" t="s">
        <v>1508</v>
      </c>
      <c r="E138" s="62">
        <v>1</v>
      </c>
      <c r="F138" s="63"/>
      <c r="G138" s="61" t="s">
        <v>1438</v>
      </c>
      <c r="H138" s="61" t="s">
        <v>1441</v>
      </c>
      <c r="I138" s="61" t="s">
        <v>1647</v>
      </c>
      <c r="J138" s="64" t="s">
        <v>167</v>
      </c>
      <c r="K138" s="64">
        <v>408750</v>
      </c>
      <c r="L138" s="64" t="s">
        <v>167</v>
      </c>
      <c r="M138" s="64">
        <v>385500</v>
      </c>
      <c r="N138" s="64" t="s">
        <v>167</v>
      </c>
      <c r="O138" s="64" t="s">
        <v>167</v>
      </c>
      <c r="P138" s="64" t="s">
        <v>167</v>
      </c>
    </row>
    <row r="139" spans="1:16" ht="41.45">
      <c r="A139" s="16" t="s">
        <v>1412</v>
      </c>
      <c r="B139" s="61" t="s">
        <v>325</v>
      </c>
      <c r="C139" s="61" t="s">
        <v>682</v>
      </c>
      <c r="D139" s="61" t="s">
        <v>1633</v>
      </c>
      <c r="E139" s="62">
        <v>1</v>
      </c>
      <c r="F139" s="63"/>
      <c r="G139" s="61" t="s">
        <v>1460</v>
      </c>
      <c r="H139" s="61" t="s">
        <v>1441</v>
      </c>
      <c r="I139" s="61" t="s">
        <v>1648</v>
      </c>
      <c r="J139" s="64">
        <v>52068</v>
      </c>
      <c r="K139" s="64" t="s">
        <v>167</v>
      </c>
      <c r="L139" s="64" t="s">
        <v>167</v>
      </c>
      <c r="M139" s="64" t="s">
        <v>167</v>
      </c>
      <c r="N139" s="64" t="s">
        <v>167</v>
      </c>
      <c r="O139" s="64" t="s">
        <v>167</v>
      </c>
      <c r="P139" s="64" t="s">
        <v>167</v>
      </c>
    </row>
    <row r="140" spans="1:16">
      <c r="A140" s="16" t="s">
        <v>1412</v>
      </c>
      <c r="B140" s="61" t="s">
        <v>325</v>
      </c>
      <c r="C140" s="61" t="s">
        <v>682</v>
      </c>
      <c r="D140" s="61" t="s">
        <v>104</v>
      </c>
      <c r="E140" s="62">
        <v>1</v>
      </c>
      <c r="F140" s="63"/>
      <c r="G140" s="61" t="s">
        <v>1460</v>
      </c>
      <c r="H140" s="61" t="s">
        <v>1441</v>
      </c>
      <c r="I140" s="61" t="s">
        <v>1649</v>
      </c>
      <c r="J140" s="64">
        <v>683768</v>
      </c>
      <c r="K140" s="64" t="s">
        <v>167</v>
      </c>
      <c r="L140" s="64" t="s">
        <v>167</v>
      </c>
      <c r="M140" s="64" t="s">
        <v>167</v>
      </c>
      <c r="N140" s="64" t="s">
        <v>167</v>
      </c>
      <c r="O140" s="64" t="s">
        <v>167</v>
      </c>
      <c r="P140" s="64" t="s">
        <v>167</v>
      </c>
    </row>
    <row r="141" spans="1:16" ht="41.45">
      <c r="A141" s="16" t="s">
        <v>1412</v>
      </c>
      <c r="B141" s="61" t="s">
        <v>250</v>
      </c>
      <c r="C141" s="61" t="s">
        <v>248</v>
      </c>
      <c r="D141" s="61" t="s">
        <v>1504</v>
      </c>
      <c r="E141" s="62">
        <v>1</v>
      </c>
      <c r="F141" s="63"/>
      <c r="G141" s="61" t="s">
        <v>1464</v>
      </c>
      <c r="H141" s="61" t="s">
        <v>1441</v>
      </c>
      <c r="I141" s="61" t="s">
        <v>1650</v>
      </c>
      <c r="J141" s="64">
        <v>45000</v>
      </c>
      <c r="K141" s="64" t="s">
        <v>167</v>
      </c>
      <c r="L141" s="64" t="s">
        <v>167</v>
      </c>
      <c r="M141" s="64" t="s">
        <v>167</v>
      </c>
      <c r="N141" s="64" t="s">
        <v>167</v>
      </c>
      <c r="O141" s="64" t="s">
        <v>167</v>
      </c>
      <c r="P141" s="64" t="s">
        <v>167</v>
      </c>
    </row>
    <row r="142" spans="1:16" ht="27.6">
      <c r="A142" s="16" t="s">
        <v>1412</v>
      </c>
      <c r="B142" s="61" t="s">
        <v>250</v>
      </c>
      <c r="C142" s="61" t="s">
        <v>248</v>
      </c>
      <c r="D142" s="61" t="s">
        <v>1633</v>
      </c>
      <c r="E142" s="62">
        <v>1</v>
      </c>
      <c r="F142" s="63"/>
      <c r="G142" s="61" t="s">
        <v>1460</v>
      </c>
      <c r="H142" s="61" t="s">
        <v>1441</v>
      </c>
      <c r="I142" s="61" t="s">
        <v>1570</v>
      </c>
      <c r="J142" s="64">
        <v>75899</v>
      </c>
      <c r="K142" s="64" t="s">
        <v>167</v>
      </c>
      <c r="L142" s="64" t="s">
        <v>167</v>
      </c>
      <c r="M142" s="64" t="s">
        <v>167</v>
      </c>
      <c r="N142" s="64" t="s">
        <v>167</v>
      </c>
      <c r="O142" s="64" t="s">
        <v>167</v>
      </c>
      <c r="P142" s="64" t="s">
        <v>167</v>
      </c>
    </row>
    <row r="143" spans="1:16">
      <c r="A143" s="16" t="s">
        <v>1412</v>
      </c>
      <c r="B143" s="61" t="s">
        <v>1651</v>
      </c>
      <c r="C143" s="61" t="s">
        <v>1652</v>
      </c>
      <c r="D143" s="61" t="s">
        <v>1508</v>
      </c>
      <c r="E143" s="62">
        <v>1</v>
      </c>
      <c r="F143" s="63"/>
      <c r="G143" s="61" t="s">
        <v>1438</v>
      </c>
      <c r="H143" s="61" t="s">
        <v>1441</v>
      </c>
      <c r="I143" s="61" t="s">
        <v>1596</v>
      </c>
      <c r="J143" s="64" t="s">
        <v>167</v>
      </c>
      <c r="K143" s="64" t="s">
        <v>167</v>
      </c>
      <c r="L143" s="64">
        <v>312000</v>
      </c>
      <c r="M143" s="64" t="s">
        <v>167</v>
      </c>
      <c r="N143" s="64" t="s">
        <v>167</v>
      </c>
      <c r="O143" s="64" t="s">
        <v>167</v>
      </c>
      <c r="P143" s="64" t="s">
        <v>167</v>
      </c>
    </row>
    <row r="144" spans="1:16" ht="27.6">
      <c r="A144" s="16" t="s">
        <v>1412</v>
      </c>
      <c r="B144" s="61" t="s">
        <v>1653</v>
      </c>
      <c r="C144" s="61" t="s">
        <v>1654</v>
      </c>
      <c r="D144" s="61" t="s">
        <v>1446</v>
      </c>
      <c r="E144" s="62">
        <v>1</v>
      </c>
      <c r="F144" s="63"/>
      <c r="G144" s="61" t="s">
        <v>1446</v>
      </c>
      <c r="H144" s="61" t="s">
        <v>1441</v>
      </c>
      <c r="I144" s="61" t="s">
        <v>1655</v>
      </c>
      <c r="J144" s="64">
        <v>25550</v>
      </c>
      <c r="K144" s="64" t="s">
        <v>167</v>
      </c>
      <c r="L144" s="64" t="s">
        <v>167</v>
      </c>
      <c r="M144" s="64" t="s">
        <v>167</v>
      </c>
      <c r="N144" s="64" t="s">
        <v>167</v>
      </c>
      <c r="O144" s="64" t="s">
        <v>167</v>
      </c>
      <c r="P144" s="64" t="s">
        <v>167</v>
      </c>
    </row>
    <row r="145" spans="1:16" ht="27.6">
      <c r="A145" s="16" t="s">
        <v>1412</v>
      </c>
      <c r="B145" s="61" t="s">
        <v>1653</v>
      </c>
      <c r="C145" s="61" t="s">
        <v>1654</v>
      </c>
      <c r="D145" s="61" t="s">
        <v>1473</v>
      </c>
      <c r="E145" s="62">
        <v>1</v>
      </c>
      <c r="F145" s="63"/>
      <c r="G145" s="61" t="s">
        <v>1455</v>
      </c>
      <c r="H145" s="61" t="s">
        <v>1441</v>
      </c>
      <c r="I145" s="61" t="s">
        <v>1656</v>
      </c>
      <c r="J145" s="64">
        <v>30000</v>
      </c>
      <c r="K145" s="64" t="s">
        <v>167</v>
      </c>
      <c r="L145" s="64">
        <v>30000</v>
      </c>
      <c r="M145" s="64">
        <v>30000</v>
      </c>
      <c r="N145" s="64" t="s">
        <v>167</v>
      </c>
      <c r="O145" s="64" t="s">
        <v>167</v>
      </c>
      <c r="P145" s="64" t="s">
        <v>167</v>
      </c>
    </row>
    <row r="146" spans="1:16" ht="27.6">
      <c r="A146" s="16" t="s">
        <v>1412</v>
      </c>
      <c r="B146" s="61" t="s">
        <v>1653</v>
      </c>
      <c r="C146" s="61" t="s">
        <v>1654</v>
      </c>
      <c r="D146" s="61" t="s">
        <v>1438</v>
      </c>
      <c r="E146" s="62">
        <v>1</v>
      </c>
      <c r="F146" s="63"/>
      <c r="G146" s="61" t="s">
        <v>1438</v>
      </c>
      <c r="H146" s="61" t="s">
        <v>1441</v>
      </c>
      <c r="I146" s="61" t="s">
        <v>1657</v>
      </c>
      <c r="J146" s="64">
        <v>250000</v>
      </c>
      <c r="K146" s="64" t="s">
        <v>167</v>
      </c>
      <c r="L146" s="64" t="s">
        <v>167</v>
      </c>
      <c r="M146" s="64" t="s">
        <v>167</v>
      </c>
      <c r="N146" s="64" t="s">
        <v>167</v>
      </c>
      <c r="O146" s="64" t="s">
        <v>167</v>
      </c>
      <c r="P146" s="64" t="s">
        <v>167</v>
      </c>
    </row>
    <row r="147" spans="1:16">
      <c r="A147" s="16" t="s">
        <v>1412</v>
      </c>
      <c r="B147" s="61" t="s">
        <v>484</v>
      </c>
      <c r="C147" s="61" t="s">
        <v>1658</v>
      </c>
      <c r="D147" s="61" t="s">
        <v>1508</v>
      </c>
      <c r="E147" s="62">
        <v>1</v>
      </c>
      <c r="F147" s="63"/>
      <c r="G147" s="61" t="s">
        <v>1438</v>
      </c>
      <c r="H147" s="61" t="s">
        <v>1441</v>
      </c>
      <c r="I147" s="61" t="s">
        <v>1570</v>
      </c>
      <c r="J147" s="64">
        <v>516000</v>
      </c>
      <c r="K147" s="64" t="s">
        <v>167</v>
      </c>
      <c r="L147" s="64" t="s">
        <v>167</v>
      </c>
      <c r="M147" s="64" t="s">
        <v>167</v>
      </c>
      <c r="N147" s="64" t="s">
        <v>167</v>
      </c>
      <c r="O147" s="64" t="s">
        <v>167</v>
      </c>
      <c r="P147" s="64" t="s">
        <v>167</v>
      </c>
    </row>
    <row r="148" spans="1:16" ht="27.6">
      <c r="A148" s="16" t="s">
        <v>1412</v>
      </c>
      <c r="B148" s="61" t="s">
        <v>484</v>
      </c>
      <c r="C148" s="61" t="s">
        <v>1658</v>
      </c>
      <c r="D148" s="61" t="s">
        <v>1633</v>
      </c>
      <c r="E148" s="62">
        <v>1</v>
      </c>
      <c r="F148" s="63"/>
      <c r="G148" s="61" t="s">
        <v>1460</v>
      </c>
      <c r="H148" s="61" t="s">
        <v>1441</v>
      </c>
      <c r="I148" s="61" t="s">
        <v>1570</v>
      </c>
      <c r="J148" s="64">
        <v>23932</v>
      </c>
      <c r="K148" s="64" t="s">
        <v>167</v>
      </c>
      <c r="L148" s="64" t="s">
        <v>167</v>
      </c>
      <c r="M148" s="64" t="s">
        <v>167</v>
      </c>
      <c r="N148" s="64" t="s">
        <v>167</v>
      </c>
      <c r="O148" s="64" t="s">
        <v>167</v>
      </c>
      <c r="P148" s="64" t="s">
        <v>167</v>
      </c>
    </row>
    <row r="149" spans="1:16" ht="27.6">
      <c r="A149" s="16" t="s">
        <v>1412</v>
      </c>
      <c r="B149" s="61" t="s">
        <v>1659</v>
      </c>
      <c r="C149" s="61" t="s">
        <v>1660</v>
      </c>
      <c r="D149" s="61" t="s">
        <v>1661</v>
      </c>
      <c r="E149" s="62">
        <v>1</v>
      </c>
      <c r="F149" s="63"/>
      <c r="G149" s="61" t="s">
        <v>1464</v>
      </c>
      <c r="H149" s="61" t="s">
        <v>1441</v>
      </c>
      <c r="I149" s="61" t="s">
        <v>1662</v>
      </c>
      <c r="J149" s="64">
        <v>18500</v>
      </c>
      <c r="K149" s="64" t="s">
        <v>167</v>
      </c>
      <c r="L149" s="64" t="s">
        <v>167</v>
      </c>
      <c r="M149" s="64" t="s">
        <v>167</v>
      </c>
      <c r="N149" s="64" t="s">
        <v>167</v>
      </c>
      <c r="O149" s="64" t="s">
        <v>167</v>
      </c>
      <c r="P149" s="64" t="s">
        <v>167</v>
      </c>
    </row>
    <row r="150" spans="1:16" ht="41.45">
      <c r="A150" s="16" t="s">
        <v>1412</v>
      </c>
      <c r="B150" s="61" t="s">
        <v>1659</v>
      </c>
      <c r="C150" s="61" t="s">
        <v>1660</v>
      </c>
      <c r="D150" s="61" t="s">
        <v>1532</v>
      </c>
      <c r="E150" s="62">
        <v>1</v>
      </c>
      <c r="F150" s="63"/>
      <c r="G150" s="61" t="s">
        <v>1455</v>
      </c>
      <c r="H150" s="61" t="s">
        <v>1441</v>
      </c>
      <c r="I150" s="61" t="s">
        <v>1663</v>
      </c>
      <c r="J150" s="64">
        <v>30000</v>
      </c>
      <c r="K150" s="64" t="s">
        <v>167</v>
      </c>
      <c r="L150" s="64" t="s">
        <v>167</v>
      </c>
      <c r="M150" s="64" t="s">
        <v>167</v>
      </c>
      <c r="N150" s="64" t="s">
        <v>167</v>
      </c>
      <c r="O150" s="64" t="s">
        <v>167</v>
      </c>
      <c r="P150" s="64" t="s">
        <v>167</v>
      </c>
    </row>
    <row r="151" spans="1:16" ht="27.6">
      <c r="A151" s="16" t="s">
        <v>1412</v>
      </c>
      <c r="B151" s="61" t="s">
        <v>1659</v>
      </c>
      <c r="C151" s="61" t="s">
        <v>1660</v>
      </c>
      <c r="D151" s="61" t="s">
        <v>1468</v>
      </c>
      <c r="E151" s="62">
        <v>1</v>
      </c>
      <c r="F151" s="63"/>
      <c r="G151" s="61" t="s">
        <v>1464</v>
      </c>
      <c r="H151" s="61" t="s">
        <v>1441</v>
      </c>
      <c r="I151" s="61" t="s">
        <v>1664</v>
      </c>
      <c r="J151" s="64">
        <v>50000</v>
      </c>
      <c r="K151" s="64" t="s">
        <v>167</v>
      </c>
      <c r="L151" s="64" t="s">
        <v>167</v>
      </c>
      <c r="M151" s="64" t="s">
        <v>167</v>
      </c>
      <c r="N151" s="64" t="s">
        <v>167</v>
      </c>
      <c r="O151" s="64" t="s">
        <v>167</v>
      </c>
      <c r="P151" s="64" t="s">
        <v>167</v>
      </c>
    </row>
    <row r="152" spans="1:16">
      <c r="A152" s="16" t="s">
        <v>1412</v>
      </c>
      <c r="B152" s="61" t="s">
        <v>1665</v>
      </c>
      <c r="C152" s="61" t="s">
        <v>1666</v>
      </c>
      <c r="D152" s="61" t="s">
        <v>1446</v>
      </c>
      <c r="E152" s="62">
        <v>1</v>
      </c>
      <c r="F152" s="63"/>
      <c r="G152" s="61" t="s">
        <v>1446</v>
      </c>
      <c r="H152" s="61" t="s">
        <v>1441</v>
      </c>
      <c r="I152" s="61" t="s">
        <v>1667</v>
      </c>
      <c r="J152" s="64">
        <v>52000</v>
      </c>
      <c r="K152" s="64">
        <v>52000</v>
      </c>
      <c r="L152" s="64" t="s">
        <v>167</v>
      </c>
      <c r="M152" s="64" t="s">
        <v>167</v>
      </c>
      <c r="N152" s="64" t="s">
        <v>167</v>
      </c>
      <c r="O152" s="64" t="s">
        <v>167</v>
      </c>
      <c r="P152" s="64" t="s">
        <v>167</v>
      </c>
    </row>
    <row r="153" spans="1:16" ht="69">
      <c r="A153" s="16" t="s">
        <v>1412</v>
      </c>
      <c r="B153" s="61" t="s">
        <v>1665</v>
      </c>
      <c r="C153" s="61" t="s">
        <v>1666</v>
      </c>
      <c r="D153" s="61" t="s">
        <v>1438</v>
      </c>
      <c r="E153" s="62">
        <v>1</v>
      </c>
      <c r="F153" s="63"/>
      <c r="G153" s="61" t="s">
        <v>1438</v>
      </c>
      <c r="H153" s="61" t="s">
        <v>1441</v>
      </c>
      <c r="I153" s="61" t="s">
        <v>1668</v>
      </c>
      <c r="J153" s="64">
        <v>373835</v>
      </c>
      <c r="K153" s="64"/>
      <c r="L153" s="64"/>
      <c r="M153" s="64"/>
      <c r="N153" s="64"/>
      <c r="O153" s="64" t="s">
        <v>167</v>
      </c>
      <c r="P153" s="64" t="s">
        <v>167</v>
      </c>
    </row>
    <row r="154" spans="1:16" ht="41.45">
      <c r="A154" s="16" t="s">
        <v>1412</v>
      </c>
      <c r="B154" s="61" t="s">
        <v>191</v>
      </c>
      <c r="C154" s="61" t="s">
        <v>188</v>
      </c>
      <c r="D154" s="61" t="s">
        <v>1446</v>
      </c>
      <c r="E154" s="62">
        <v>1</v>
      </c>
      <c r="F154" s="63"/>
      <c r="G154" s="61" t="s">
        <v>1446</v>
      </c>
      <c r="H154" s="61" t="s">
        <v>1441</v>
      </c>
      <c r="I154" s="61" t="s">
        <v>1669</v>
      </c>
      <c r="J154" s="64" t="s">
        <v>167</v>
      </c>
      <c r="K154" s="64" t="s">
        <v>167</v>
      </c>
      <c r="L154" s="64" t="s">
        <v>167</v>
      </c>
      <c r="M154" s="64">
        <v>58500</v>
      </c>
      <c r="N154" s="64" t="s">
        <v>167</v>
      </c>
      <c r="O154" s="64" t="s">
        <v>167</v>
      </c>
      <c r="P154" s="64" t="s">
        <v>167</v>
      </c>
    </row>
    <row r="155" spans="1:16" ht="41.45">
      <c r="A155" s="16" t="s">
        <v>1412</v>
      </c>
      <c r="B155" s="61" t="s">
        <v>191</v>
      </c>
      <c r="C155" s="61" t="s">
        <v>188</v>
      </c>
      <c r="D155" s="61" t="s">
        <v>1596</v>
      </c>
      <c r="E155" s="62">
        <v>1</v>
      </c>
      <c r="F155" s="63"/>
      <c r="G155" s="61" t="s">
        <v>1438</v>
      </c>
      <c r="H155" s="61" t="s">
        <v>1441</v>
      </c>
      <c r="I155" s="61" t="s">
        <v>1670</v>
      </c>
      <c r="J155" s="64">
        <v>18400</v>
      </c>
      <c r="K155" s="64" t="s">
        <v>167</v>
      </c>
      <c r="L155" s="64" t="s">
        <v>167</v>
      </c>
      <c r="M155" s="64" t="s">
        <v>167</v>
      </c>
      <c r="N155" s="64" t="s">
        <v>167</v>
      </c>
      <c r="O155" s="64" t="s">
        <v>167</v>
      </c>
      <c r="P155" s="64">
        <v>342000</v>
      </c>
    </row>
    <row r="156" spans="1:16" ht="27.6">
      <c r="A156" s="16" t="s">
        <v>1412</v>
      </c>
      <c r="B156" s="61" t="s">
        <v>725</v>
      </c>
      <c r="C156" s="61" t="s">
        <v>1671</v>
      </c>
      <c r="D156" s="61" t="s">
        <v>1633</v>
      </c>
      <c r="E156" s="62">
        <v>1</v>
      </c>
      <c r="F156" s="63"/>
      <c r="G156" s="61" t="s">
        <v>1460</v>
      </c>
      <c r="H156" s="61" t="s">
        <v>1441</v>
      </c>
      <c r="I156" s="61" t="s">
        <v>1672</v>
      </c>
      <c r="J156" s="64"/>
      <c r="K156" s="64">
        <v>75863</v>
      </c>
      <c r="L156" s="64" t="s">
        <v>167</v>
      </c>
      <c r="M156" s="64" t="s">
        <v>167</v>
      </c>
      <c r="N156" s="64" t="s">
        <v>167</v>
      </c>
      <c r="O156" s="64" t="s">
        <v>167</v>
      </c>
      <c r="P156" s="64" t="s">
        <v>167</v>
      </c>
    </row>
    <row r="157" spans="1:16" ht="27.6">
      <c r="A157" s="16" t="s">
        <v>1412</v>
      </c>
      <c r="B157" s="61" t="s">
        <v>302</v>
      </c>
      <c r="C157" s="61" t="s">
        <v>300</v>
      </c>
      <c r="D157" s="61" t="s">
        <v>1446</v>
      </c>
      <c r="E157" s="62">
        <v>1</v>
      </c>
      <c r="F157" s="63"/>
      <c r="G157" s="61" t="s">
        <v>1446</v>
      </c>
      <c r="H157" s="61" t="s">
        <v>1441</v>
      </c>
      <c r="I157" s="61" t="s">
        <v>1673</v>
      </c>
      <c r="J157" s="64" t="s">
        <v>167</v>
      </c>
      <c r="K157" s="64"/>
      <c r="L157" s="64"/>
      <c r="M157" s="64"/>
      <c r="N157" s="64"/>
      <c r="O157" s="64" t="s">
        <v>167</v>
      </c>
      <c r="P157" s="64" t="s">
        <v>167</v>
      </c>
    </row>
    <row r="158" spans="1:16" ht="41.45">
      <c r="A158" s="16" t="s">
        <v>1412</v>
      </c>
      <c r="B158" s="61" t="s">
        <v>302</v>
      </c>
      <c r="C158" s="61" t="s">
        <v>300</v>
      </c>
      <c r="D158" s="61" t="s">
        <v>1674</v>
      </c>
      <c r="E158" s="62">
        <v>1</v>
      </c>
      <c r="F158" s="63"/>
      <c r="G158" s="61" t="s">
        <v>1464</v>
      </c>
      <c r="H158" s="61" t="s">
        <v>1441</v>
      </c>
      <c r="I158" s="61" t="s">
        <v>1675</v>
      </c>
      <c r="J158" s="64"/>
      <c r="K158" s="64" t="s">
        <v>167</v>
      </c>
      <c r="L158" s="64" t="s">
        <v>167</v>
      </c>
      <c r="M158" s="64" t="s">
        <v>167</v>
      </c>
      <c r="N158" s="64" t="s">
        <v>167</v>
      </c>
      <c r="O158" s="64" t="s">
        <v>167</v>
      </c>
      <c r="P158" s="64" t="s">
        <v>167</v>
      </c>
    </row>
    <row r="159" spans="1:16" ht="27.6">
      <c r="A159" s="16" t="s">
        <v>1412</v>
      </c>
      <c r="B159" s="61" t="s">
        <v>302</v>
      </c>
      <c r="C159" s="61" t="s">
        <v>300</v>
      </c>
      <c r="D159" s="61" t="s">
        <v>1473</v>
      </c>
      <c r="E159" s="62">
        <v>1</v>
      </c>
      <c r="F159" s="63"/>
      <c r="G159" s="61" t="s">
        <v>1602</v>
      </c>
      <c r="H159" s="61" t="s">
        <v>1441</v>
      </c>
      <c r="I159" s="61" t="s">
        <v>1676</v>
      </c>
      <c r="J159" s="64">
        <v>135000</v>
      </c>
      <c r="K159" s="64" t="s">
        <v>167</v>
      </c>
      <c r="L159" s="64" t="s">
        <v>167</v>
      </c>
      <c r="M159" s="64" t="s">
        <v>167</v>
      </c>
      <c r="N159" s="64" t="s">
        <v>167</v>
      </c>
      <c r="O159" s="64" t="s">
        <v>167</v>
      </c>
      <c r="P159" s="64" t="s">
        <v>167</v>
      </c>
    </row>
    <row r="160" spans="1:16" ht="41.45">
      <c r="A160" s="16" t="s">
        <v>1412</v>
      </c>
      <c r="B160" s="61" t="s">
        <v>386</v>
      </c>
      <c r="C160" s="61" t="s">
        <v>695</v>
      </c>
      <c r="D160" s="61" t="s">
        <v>1661</v>
      </c>
      <c r="E160" s="62">
        <v>1</v>
      </c>
      <c r="F160" s="63"/>
      <c r="G160" s="61" t="s">
        <v>1464</v>
      </c>
      <c r="H160" s="61" t="s">
        <v>1441</v>
      </c>
      <c r="I160" s="61" t="s">
        <v>1677</v>
      </c>
      <c r="J160" s="64"/>
      <c r="K160" s="64" t="s">
        <v>167</v>
      </c>
      <c r="L160" s="64" t="s">
        <v>167</v>
      </c>
      <c r="M160" s="64" t="s">
        <v>167</v>
      </c>
      <c r="N160" s="64" t="s">
        <v>167</v>
      </c>
      <c r="O160" s="64" t="s">
        <v>167</v>
      </c>
      <c r="P160" s="64" t="s">
        <v>167</v>
      </c>
    </row>
    <row r="161" spans="1:16" ht="27.6">
      <c r="A161" s="16" t="s">
        <v>1412</v>
      </c>
      <c r="B161" s="61" t="s">
        <v>386</v>
      </c>
      <c r="C161" s="61" t="s">
        <v>695</v>
      </c>
      <c r="D161" s="61" t="s">
        <v>1446</v>
      </c>
      <c r="E161" s="62">
        <v>1</v>
      </c>
      <c r="F161" s="63"/>
      <c r="G161" s="61" t="s">
        <v>1446</v>
      </c>
      <c r="H161" s="61" t="s">
        <v>1441</v>
      </c>
      <c r="I161" s="61" t="s">
        <v>1678</v>
      </c>
      <c r="J161" s="64" t="s">
        <v>167</v>
      </c>
      <c r="K161" s="64"/>
      <c r="L161" s="64"/>
      <c r="M161" s="64"/>
      <c r="N161" s="64"/>
      <c r="O161" s="64" t="s">
        <v>167</v>
      </c>
      <c r="P161" s="64" t="s">
        <v>167</v>
      </c>
    </row>
    <row r="162" spans="1:16" ht="27.6">
      <c r="A162" s="16" t="s">
        <v>1412</v>
      </c>
      <c r="B162" s="61" t="s">
        <v>386</v>
      </c>
      <c r="C162" s="61" t="s">
        <v>695</v>
      </c>
      <c r="D162" s="61" t="s">
        <v>1454</v>
      </c>
      <c r="E162" s="62">
        <v>1</v>
      </c>
      <c r="F162" s="63"/>
      <c r="G162" s="61" t="s">
        <v>1455</v>
      </c>
      <c r="H162" s="61" t="s">
        <v>1441</v>
      </c>
      <c r="I162" s="61" t="s">
        <v>1679</v>
      </c>
      <c r="J162" s="64">
        <v>110000</v>
      </c>
      <c r="K162" s="64" t="s">
        <v>167</v>
      </c>
      <c r="L162" s="64" t="s">
        <v>167</v>
      </c>
      <c r="M162" s="64" t="s">
        <v>167</v>
      </c>
      <c r="N162" s="64" t="s">
        <v>167</v>
      </c>
      <c r="O162" s="64" t="s">
        <v>167</v>
      </c>
      <c r="P162" s="64" t="s">
        <v>167</v>
      </c>
    </row>
    <row r="163" spans="1:16" ht="27.6">
      <c r="A163" s="16" t="s">
        <v>1412</v>
      </c>
      <c r="B163" s="61" t="s">
        <v>1680</v>
      </c>
      <c r="C163" s="61" t="s">
        <v>1681</v>
      </c>
      <c r="D163" s="61" t="s">
        <v>1446</v>
      </c>
      <c r="E163" s="62">
        <v>1</v>
      </c>
      <c r="F163" s="63"/>
      <c r="G163" s="61" t="s">
        <v>1446</v>
      </c>
      <c r="H163" s="61" t="s">
        <v>1441</v>
      </c>
      <c r="I163" s="61" t="s">
        <v>1682</v>
      </c>
      <c r="J163" s="64"/>
      <c r="K163" s="64" t="s">
        <v>167</v>
      </c>
      <c r="L163" s="64" t="s">
        <v>167</v>
      </c>
      <c r="M163" s="64" t="s">
        <v>167</v>
      </c>
      <c r="N163" s="64" t="s">
        <v>167</v>
      </c>
      <c r="O163" s="64" t="s">
        <v>167</v>
      </c>
      <c r="P163" s="64" t="s">
        <v>167</v>
      </c>
    </row>
    <row r="164" spans="1:16" ht="27.6">
      <c r="A164" s="16" t="s">
        <v>1412</v>
      </c>
      <c r="B164" s="61" t="s">
        <v>1680</v>
      </c>
      <c r="C164" s="61" t="s">
        <v>1681</v>
      </c>
      <c r="D164" s="61" t="s">
        <v>1532</v>
      </c>
      <c r="E164" s="62">
        <v>1</v>
      </c>
      <c r="F164" s="63"/>
      <c r="G164" s="61" t="s">
        <v>1455</v>
      </c>
      <c r="H164" s="61" t="s">
        <v>1441</v>
      </c>
      <c r="I164" s="61" t="s">
        <v>1516</v>
      </c>
      <c r="J164" s="64"/>
      <c r="K164" s="64" t="s">
        <v>167</v>
      </c>
      <c r="L164" s="64">
        <v>50000</v>
      </c>
      <c r="M164" s="64" t="s">
        <v>167</v>
      </c>
      <c r="N164" s="64" t="s">
        <v>167</v>
      </c>
      <c r="O164" s="64" t="s">
        <v>167</v>
      </c>
      <c r="P164" s="64" t="s">
        <v>167</v>
      </c>
    </row>
    <row r="165" spans="1:16" ht="27.6">
      <c r="A165" s="16" t="s">
        <v>1412</v>
      </c>
      <c r="B165" s="61" t="s">
        <v>1680</v>
      </c>
      <c r="C165" s="61" t="s">
        <v>1681</v>
      </c>
      <c r="D165" s="61" t="s">
        <v>1438</v>
      </c>
      <c r="E165" s="62">
        <v>1</v>
      </c>
      <c r="F165" s="63"/>
      <c r="G165" s="61" t="s">
        <v>1438</v>
      </c>
      <c r="H165" s="61" t="s">
        <v>1441</v>
      </c>
      <c r="I165" s="61" t="s">
        <v>1683</v>
      </c>
      <c r="J165" s="64">
        <v>95000</v>
      </c>
      <c r="K165" s="64" t="s">
        <v>167</v>
      </c>
      <c r="L165" s="64" t="s">
        <v>167</v>
      </c>
      <c r="M165" s="64" t="s">
        <v>167</v>
      </c>
      <c r="N165" s="64">
        <v>210000</v>
      </c>
      <c r="O165" s="64" t="s">
        <v>167</v>
      </c>
      <c r="P165" s="64" t="s">
        <v>167</v>
      </c>
    </row>
    <row r="166" spans="1:16">
      <c r="A166" s="16" t="s">
        <v>1412</v>
      </c>
      <c r="B166" s="61" t="s">
        <v>1680</v>
      </c>
      <c r="C166" s="61" t="s">
        <v>1681</v>
      </c>
      <c r="D166" s="61" t="s">
        <v>1468</v>
      </c>
      <c r="E166" s="62">
        <v>1</v>
      </c>
      <c r="F166" s="63"/>
      <c r="G166" s="61" t="s">
        <v>1464</v>
      </c>
      <c r="H166" s="61" t="s">
        <v>1441</v>
      </c>
      <c r="I166" s="61" t="s">
        <v>1684</v>
      </c>
      <c r="J166" s="64" t="s">
        <v>167</v>
      </c>
      <c r="K166" s="64" t="s">
        <v>167</v>
      </c>
      <c r="L166" s="64" t="s">
        <v>167</v>
      </c>
      <c r="M166" s="64"/>
      <c r="N166" s="64" t="s">
        <v>167</v>
      </c>
      <c r="O166" s="64" t="s">
        <v>167</v>
      </c>
      <c r="P166" s="64" t="s">
        <v>167</v>
      </c>
    </row>
    <row r="167" spans="1:16" ht="41.45">
      <c r="A167" s="16" t="s">
        <v>1412</v>
      </c>
      <c r="B167" s="61" t="s">
        <v>1685</v>
      </c>
      <c r="C167" s="61" t="s">
        <v>1686</v>
      </c>
      <c r="D167" s="61" t="s">
        <v>1508</v>
      </c>
      <c r="E167" s="62">
        <v>1</v>
      </c>
      <c r="F167" s="63"/>
      <c r="G167" s="61" t="s">
        <v>1438</v>
      </c>
      <c r="H167" s="61" t="s">
        <v>1441</v>
      </c>
      <c r="I167" s="61" t="s">
        <v>1687</v>
      </c>
      <c r="J167" s="64">
        <v>101900</v>
      </c>
      <c r="K167" s="64" t="s">
        <v>167</v>
      </c>
      <c r="L167" s="64">
        <v>356000</v>
      </c>
      <c r="M167" s="64" t="s">
        <v>167</v>
      </c>
      <c r="N167" s="64" t="s">
        <v>167</v>
      </c>
      <c r="O167" s="64" t="s">
        <v>167</v>
      </c>
      <c r="P167" s="64" t="s">
        <v>167</v>
      </c>
    </row>
    <row r="168" spans="1:16" ht="27.6">
      <c r="A168" s="16" t="s">
        <v>1412</v>
      </c>
      <c r="B168" s="61" t="s">
        <v>1685</v>
      </c>
      <c r="C168" s="61" t="s">
        <v>1686</v>
      </c>
      <c r="D168" s="61" t="s">
        <v>1633</v>
      </c>
      <c r="E168" s="62">
        <v>1</v>
      </c>
      <c r="F168" s="63"/>
      <c r="G168" s="61" t="s">
        <v>1460</v>
      </c>
      <c r="H168" s="61" t="s">
        <v>1441</v>
      </c>
      <c r="I168" s="61" t="s">
        <v>1688</v>
      </c>
      <c r="J168" s="64">
        <v>75400</v>
      </c>
      <c r="K168" s="64" t="s">
        <v>167</v>
      </c>
      <c r="L168" s="64" t="s">
        <v>167</v>
      </c>
      <c r="M168" s="64" t="s">
        <v>167</v>
      </c>
      <c r="N168" s="64" t="s">
        <v>167</v>
      </c>
      <c r="O168" s="64" t="s">
        <v>167</v>
      </c>
      <c r="P168" s="64" t="s">
        <v>167</v>
      </c>
    </row>
    <row r="169" spans="1:16" ht="55.15">
      <c r="A169" s="16" t="s">
        <v>1412</v>
      </c>
      <c r="B169" s="61" t="s">
        <v>1685</v>
      </c>
      <c r="C169" s="61" t="s">
        <v>1686</v>
      </c>
      <c r="D169" s="61" t="s">
        <v>1689</v>
      </c>
      <c r="E169" s="62">
        <v>1</v>
      </c>
      <c r="F169" s="63">
        <v>1</v>
      </c>
      <c r="G169" s="61" t="s">
        <v>1460</v>
      </c>
      <c r="H169" s="61" t="s">
        <v>1441</v>
      </c>
      <c r="I169" s="61" t="s">
        <v>1690</v>
      </c>
      <c r="J169" s="64">
        <v>13608</v>
      </c>
      <c r="K169" s="64" t="s">
        <v>167</v>
      </c>
      <c r="L169" s="64" t="s">
        <v>167</v>
      </c>
      <c r="M169" s="64" t="s">
        <v>167</v>
      </c>
      <c r="N169" s="64" t="s">
        <v>167</v>
      </c>
      <c r="O169" s="64" t="s">
        <v>167</v>
      </c>
      <c r="P169" s="64" t="s">
        <v>167</v>
      </c>
    </row>
    <row r="170" spans="1:16">
      <c r="A170" s="16" t="s">
        <v>1412</v>
      </c>
      <c r="B170" s="61" t="s">
        <v>1691</v>
      </c>
      <c r="C170" s="61" t="s">
        <v>1692</v>
      </c>
      <c r="D170" s="61" t="s">
        <v>1693</v>
      </c>
      <c r="E170" s="62">
        <v>1</v>
      </c>
      <c r="F170" s="63"/>
      <c r="G170" s="61" t="s">
        <v>1455</v>
      </c>
      <c r="H170" s="61" t="s">
        <v>1441</v>
      </c>
      <c r="I170" s="61" t="s">
        <v>1516</v>
      </c>
      <c r="J170" s="64" t="s">
        <v>167</v>
      </c>
      <c r="K170" s="64">
        <v>25000</v>
      </c>
      <c r="L170" s="64" t="s">
        <v>167</v>
      </c>
      <c r="M170" s="64" t="s">
        <v>167</v>
      </c>
      <c r="N170" s="64" t="s">
        <v>167</v>
      </c>
      <c r="O170" s="64" t="s">
        <v>167</v>
      </c>
      <c r="P170" s="64" t="s">
        <v>167</v>
      </c>
    </row>
    <row r="171" spans="1:16" ht="41.45">
      <c r="A171" s="16" t="s">
        <v>1412</v>
      </c>
      <c r="B171" s="61" t="s">
        <v>1691</v>
      </c>
      <c r="C171" s="61" t="s">
        <v>1692</v>
      </c>
      <c r="D171" s="61" t="s">
        <v>1694</v>
      </c>
      <c r="E171" s="62">
        <v>1</v>
      </c>
      <c r="F171" s="63"/>
      <c r="G171" s="61" t="s">
        <v>1455</v>
      </c>
      <c r="H171" s="61" t="s">
        <v>1441</v>
      </c>
      <c r="I171" s="61" t="s">
        <v>1516</v>
      </c>
      <c r="J171" s="64" t="s">
        <v>167</v>
      </c>
      <c r="K171" s="64"/>
      <c r="L171" s="64" t="s">
        <v>167</v>
      </c>
      <c r="M171" s="64"/>
      <c r="N171" s="64" t="s">
        <v>167</v>
      </c>
      <c r="O171" s="64" t="s">
        <v>167</v>
      </c>
      <c r="P171" s="64" t="s">
        <v>167</v>
      </c>
    </row>
    <row r="172" spans="1:16" ht="41.45">
      <c r="A172" s="16" t="s">
        <v>1412</v>
      </c>
      <c r="B172" s="61" t="s">
        <v>1691</v>
      </c>
      <c r="C172" s="61" t="s">
        <v>1692</v>
      </c>
      <c r="D172" s="61" t="s">
        <v>1695</v>
      </c>
      <c r="E172" s="62">
        <v>1</v>
      </c>
      <c r="F172" s="63"/>
      <c r="G172" s="61" t="s">
        <v>1438</v>
      </c>
      <c r="H172" s="61" t="s">
        <v>1441</v>
      </c>
      <c r="I172" s="61" t="s">
        <v>1682</v>
      </c>
      <c r="J172" s="64"/>
      <c r="K172" s="64"/>
      <c r="L172" s="64"/>
      <c r="M172" s="64"/>
      <c r="N172" s="64"/>
      <c r="O172" s="64" t="s">
        <v>167</v>
      </c>
      <c r="P172" s="64" t="s">
        <v>167</v>
      </c>
    </row>
    <row r="173" spans="1:16" ht="27.6">
      <c r="A173" s="16" t="s">
        <v>1412</v>
      </c>
      <c r="B173" s="61" t="s">
        <v>1691</v>
      </c>
      <c r="C173" s="61" t="s">
        <v>1692</v>
      </c>
      <c r="D173" s="61" t="s">
        <v>1473</v>
      </c>
      <c r="E173" s="62">
        <v>1</v>
      </c>
      <c r="F173" s="63"/>
      <c r="G173" s="61" t="s">
        <v>1455</v>
      </c>
      <c r="H173" s="61" t="s">
        <v>1441</v>
      </c>
      <c r="I173" s="61" t="s">
        <v>1696</v>
      </c>
      <c r="J173" s="64"/>
      <c r="K173" s="64"/>
      <c r="L173" s="64" t="s">
        <v>167</v>
      </c>
      <c r="M173" s="64"/>
      <c r="N173" s="64"/>
      <c r="O173" s="64"/>
      <c r="P173" s="64" t="s">
        <v>167</v>
      </c>
    </row>
    <row r="174" spans="1:16" ht="27.6">
      <c r="A174" s="16" t="s">
        <v>1412</v>
      </c>
      <c r="B174" s="61" t="s">
        <v>1691</v>
      </c>
      <c r="C174" s="61" t="s">
        <v>1692</v>
      </c>
      <c r="D174" s="61" t="s">
        <v>1438</v>
      </c>
      <c r="E174" s="62">
        <v>1</v>
      </c>
      <c r="F174" s="63"/>
      <c r="G174" s="61" t="s">
        <v>1438</v>
      </c>
      <c r="H174" s="61" t="s">
        <v>1441</v>
      </c>
      <c r="I174" s="61" t="s">
        <v>1697</v>
      </c>
      <c r="J174" s="64"/>
      <c r="K174" s="64"/>
      <c r="L174" s="64"/>
      <c r="M174" s="64"/>
      <c r="N174" s="64"/>
      <c r="O174" s="64"/>
      <c r="P174" s="64" t="s">
        <v>167</v>
      </c>
    </row>
    <row r="175" spans="1:16" ht="27.6">
      <c r="A175" s="16" t="s">
        <v>1412</v>
      </c>
      <c r="B175" s="61" t="s">
        <v>1698</v>
      </c>
      <c r="C175" s="61" t="s">
        <v>1699</v>
      </c>
      <c r="D175" s="61" t="s">
        <v>1700</v>
      </c>
      <c r="E175" s="62">
        <v>1</v>
      </c>
      <c r="F175" s="63"/>
      <c r="G175" s="61" t="s">
        <v>1464</v>
      </c>
      <c r="H175" s="61" t="s">
        <v>1441</v>
      </c>
      <c r="I175" s="61" t="s">
        <v>1701</v>
      </c>
      <c r="J175" s="64"/>
      <c r="K175" s="64" t="s">
        <v>167</v>
      </c>
      <c r="L175" s="64" t="s">
        <v>167</v>
      </c>
      <c r="M175" s="64" t="s">
        <v>167</v>
      </c>
      <c r="N175" s="64" t="s">
        <v>167</v>
      </c>
      <c r="O175" s="64" t="s">
        <v>167</v>
      </c>
      <c r="P175" s="64" t="s">
        <v>167</v>
      </c>
    </row>
    <row r="176" spans="1:16" ht="27.6">
      <c r="A176" s="16" t="s">
        <v>1412</v>
      </c>
      <c r="B176" s="61" t="s">
        <v>1698</v>
      </c>
      <c r="C176" s="61" t="s">
        <v>1699</v>
      </c>
      <c r="D176" s="61" t="s">
        <v>1473</v>
      </c>
      <c r="E176" s="62">
        <v>1</v>
      </c>
      <c r="F176" s="63"/>
      <c r="G176" s="61" t="s">
        <v>1602</v>
      </c>
      <c r="H176" s="61" t="s">
        <v>1441</v>
      </c>
      <c r="I176" s="61" t="s">
        <v>1628</v>
      </c>
      <c r="J176" s="64" t="s">
        <v>167</v>
      </c>
      <c r="K176" s="64">
        <v>75000</v>
      </c>
      <c r="L176" s="64" t="s">
        <v>167</v>
      </c>
      <c r="M176" s="64" t="s">
        <v>167</v>
      </c>
      <c r="N176" s="64" t="s">
        <v>167</v>
      </c>
      <c r="O176" s="64" t="s">
        <v>167</v>
      </c>
      <c r="P176" s="64" t="s">
        <v>167</v>
      </c>
    </row>
    <row r="177" spans="1:16">
      <c r="A177" s="16" t="s">
        <v>1412</v>
      </c>
      <c r="B177" s="61" t="s">
        <v>1698</v>
      </c>
      <c r="C177" s="61" t="s">
        <v>1699</v>
      </c>
      <c r="D177" s="61" t="s">
        <v>1468</v>
      </c>
      <c r="E177" s="62">
        <v>1</v>
      </c>
      <c r="F177" s="63"/>
      <c r="G177" s="61" t="s">
        <v>1464</v>
      </c>
      <c r="H177" s="61" t="s">
        <v>1441</v>
      </c>
      <c r="I177" s="61" t="s">
        <v>1702</v>
      </c>
      <c r="J177" s="64" t="s">
        <v>167</v>
      </c>
      <c r="K177" s="64"/>
      <c r="L177" s="64" t="s">
        <v>167</v>
      </c>
      <c r="M177" s="64" t="s">
        <v>167</v>
      </c>
      <c r="N177" s="64" t="s">
        <v>167</v>
      </c>
      <c r="O177" s="64" t="s">
        <v>167</v>
      </c>
      <c r="P177" s="64" t="s">
        <v>167</v>
      </c>
    </row>
    <row r="178" spans="1:16">
      <c r="A178" s="16" t="s">
        <v>1412</v>
      </c>
      <c r="B178" s="61" t="s">
        <v>1703</v>
      </c>
      <c r="C178" s="61" t="s">
        <v>1704</v>
      </c>
      <c r="D178" s="61" t="s">
        <v>1438</v>
      </c>
      <c r="E178" s="62">
        <v>1</v>
      </c>
      <c r="F178" s="63"/>
      <c r="G178" s="61" t="s">
        <v>1438</v>
      </c>
      <c r="H178" s="61" t="s">
        <v>1441</v>
      </c>
      <c r="I178" s="61" t="s">
        <v>1596</v>
      </c>
      <c r="J178" s="64" t="s">
        <v>167</v>
      </c>
      <c r="K178" s="64">
        <v>175000</v>
      </c>
      <c r="L178" s="64" t="s">
        <v>167</v>
      </c>
      <c r="M178" s="64" t="s">
        <v>167</v>
      </c>
      <c r="N178" s="64" t="s">
        <v>167</v>
      </c>
      <c r="O178" s="64" t="s">
        <v>167</v>
      </c>
      <c r="P178" s="64" t="s">
        <v>167</v>
      </c>
    </row>
    <row r="179" spans="1:16">
      <c r="A179" s="16" t="s">
        <v>1412</v>
      </c>
      <c r="B179" s="61" t="s">
        <v>1703</v>
      </c>
      <c r="C179" s="61" t="s">
        <v>1704</v>
      </c>
      <c r="D179" s="61" t="s">
        <v>1446</v>
      </c>
      <c r="E179" s="62">
        <v>1</v>
      </c>
      <c r="F179" s="63"/>
      <c r="G179" s="61" t="s">
        <v>1446</v>
      </c>
      <c r="H179" s="61" t="s">
        <v>1441</v>
      </c>
      <c r="I179" s="61" t="s">
        <v>1705</v>
      </c>
      <c r="J179" s="64" t="s">
        <v>167</v>
      </c>
      <c r="K179" s="64">
        <v>45000</v>
      </c>
      <c r="L179" s="64" t="s">
        <v>167</v>
      </c>
      <c r="M179" s="64" t="s">
        <v>167</v>
      </c>
      <c r="N179" s="64" t="s">
        <v>167</v>
      </c>
      <c r="O179" s="64" t="s">
        <v>167</v>
      </c>
      <c r="P179" s="64" t="s">
        <v>167</v>
      </c>
    </row>
    <row r="180" spans="1:16" ht="27.6">
      <c r="A180" s="16" t="s">
        <v>1412</v>
      </c>
      <c r="B180" s="61" t="s">
        <v>1706</v>
      </c>
      <c r="C180" s="61" t="s">
        <v>1707</v>
      </c>
      <c r="D180" s="61" t="s">
        <v>1446</v>
      </c>
      <c r="E180" s="62">
        <v>1</v>
      </c>
      <c r="F180" s="63"/>
      <c r="G180" s="61" t="s">
        <v>1446</v>
      </c>
      <c r="H180" s="61" t="s">
        <v>1441</v>
      </c>
      <c r="I180" s="61" t="s">
        <v>1655</v>
      </c>
      <c r="J180" s="64"/>
      <c r="K180" s="64"/>
      <c r="L180" s="64" t="s">
        <v>167</v>
      </c>
      <c r="M180" s="64"/>
      <c r="N180" s="64" t="s">
        <v>167</v>
      </c>
      <c r="O180" s="64" t="s">
        <v>167</v>
      </c>
      <c r="P180" s="64" t="s">
        <v>167</v>
      </c>
    </row>
    <row r="181" spans="1:16" ht="27.6">
      <c r="A181" s="16" t="s">
        <v>1412</v>
      </c>
      <c r="B181" s="61" t="s">
        <v>1706</v>
      </c>
      <c r="C181" s="61" t="s">
        <v>1707</v>
      </c>
      <c r="D181" s="61" t="s">
        <v>1473</v>
      </c>
      <c r="E181" s="62">
        <v>1</v>
      </c>
      <c r="F181" s="63"/>
      <c r="G181" s="61" t="s">
        <v>1602</v>
      </c>
      <c r="H181" s="61" t="s">
        <v>1441</v>
      </c>
      <c r="I181" s="61" t="s">
        <v>1628</v>
      </c>
      <c r="J181" s="64" t="s">
        <v>167</v>
      </c>
      <c r="K181" s="64" t="s">
        <v>167</v>
      </c>
      <c r="L181" s="64">
        <v>35000</v>
      </c>
      <c r="M181" s="64" t="s">
        <v>167</v>
      </c>
      <c r="N181" s="64" t="s">
        <v>167</v>
      </c>
      <c r="O181" s="64" t="s">
        <v>167</v>
      </c>
      <c r="P181" s="64" t="s">
        <v>167</v>
      </c>
    </row>
    <row r="182" spans="1:16" ht="27.6">
      <c r="A182" s="16" t="s">
        <v>1412</v>
      </c>
      <c r="B182" s="61" t="s">
        <v>1706</v>
      </c>
      <c r="C182" s="61" t="s">
        <v>1707</v>
      </c>
      <c r="D182" s="61" t="s">
        <v>1438</v>
      </c>
      <c r="E182" s="62">
        <v>1</v>
      </c>
      <c r="F182" s="63"/>
      <c r="G182" s="61" t="s">
        <v>1438</v>
      </c>
      <c r="H182" s="61" t="s">
        <v>1441</v>
      </c>
      <c r="I182" s="61" t="s">
        <v>1708</v>
      </c>
      <c r="J182" s="64"/>
      <c r="K182" s="64"/>
      <c r="L182" s="64"/>
      <c r="M182" s="64"/>
      <c r="N182" s="64"/>
      <c r="O182" s="64" t="s">
        <v>167</v>
      </c>
      <c r="P182" s="64" t="s">
        <v>167</v>
      </c>
    </row>
    <row r="183" spans="1:16" ht="27.6">
      <c r="A183" s="16" t="s">
        <v>1412</v>
      </c>
      <c r="B183" s="61" t="s">
        <v>1709</v>
      </c>
      <c r="C183" s="61" t="s">
        <v>1710</v>
      </c>
      <c r="D183" s="61" t="s">
        <v>1446</v>
      </c>
      <c r="E183" s="62">
        <v>1</v>
      </c>
      <c r="F183" s="63"/>
      <c r="G183" s="61" t="s">
        <v>1446</v>
      </c>
      <c r="H183" s="61" t="s">
        <v>1441</v>
      </c>
      <c r="I183" s="61" t="s">
        <v>1711</v>
      </c>
      <c r="J183" s="64">
        <v>10000</v>
      </c>
      <c r="K183" s="64" t="s">
        <v>167</v>
      </c>
      <c r="L183" s="64" t="s">
        <v>167</v>
      </c>
      <c r="M183" s="64" t="s">
        <v>167</v>
      </c>
      <c r="N183" s="64" t="s">
        <v>167</v>
      </c>
      <c r="O183" s="64" t="s">
        <v>167</v>
      </c>
      <c r="P183" s="64" t="s">
        <v>167</v>
      </c>
    </row>
    <row r="184" spans="1:16">
      <c r="A184" s="16" t="s">
        <v>1412</v>
      </c>
      <c r="B184" s="61" t="s">
        <v>1709</v>
      </c>
      <c r="C184" s="61" t="s">
        <v>1710</v>
      </c>
      <c r="D184" s="61" t="s">
        <v>1438</v>
      </c>
      <c r="E184" s="62">
        <v>1</v>
      </c>
      <c r="F184" s="63"/>
      <c r="G184" s="61" t="s">
        <v>1438</v>
      </c>
      <c r="H184" s="61" t="s">
        <v>1441</v>
      </c>
      <c r="I184" s="61" t="s">
        <v>1475</v>
      </c>
      <c r="J184" s="64"/>
      <c r="K184" s="64" t="s">
        <v>167</v>
      </c>
      <c r="L184" s="64" t="s">
        <v>167</v>
      </c>
      <c r="M184" s="64" t="s">
        <v>167</v>
      </c>
      <c r="N184" s="64" t="s">
        <v>167</v>
      </c>
      <c r="O184" s="64" t="s">
        <v>167</v>
      </c>
      <c r="P184" s="64" t="s">
        <v>167</v>
      </c>
    </row>
    <row r="185" spans="1:16" ht="41.45">
      <c r="A185" s="16" t="s">
        <v>1412</v>
      </c>
      <c r="B185" s="61" t="s">
        <v>403</v>
      </c>
      <c r="C185" s="61" t="s">
        <v>401</v>
      </c>
      <c r="D185" s="61" t="s">
        <v>1446</v>
      </c>
      <c r="E185" s="62">
        <v>1</v>
      </c>
      <c r="F185" s="63"/>
      <c r="G185" s="61" t="s">
        <v>1446</v>
      </c>
      <c r="H185" s="61" t="s">
        <v>1441</v>
      </c>
      <c r="I185" s="61" t="s">
        <v>1712</v>
      </c>
      <c r="J185" s="64"/>
      <c r="K185" s="64">
        <v>20000</v>
      </c>
      <c r="L185" s="64"/>
      <c r="M185" s="64"/>
      <c r="N185" s="64"/>
      <c r="O185" s="64"/>
      <c r="P185" s="64"/>
    </row>
    <row r="186" spans="1:16" ht="27.6">
      <c r="A186" s="16" t="s">
        <v>1412</v>
      </c>
      <c r="B186" s="61" t="s">
        <v>403</v>
      </c>
      <c r="C186" s="61" t="s">
        <v>401</v>
      </c>
      <c r="D186" s="61" t="s">
        <v>1532</v>
      </c>
      <c r="E186" s="62">
        <v>1</v>
      </c>
      <c r="F186" s="63"/>
      <c r="G186" s="61" t="s">
        <v>1455</v>
      </c>
      <c r="H186" s="61" t="s">
        <v>1441</v>
      </c>
      <c r="I186" s="61" t="s">
        <v>1713</v>
      </c>
      <c r="J186" s="64">
        <v>15000</v>
      </c>
      <c r="K186" s="64" t="s">
        <v>167</v>
      </c>
      <c r="L186" s="64">
        <v>10000</v>
      </c>
      <c r="M186" s="64" t="s">
        <v>167</v>
      </c>
      <c r="N186" s="64" t="s">
        <v>167</v>
      </c>
      <c r="O186" s="64" t="s">
        <v>167</v>
      </c>
      <c r="P186" s="64" t="s">
        <v>167</v>
      </c>
    </row>
    <row r="187" spans="1:16" ht="27.6">
      <c r="A187" s="16" t="s">
        <v>1412</v>
      </c>
      <c r="B187" s="61" t="s">
        <v>403</v>
      </c>
      <c r="C187" s="61" t="s">
        <v>401</v>
      </c>
      <c r="D187" s="61" t="s">
        <v>1508</v>
      </c>
      <c r="E187" s="62">
        <v>1</v>
      </c>
      <c r="F187" s="63"/>
      <c r="G187" s="61" t="s">
        <v>1438</v>
      </c>
      <c r="H187" s="61" t="s">
        <v>1441</v>
      </c>
      <c r="I187" s="61" t="s">
        <v>1714</v>
      </c>
      <c r="J187" s="64" t="s">
        <v>167</v>
      </c>
      <c r="K187" s="64">
        <v>257250</v>
      </c>
      <c r="L187" s="64" t="s">
        <v>167</v>
      </c>
      <c r="M187" s="64" t="s">
        <v>167</v>
      </c>
      <c r="N187" s="64" t="s">
        <v>167</v>
      </c>
      <c r="O187" s="64" t="s">
        <v>167</v>
      </c>
      <c r="P187" s="64" t="s">
        <v>167</v>
      </c>
    </row>
    <row r="188" spans="1:16" ht="27.6">
      <c r="A188" s="16" t="s">
        <v>1412</v>
      </c>
      <c r="B188" s="61" t="s">
        <v>479</v>
      </c>
      <c r="C188" s="61" t="s">
        <v>1715</v>
      </c>
      <c r="D188" s="61" t="s">
        <v>1446</v>
      </c>
      <c r="E188" s="62">
        <v>1</v>
      </c>
      <c r="F188" s="63"/>
      <c r="G188" s="61" t="s">
        <v>1446</v>
      </c>
      <c r="H188" s="61" t="s">
        <v>1441</v>
      </c>
      <c r="I188" s="61" t="s">
        <v>1716</v>
      </c>
      <c r="J188" s="64">
        <v>37500</v>
      </c>
      <c r="K188" s="64" t="s">
        <v>167</v>
      </c>
      <c r="L188" s="64" t="s">
        <v>167</v>
      </c>
      <c r="M188" s="64" t="s">
        <v>167</v>
      </c>
      <c r="N188" s="64" t="s">
        <v>167</v>
      </c>
      <c r="O188" s="64" t="s">
        <v>167</v>
      </c>
      <c r="P188" s="64" t="s">
        <v>167</v>
      </c>
    </row>
    <row r="189" spans="1:16" ht="27.6">
      <c r="A189" s="16" t="s">
        <v>1412</v>
      </c>
      <c r="B189" s="61" t="s">
        <v>479</v>
      </c>
      <c r="C189" s="61" t="s">
        <v>1715</v>
      </c>
      <c r="D189" s="61" t="s">
        <v>1473</v>
      </c>
      <c r="E189" s="62">
        <v>1</v>
      </c>
      <c r="F189" s="63"/>
      <c r="G189" s="61" t="s">
        <v>1455</v>
      </c>
      <c r="H189" s="61" t="s">
        <v>1441</v>
      </c>
      <c r="I189" s="61" t="s">
        <v>1717</v>
      </c>
      <c r="J189" s="64">
        <v>17763</v>
      </c>
      <c r="K189" s="64" t="s">
        <v>167</v>
      </c>
      <c r="L189" s="64" t="s">
        <v>167</v>
      </c>
      <c r="M189" s="64" t="s">
        <v>167</v>
      </c>
      <c r="N189" s="64" t="s">
        <v>167</v>
      </c>
      <c r="O189" s="64" t="s">
        <v>167</v>
      </c>
      <c r="P189" s="64" t="s">
        <v>167</v>
      </c>
    </row>
    <row r="190" spans="1:16" ht="41.45">
      <c r="A190" s="16" t="s">
        <v>1412</v>
      </c>
      <c r="B190" s="61" t="s">
        <v>479</v>
      </c>
      <c r="C190" s="61" t="s">
        <v>1715</v>
      </c>
      <c r="D190" s="61" t="s">
        <v>1608</v>
      </c>
      <c r="E190" s="62">
        <v>1</v>
      </c>
      <c r="F190" s="63"/>
      <c r="G190" s="61" t="s">
        <v>1438</v>
      </c>
      <c r="H190" s="61" t="s">
        <v>1441</v>
      </c>
      <c r="I190" s="61" t="s">
        <v>1448</v>
      </c>
      <c r="J190" s="64">
        <v>105000</v>
      </c>
      <c r="K190" s="64" t="s">
        <v>167</v>
      </c>
      <c r="L190" s="64" t="s">
        <v>167</v>
      </c>
      <c r="M190" s="64" t="s">
        <v>167</v>
      </c>
      <c r="N190" s="64" t="s">
        <v>167</v>
      </c>
      <c r="O190" s="64" t="s">
        <v>167</v>
      </c>
      <c r="P190" s="64" t="s">
        <v>167</v>
      </c>
    </row>
    <row r="191" spans="1:16" ht="27.6">
      <c r="A191" s="16" t="s">
        <v>1412</v>
      </c>
      <c r="B191" s="61" t="s">
        <v>479</v>
      </c>
      <c r="C191" s="61" t="s">
        <v>1715</v>
      </c>
      <c r="D191" s="61" t="s">
        <v>1520</v>
      </c>
      <c r="E191" s="62">
        <v>1</v>
      </c>
      <c r="F191" s="63"/>
      <c r="G191" s="61" t="s">
        <v>1464</v>
      </c>
      <c r="H191" s="61" t="s">
        <v>1441</v>
      </c>
      <c r="I191" s="61" t="s">
        <v>1718</v>
      </c>
      <c r="J191" s="64"/>
      <c r="K191" s="64" t="s">
        <v>167</v>
      </c>
      <c r="L191" s="64" t="s">
        <v>167</v>
      </c>
      <c r="M191" s="64" t="s">
        <v>167</v>
      </c>
      <c r="N191" s="64" t="s">
        <v>167</v>
      </c>
      <c r="O191" s="64" t="s">
        <v>167</v>
      </c>
      <c r="P191" s="64" t="s">
        <v>167</v>
      </c>
    </row>
    <row r="192" spans="1:16" ht="27.6">
      <c r="A192" s="16" t="s">
        <v>1412</v>
      </c>
      <c r="B192" s="61" t="s">
        <v>479</v>
      </c>
      <c r="C192" s="61" t="s">
        <v>1715</v>
      </c>
      <c r="D192" s="61" t="s">
        <v>1719</v>
      </c>
      <c r="E192" s="62">
        <v>1</v>
      </c>
      <c r="F192" s="63"/>
      <c r="G192" s="61" t="s">
        <v>1464</v>
      </c>
      <c r="H192" s="61" t="s">
        <v>1441</v>
      </c>
      <c r="I192" s="61" t="s">
        <v>1720</v>
      </c>
      <c r="J192" s="64">
        <v>30000</v>
      </c>
      <c r="K192" s="64" t="s">
        <v>167</v>
      </c>
      <c r="L192" s="64" t="s">
        <v>167</v>
      </c>
      <c r="M192" s="64" t="s">
        <v>167</v>
      </c>
      <c r="N192" s="64" t="s">
        <v>167</v>
      </c>
      <c r="O192" s="64" t="s">
        <v>167</v>
      </c>
      <c r="P192" s="64" t="s">
        <v>167</v>
      </c>
    </row>
    <row r="193" spans="1:16" ht="55.15">
      <c r="A193" s="16" t="s">
        <v>1412</v>
      </c>
      <c r="B193" s="61" t="s">
        <v>1721</v>
      </c>
      <c r="C193" s="61" t="s">
        <v>1722</v>
      </c>
      <c r="D193" s="61" t="s">
        <v>1608</v>
      </c>
      <c r="E193" s="62">
        <v>1</v>
      </c>
      <c r="F193" s="63"/>
      <c r="G193" s="61" t="s">
        <v>1438</v>
      </c>
      <c r="H193" s="61" t="s">
        <v>1441</v>
      </c>
      <c r="I193" s="61" t="s">
        <v>1723</v>
      </c>
      <c r="J193" s="64">
        <v>185000</v>
      </c>
      <c r="K193" s="64" t="s">
        <v>167</v>
      </c>
      <c r="L193" s="64" t="s">
        <v>167</v>
      </c>
      <c r="M193" s="64" t="s">
        <v>167</v>
      </c>
      <c r="N193" s="64" t="s">
        <v>167</v>
      </c>
      <c r="O193" s="64" t="s">
        <v>167</v>
      </c>
      <c r="P193" s="64" t="s">
        <v>167</v>
      </c>
    </row>
    <row r="194" spans="1:16" ht="27.6">
      <c r="A194" s="16" t="s">
        <v>1412</v>
      </c>
      <c r="B194" s="61" t="s">
        <v>1721</v>
      </c>
      <c r="C194" s="61" t="s">
        <v>1722</v>
      </c>
      <c r="D194" s="61" t="s">
        <v>1532</v>
      </c>
      <c r="E194" s="62">
        <v>1</v>
      </c>
      <c r="F194" s="63"/>
      <c r="G194" s="61" t="s">
        <v>1455</v>
      </c>
      <c r="H194" s="61" t="s">
        <v>1441</v>
      </c>
      <c r="I194" s="61" t="s">
        <v>1724</v>
      </c>
      <c r="J194" s="64" t="s">
        <v>167</v>
      </c>
      <c r="K194" s="64">
        <v>75000</v>
      </c>
      <c r="L194" s="64" t="s">
        <v>167</v>
      </c>
      <c r="M194" s="64" t="s">
        <v>167</v>
      </c>
      <c r="N194" s="64" t="s">
        <v>167</v>
      </c>
      <c r="O194" s="64" t="s">
        <v>167</v>
      </c>
      <c r="P194" s="64" t="s">
        <v>167</v>
      </c>
    </row>
    <row r="195" spans="1:16" ht="41.45">
      <c r="A195" s="16" t="s">
        <v>1412</v>
      </c>
      <c r="B195" s="61" t="s">
        <v>1721</v>
      </c>
      <c r="C195" s="61" t="s">
        <v>1722</v>
      </c>
      <c r="D195" s="61" t="s">
        <v>1725</v>
      </c>
      <c r="E195" s="62">
        <v>1</v>
      </c>
      <c r="F195" s="63"/>
      <c r="G195" s="61" t="s">
        <v>1464</v>
      </c>
      <c r="H195" s="61" t="s">
        <v>1441</v>
      </c>
      <c r="I195" s="61" t="s">
        <v>1726</v>
      </c>
      <c r="J195" s="64">
        <v>25000</v>
      </c>
      <c r="K195" s="64" t="s">
        <v>167</v>
      </c>
      <c r="L195" s="64" t="s">
        <v>167</v>
      </c>
      <c r="M195" s="64" t="s">
        <v>167</v>
      </c>
      <c r="N195" s="64">
        <v>45938</v>
      </c>
      <c r="O195" s="64" t="s">
        <v>167</v>
      </c>
      <c r="P195" s="64" t="s">
        <v>167</v>
      </c>
    </row>
    <row r="196" spans="1:16" ht="27.6">
      <c r="A196" s="16" t="s">
        <v>1412</v>
      </c>
      <c r="B196" s="61" t="s">
        <v>340</v>
      </c>
      <c r="C196" s="61" t="s">
        <v>1727</v>
      </c>
      <c r="D196" s="61" t="s">
        <v>1473</v>
      </c>
      <c r="E196" s="62">
        <v>1</v>
      </c>
      <c r="F196" s="63"/>
      <c r="G196" s="61" t="s">
        <v>1602</v>
      </c>
      <c r="H196" s="61" t="s">
        <v>1441</v>
      </c>
      <c r="I196" s="61" t="s">
        <v>1728</v>
      </c>
      <c r="J196" s="64">
        <v>55000</v>
      </c>
      <c r="K196" s="64" t="s">
        <v>167</v>
      </c>
      <c r="L196" s="64" t="s">
        <v>167</v>
      </c>
      <c r="M196" s="64" t="s">
        <v>167</v>
      </c>
      <c r="N196" s="64" t="s">
        <v>167</v>
      </c>
      <c r="O196" s="64" t="s">
        <v>167</v>
      </c>
      <c r="P196" s="64" t="s">
        <v>167</v>
      </c>
    </row>
    <row r="197" spans="1:16">
      <c r="A197" s="16" t="s">
        <v>1412</v>
      </c>
      <c r="B197" s="61" t="s">
        <v>340</v>
      </c>
      <c r="C197" s="61" t="s">
        <v>1727</v>
      </c>
      <c r="D197" s="61" t="s">
        <v>1729</v>
      </c>
      <c r="E197" s="62">
        <v>1</v>
      </c>
      <c r="F197" s="63"/>
      <c r="G197" s="61" t="s">
        <v>1460</v>
      </c>
      <c r="H197" s="61" t="s">
        <v>1441</v>
      </c>
      <c r="I197" s="61" t="s">
        <v>1730</v>
      </c>
      <c r="J197" s="64">
        <v>20000</v>
      </c>
      <c r="K197" s="64" t="s">
        <v>167</v>
      </c>
      <c r="L197" s="64" t="s">
        <v>167</v>
      </c>
      <c r="M197" s="64" t="s">
        <v>167</v>
      </c>
      <c r="N197" s="64" t="s">
        <v>167</v>
      </c>
      <c r="O197" s="64" t="s">
        <v>167</v>
      </c>
      <c r="P197" s="64" t="s">
        <v>167</v>
      </c>
    </row>
    <row r="198" spans="1:16" ht="27.6">
      <c r="A198" s="16" t="s">
        <v>1412</v>
      </c>
      <c r="B198" s="61" t="s">
        <v>240</v>
      </c>
      <c r="C198" s="61" t="s">
        <v>1731</v>
      </c>
      <c r="D198" s="61" t="s">
        <v>1473</v>
      </c>
      <c r="E198" s="62">
        <v>1</v>
      </c>
      <c r="F198" s="63"/>
      <c r="G198" s="61" t="s">
        <v>1602</v>
      </c>
      <c r="H198" s="61" t="s">
        <v>1441</v>
      </c>
      <c r="I198" s="61" t="s">
        <v>1728</v>
      </c>
      <c r="J198" s="64">
        <v>55000</v>
      </c>
      <c r="K198" s="64" t="s">
        <v>167</v>
      </c>
      <c r="L198" s="64" t="s">
        <v>167</v>
      </c>
      <c r="M198" s="64" t="s">
        <v>167</v>
      </c>
      <c r="N198" s="64" t="s">
        <v>167</v>
      </c>
      <c r="O198" s="64" t="s">
        <v>167</v>
      </c>
      <c r="P198" s="64" t="s">
        <v>167</v>
      </c>
    </row>
    <row r="199" spans="1:16">
      <c r="A199" s="16" t="s">
        <v>1412</v>
      </c>
      <c r="B199" s="61" t="s">
        <v>240</v>
      </c>
      <c r="C199" s="61" t="s">
        <v>1731</v>
      </c>
      <c r="D199" s="61" t="s">
        <v>1729</v>
      </c>
      <c r="E199" s="62">
        <v>1</v>
      </c>
      <c r="F199" s="63"/>
      <c r="G199" s="61" t="s">
        <v>1460</v>
      </c>
      <c r="H199" s="61" t="s">
        <v>1441</v>
      </c>
      <c r="I199" s="61" t="s">
        <v>1730</v>
      </c>
      <c r="J199" s="64">
        <v>20000</v>
      </c>
      <c r="K199" s="64" t="s">
        <v>167</v>
      </c>
      <c r="L199" s="64" t="s">
        <v>167</v>
      </c>
      <c r="M199" s="64" t="s">
        <v>167</v>
      </c>
      <c r="N199" s="64" t="s">
        <v>167</v>
      </c>
      <c r="O199" s="64" t="s">
        <v>167</v>
      </c>
      <c r="P199" s="64" t="s">
        <v>167</v>
      </c>
    </row>
    <row r="200" spans="1:16" ht="27.6">
      <c r="A200" s="16" t="s">
        <v>1412</v>
      </c>
      <c r="B200" s="61" t="s">
        <v>316</v>
      </c>
      <c r="C200" s="61" t="s">
        <v>1732</v>
      </c>
      <c r="D200" s="61" t="s">
        <v>1473</v>
      </c>
      <c r="E200" s="62">
        <v>1</v>
      </c>
      <c r="F200" s="63"/>
      <c r="G200" s="61" t="s">
        <v>1602</v>
      </c>
      <c r="H200" s="61" t="s">
        <v>1441</v>
      </c>
      <c r="I200" s="61" t="s">
        <v>1728</v>
      </c>
      <c r="J200" s="64">
        <v>55000</v>
      </c>
      <c r="K200" s="64" t="s">
        <v>167</v>
      </c>
      <c r="L200" s="64" t="s">
        <v>167</v>
      </c>
      <c r="M200" s="64" t="s">
        <v>167</v>
      </c>
      <c r="N200" s="64" t="s">
        <v>167</v>
      </c>
      <c r="O200" s="64" t="s">
        <v>167</v>
      </c>
      <c r="P200" s="64" t="s">
        <v>167</v>
      </c>
    </row>
    <row r="201" spans="1:16">
      <c r="A201" s="16" t="s">
        <v>1412</v>
      </c>
      <c r="B201" s="61" t="s">
        <v>316</v>
      </c>
      <c r="C201" s="61" t="s">
        <v>1732</v>
      </c>
      <c r="D201" s="61" t="s">
        <v>1729</v>
      </c>
      <c r="E201" s="62">
        <v>1</v>
      </c>
      <c r="F201" s="63"/>
      <c r="G201" s="61" t="s">
        <v>1460</v>
      </c>
      <c r="H201" s="61" t="s">
        <v>1441</v>
      </c>
      <c r="I201" s="61" t="s">
        <v>1730</v>
      </c>
      <c r="J201" s="64">
        <v>20000</v>
      </c>
      <c r="K201" s="64" t="s">
        <v>167</v>
      </c>
      <c r="L201" s="64" t="s">
        <v>167</v>
      </c>
      <c r="M201" s="64" t="s">
        <v>167</v>
      </c>
      <c r="N201" s="64" t="s">
        <v>167</v>
      </c>
      <c r="O201" s="64" t="s">
        <v>167</v>
      </c>
      <c r="P201" s="64" t="s">
        <v>167</v>
      </c>
    </row>
    <row r="202" spans="1:16" ht="27.6">
      <c r="A202" s="16" t="s">
        <v>1412</v>
      </c>
      <c r="B202" s="61" t="s">
        <v>310</v>
      </c>
      <c r="C202" s="61" t="s">
        <v>1733</v>
      </c>
      <c r="D202" s="61" t="s">
        <v>1473</v>
      </c>
      <c r="E202" s="62">
        <v>1</v>
      </c>
      <c r="F202" s="63"/>
      <c r="G202" s="61" t="s">
        <v>1602</v>
      </c>
      <c r="H202" s="61" t="s">
        <v>1441</v>
      </c>
      <c r="I202" s="61" t="s">
        <v>1728</v>
      </c>
      <c r="J202" s="64">
        <v>55000</v>
      </c>
      <c r="K202" s="64" t="s">
        <v>167</v>
      </c>
      <c r="L202" s="64" t="s">
        <v>167</v>
      </c>
      <c r="M202" s="64" t="s">
        <v>167</v>
      </c>
      <c r="N202" s="64" t="s">
        <v>167</v>
      </c>
      <c r="O202" s="64" t="s">
        <v>167</v>
      </c>
      <c r="P202" s="64" t="s">
        <v>167</v>
      </c>
    </row>
    <row r="203" spans="1:16">
      <c r="A203" s="16" t="s">
        <v>1412</v>
      </c>
      <c r="B203" s="61" t="s">
        <v>310</v>
      </c>
      <c r="C203" s="61" t="s">
        <v>1733</v>
      </c>
      <c r="D203" s="61" t="s">
        <v>1729</v>
      </c>
      <c r="E203" s="62">
        <v>1</v>
      </c>
      <c r="F203" s="63"/>
      <c r="G203" s="61" t="s">
        <v>1460</v>
      </c>
      <c r="H203" s="61" t="s">
        <v>1441</v>
      </c>
      <c r="I203" s="61" t="s">
        <v>1730</v>
      </c>
      <c r="J203" s="64">
        <v>20000</v>
      </c>
      <c r="K203" s="64" t="s">
        <v>167</v>
      </c>
      <c r="L203" s="64" t="s">
        <v>167</v>
      </c>
      <c r="M203" s="64" t="s">
        <v>167</v>
      </c>
      <c r="N203" s="64" t="s">
        <v>167</v>
      </c>
      <c r="O203" s="64" t="s">
        <v>167</v>
      </c>
      <c r="P203" s="64" t="s">
        <v>167</v>
      </c>
    </row>
    <row r="204" spans="1:16" s="53" customFormat="1">
      <c r="B204" s="65"/>
      <c r="C204" s="65"/>
      <c r="D204" s="65"/>
      <c r="E204" s="66"/>
      <c r="F204" s="67"/>
      <c r="G204" s="65"/>
      <c r="H204" s="65"/>
      <c r="I204" s="65"/>
      <c r="J204" s="68"/>
      <c r="K204" s="68"/>
      <c r="L204" s="68"/>
      <c r="M204" s="68"/>
      <c r="N204" s="68"/>
      <c r="O204" s="68"/>
      <c r="P204" s="68"/>
    </row>
    <row r="205" spans="1:16" ht="27.6">
      <c r="A205" s="16" t="s">
        <v>1413</v>
      </c>
      <c r="B205" s="61" t="s">
        <v>469</v>
      </c>
      <c r="C205" s="61" t="s">
        <v>1734</v>
      </c>
      <c r="D205" s="61" t="s">
        <v>1445</v>
      </c>
      <c r="E205" s="62">
        <v>1</v>
      </c>
      <c r="F205" s="63"/>
      <c r="G205" s="61" t="s">
        <v>1446</v>
      </c>
      <c r="H205" s="61" t="s">
        <v>1441</v>
      </c>
      <c r="I205" s="61" t="s">
        <v>1735</v>
      </c>
      <c r="J205" s="64">
        <v>40000</v>
      </c>
      <c r="K205" s="64" t="s">
        <v>167</v>
      </c>
      <c r="L205" s="64" t="s">
        <v>167</v>
      </c>
      <c r="M205" s="64" t="s">
        <v>167</v>
      </c>
      <c r="N205" s="64" t="s">
        <v>167</v>
      </c>
      <c r="O205" s="64" t="s">
        <v>167</v>
      </c>
      <c r="P205" s="64" t="s">
        <v>167</v>
      </c>
    </row>
    <row r="206" spans="1:16" ht="41.45">
      <c r="A206" s="16" t="s">
        <v>1413</v>
      </c>
      <c r="B206" s="61" t="s">
        <v>469</v>
      </c>
      <c r="C206" s="61" t="s">
        <v>1734</v>
      </c>
      <c r="D206" s="61" t="s">
        <v>1736</v>
      </c>
      <c r="E206" s="62">
        <v>1</v>
      </c>
      <c r="F206" s="63"/>
      <c r="G206" s="61" t="s">
        <v>1464</v>
      </c>
      <c r="H206" s="61" t="s">
        <v>1441</v>
      </c>
      <c r="I206" s="61" t="s">
        <v>1737</v>
      </c>
      <c r="J206" s="64"/>
      <c r="K206" s="64">
        <v>10000</v>
      </c>
      <c r="L206" s="64" t="s">
        <v>167</v>
      </c>
      <c r="M206" s="64" t="s">
        <v>167</v>
      </c>
      <c r="N206" s="64" t="s">
        <v>167</v>
      </c>
      <c r="O206" s="64" t="s">
        <v>167</v>
      </c>
      <c r="P206" s="64" t="s">
        <v>167</v>
      </c>
    </row>
    <row r="207" spans="1:16">
      <c r="A207" s="16" t="s">
        <v>1413</v>
      </c>
      <c r="B207" s="61" t="s">
        <v>469</v>
      </c>
      <c r="C207" s="61" t="s">
        <v>1734</v>
      </c>
      <c r="D207" s="61" t="s">
        <v>1454</v>
      </c>
      <c r="E207" s="62">
        <v>1</v>
      </c>
      <c r="F207" s="63"/>
      <c r="G207" s="61" t="s">
        <v>1455</v>
      </c>
      <c r="H207" s="61" t="s">
        <v>1441</v>
      </c>
      <c r="I207" s="61" t="s">
        <v>1570</v>
      </c>
      <c r="J207" s="64">
        <v>30000</v>
      </c>
      <c r="K207" s="64" t="s">
        <v>167</v>
      </c>
      <c r="L207" s="64">
        <v>10000</v>
      </c>
      <c r="M207" s="64" t="s">
        <v>167</v>
      </c>
      <c r="N207" s="64" t="s">
        <v>167</v>
      </c>
      <c r="O207" s="64" t="s">
        <v>167</v>
      </c>
      <c r="P207" s="64" t="s">
        <v>167</v>
      </c>
    </row>
    <row r="208" spans="1:16" ht="82.9">
      <c r="A208" s="16" t="s">
        <v>1413</v>
      </c>
      <c r="B208" s="61" t="s">
        <v>469</v>
      </c>
      <c r="C208" s="61" t="s">
        <v>1734</v>
      </c>
      <c r="D208" s="61" t="s">
        <v>1508</v>
      </c>
      <c r="E208" s="62">
        <v>1</v>
      </c>
      <c r="F208" s="63"/>
      <c r="G208" s="61" t="s">
        <v>1438</v>
      </c>
      <c r="H208" s="61" t="s">
        <v>1441</v>
      </c>
      <c r="I208" s="61" t="s">
        <v>1738</v>
      </c>
      <c r="J208" s="64"/>
      <c r="K208" s="64">
        <v>242500</v>
      </c>
      <c r="L208" s="64" t="s">
        <v>167</v>
      </c>
      <c r="M208" s="64" t="s">
        <v>167</v>
      </c>
      <c r="N208" s="64">
        <v>173000</v>
      </c>
      <c r="O208" s="64" t="s">
        <v>167</v>
      </c>
      <c r="P208" s="64" t="s">
        <v>167</v>
      </c>
    </row>
    <row r="209" spans="1:16" ht="41.45">
      <c r="A209" s="16" t="s">
        <v>1413</v>
      </c>
      <c r="B209" s="61" t="s">
        <v>469</v>
      </c>
      <c r="C209" s="61" t="s">
        <v>1734</v>
      </c>
      <c r="D209" s="61" t="s">
        <v>1739</v>
      </c>
      <c r="E209" s="62">
        <v>1</v>
      </c>
      <c r="F209" s="63"/>
      <c r="G209" s="61" t="s">
        <v>1464</v>
      </c>
      <c r="H209" s="61" t="s">
        <v>1441</v>
      </c>
      <c r="I209" s="61" t="s">
        <v>1570</v>
      </c>
      <c r="J209" s="64"/>
      <c r="K209" s="64" t="s">
        <v>167</v>
      </c>
      <c r="L209" s="64" t="s">
        <v>167</v>
      </c>
      <c r="M209" s="64" t="s">
        <v>167</v>
      </c>
      <c r="N209" s="64" t="s">
        <v>167</v>
      </c>
      <c r="O209" s="64" t="s">
        <v>167</v>
      </c>
      <c r="P209" s="64" t="s">
        <v>167</v>
      </c>
    </row>
    <row r="210" spans="1:16">
      <c r="A210" s="16" t="s">
        <v>1413</v>
      </c>
      <c r="B210" s="61" t="s">
        <v>469</v>
      </c>
      <c r="C210" s="61" t="s">
        <v>1734</v>
      </c>
      <c r="D210" s="61" t="s">
        <v>1740</v>
      </c>
      <c r="E210" s="62">
        <v>1</v>
      </c>
      <c r="F210" s="63"/>
      <c r="G210" s="61" t="s">
        <v>1464</v>
      </c>
      <c r="H210" s="61" t="s">
        <v>1441</v>
      </c>
      <c r="I210" s="61" t="s">
        <v>1741</v>
      </c>
      <c r="J210" s="64">
        <v>150000</v>
      </c>
      <c r="K210" s="64" t="s">
        <v>167</v>
      </c>
      <c r="L210" s="64" t="s">
        <v>167</v>
      </c>
      <c r="M210" s="64" t="s">
        <v>167</v>
      </c>
      <c r="N210" s="64" t="s">
        <v>167</v>
      </c>
      <c r="O210" s="64" t="s">
        <v>167</v>
      </c>
      <c r="P210" s="64" t="s">
        <v>167</v>
      </c>
    </row>
    <row r="211" spans="1:16" ht="27.6">
      <c r="A211" s="16" t="s">
        <v>1413</v>
      </c>
      <c r="B211" s="61" t="s">
        <v>1742</v>
      </c>
      <c r="C211" s="61" t="s">
        <v>1743</v>
      </c>
      <c r="D211" s="61" t="s">
        <v>1446</v>
      </c>
      <c r="E211" s="62">
        <v>1</v>
      </c>
      <c r="F211" s="63"/>
      <c r="G211" s="61" t="s">
        <v>1446</v>
      </c>
      <c r="H211" s="61" t="s">
        <v>1441</v>
      </c>
      <c r="I211" s="61" t="s">
        <v>1682</v>
      </c>
      <c r="J211" s="64"/>
      <c r="K211" s="64" t="s">
        <v>167</v>
      </c>
      <c r="L211" s="64" t="s">
        <v>167</v>
      </c>
      <c r="M211" s="64" t="s">
        <v>167</v>
      </c>
      <c r="N211" s="64" t="s">
        <v>167</v>
      </c>
      <c r="O211" s="64" t="s">
        <v>167</v>
      </c>
      <c r="P211" s="64" t="s">
        <v>167</v>
      </c>
    </row>
    <row r="212" spans="1:16" ht="41.45">
      <c r="A212" s="16" t="s">
        <v>1413</v>
      </c>
      <c r="B212" s="61" t="s">
        <v>1742</v>
      </c>
      <c r="C212" s="61" t="s">
        <v>1743</v>
      </c>
      <c r="D212" s="61" t="s">
        <v>1532</v>
      </c>
      <c r="E212" s="62">
        <v>1</v>
      </c>
      <c r="F212" s="63"/>
      <c r="G212" s="61" t="s">
        <v>1455</v>
      </c>
      <c r="H212" s="61" t="s">
        <v>1441</v>
      </c>
      <c r="I212" s="61" t="s">
        <v>1744</v>
      </c>
      <c r="J212" s="64"/>
      <c r="K212" s="64"/>
      <c r="L212" s="64" t="s">
        <v>167</v>
      </c>
      <c r="M212" s="64" t="s">
        <v>167</v>
      </c>
      <c r="N212" s="64" t="s">
        <v>167</v>
      </c>
      <c r="O212" s="64" t="s">
        <v>167</v>
      </c>
      <c r="P212" s="64" t="s">
        <v>167</v>
      </c>
    </row>
    <row r="213" spans="1:16">
      <c r="A213" s="16" t="s">
        <v>1413</v>
      </c>
      <c r="B213" s="61" t="s">
        <v>1742</v>
      </c>
      <c r="C213" s="61" t="s">
        <v>1743</v>
      </c>
      <c r="D213" s="61" t="s">
        <v>1468</v>
      </c>
      <c r="E213" s="62">
        <v>1</v>
      </c>
      <c r="F213" s="63"/>
      <c r="G213" s="61" t="s">
        <v>1464</v>
      </c>
      <c r="H213" s="61" t="s">
        <v>1441</v>
      </c>
      <c r="I213" s="61" t="s">
        <v>1745</v>
      </c>
      <c r="J213" s="64">
        <v>15000</v>
      </c>
      <c r="K213" s="64" t="s">
        <v>167</v>
      </c>
      <c r="L213" s="64" t="s">
        <v>167</v>
      </c>
      <c r="M213" s="64" t="s">
        <v>167</v>
      </c>
      <c r="N213" s="64" t="s">
        <v>167</v>
      </c>
      <c r="O213" s="64" t="s">
        <v>167</v>
      </c>
      <c r="P213" s="64" t="s">
        <v>167</v>
      </c>
    </row>
    <row r="214" spans="1:16" ht="27.6">
      <c r="A214" s="16" t="s">
        <v>1413</v>
      </c>
      <c r="B214" s="61" t="s">
        <v>1746</v>
      </c>
      <c r="C214" s="61" t="s">
        <v>1747</v>
      </c>
      <c r="D214" s="61" t="s">
        <v>1446</v>
      </c>
      <c r="E214" s="62">
        <v>1</v>
      </c>
      <c r="F214" s="63"/>
      <c r="G214" s="61" t="s">
        <v>1446</v>
      </c>
      <c r="H214" s="61" t="s">
        <v>1441</v>
      </c>
      <c r="I214" s="61" t="s">
        <v>1655</v>
      </c>
      <c r="J214" s="64"/>
      <c r="K214" s="64">
        <v>73400</v>
      </c>
      <c r="L214" s="64" t="s">
        <v>167</v>
      </c>
      <c r="M214" s="64" t="s">
        <v>167</v>
      </c>
      <c r="N214" s="64" t="s">
        <v>167</v>
      </c>
      <c r="O214" s="64" t="s">
        <v>167</v>
      </c>
      <c r="P214" s="64" t="s">
        <v>167</v>
      </c>
    </row>
    <row r="215" spans="1:16">
      <c r="A215" s="16" t="s">
        <v>1413</v>
      </c>
      <c r="B215" s="61" t="s">
        <v>1746</v>
      </c>
      <c r="C215" s="61" t="s">
        <v>1747</v>
      </c>
      <c r="D215" s="61" t="s">
        <v>1508</v>
      </c>
      <c r="E215" s="62">
        <v>1</v>
      </c>
      <c r="F215" s="63"/>
      <c r="G215" s="61" t="s">
        <v>1438</v>
      </c>
      <c r="H215" s="61" t="s">
        <v>1441</v>
      </c>
      <c r="I215" s="61" t="s">
        <v>1748</v>
      </c>
      <c r="J215" s="64" t="s">
        <v>167</v>
      </c>
      <c r="K215" s="64" t="s">
        <v>167</v>
      </c>
      <c r="L215" s="64">
        <v>223000</v>
      </c>
      <c r="M215" s="64">
        <v>43300</v>
      </c>
      <c r="N215" s="64"/>
      <c r="O215" s="64" t="s">
        <v>167</v>
      </c>
      <c r="P215" s="64" t="s">
        <v>167</v>
      </c>
    </row>
    <row r="216" spans="1:16" ht="27.6">
      <c r="A216" s="16" t="s">
        <v>1413</v>
      </c>
      <c r="B216" s="61" t="s">
        <v>1746</v>
      </c>
      <c r="C216" s="61" t="s">
        <v>1747</v>
      </c>
      <c r="D216" s="61" t="s">
        <v>1532</v>
      </c>
      <c r="E216" s="62">
        <v>1</v>
      </c>
      <c r="F216" s="63"/>
      <c r="G216" s="61" t="s">
        <v>1602</v>
      </c>
      <c r="H216" s="61" t="s">
        <v>1441</v>
      </c>
      <c r="I216" s="61" t="s">
        <v>1628</v>
      </c>
      <c r="J216" s="64" t="s">
        <v>167</v>
      </c>
      <c r="K216" s="64">
        <v>186600</v>
      </c>
      <c r="L216" s="64" t="s">
        <v>167</v>
      </c>
      <c r="M216" s="64" t="s">
        <v>167</v>
      </c>
      <c r="N216" s="64" t="s">
        <v>167</v>
      </c>
      <c r="O216" s="64" t="s">
        <v>167</v>
      </c>
      <c r="P216" s="64" t="s">
        <v>167</v>
      </c>
    </row>
    <row r="217" spans="1:16" ht="27.6">
      <c r="A217" s="16" t="s">
        <v>1413</v>
      </c>
      <c r="B217" s="61" t="s">
        <v>254</v>
      </c>
      <c r="C217" s="61" t="s">
        <v>1749</v>
      </c>
      <c r="D217" s="61" t="s">
        <v>1438</v>
      </c>
      <c r="E217" s="62">
        <v>1</v>
      </c>
      <c r="F217" s="63"/>
      <c r="G217" s="61" t="s">
        <v>1438</v>
      </c>
      <c r="H217" s="61" t="s">
        <v>1441</v>
      </c>
      <c r="I217" s="61" t="s">
        <v>1750</v>
      </c>
      <c r="J217" s="64">
        <v>480000</v>
      </c>
      <c r="K217" s="64" t="s">
        <v>167</v>
      </c>
      <c r="L217" s="64" t="s">
        <v>167</v>
      </c>
      <c r="M217" s="64" t="s">
        <v>167</v>
      </c>
      <c r="N217" s="64" t="s">
        <v>167</v>
      </c>
      <c r="O217" s="64" t="s">
        <v>167</v>
      </c>
      <c r="P217" s="64" t="s">
        <v>167</v>
      </c>
    </row>
    <row r="218" spans="1:16">
      <c r="A218" s="16" t="s">
        <v>1413</v>
      </c>
      <c r="B218" s="61" t="s">
        <v>254</v>
      </c>
      <c r="C218" s="61" t="s">
        <v>1749</v>
      </c>
      <c r="D218" s="61" t="s">
        <v>1751</v>
      </c>
      <c r="E218" s="62">
        <v>1</v>
      </c>
      <c r="F218" s="63"/>
      <c r="G218" s="61" t="s">
        <v>1464</v>
      </c>
      <c r="H218" s="61" t="s">
        <v>1441</v>
      </c>
      <c r="I218" s="61" t="s">
        <v>1752</v>
      </c>
      <c r="J218" s="64"/>
      <c r="K218" s="64" t="s">
        <v>167</v>
      </c>
      <c r="L218" s="64" t="s">
        <v>167</v>
      </c>
      <c r="M218" s="64" t="s">
        <v>167</v>
      </c>
      <c r="N218" s="64" t="s">
        <v>167</v>
      </c>
      <c r="O218" s="64" t="s">
        <v>167</v>
      </c>
      <c r="P218" s="64" t="s">
        <v>167</v>
      </c>
    </row>
    <row r="219" spans="1:16" ht="179.45">
      <c r="A219" s="16" t="s">
        <v>1413</v>
      </c>
      <c r="B219" s="61" t="s">
        <v>254</v>
      </c>
      <c r="C219" s="61" t="s">
        <v>1749</v>
      </c>
      <c r="D219" s="61" t="s">
        <v>1753</v>
      </c>
      <c r="E219" s="62">
        <v>1</v>
      </c>
      <c r="F219" s="63"/>
      <c r="G219" s="61" t="s">
        <v>1464</v>
      </c>
      <c r="H219" s="61" t="s">
        <v>1441</v>
      </c>
      <c r="I219" s="61" t="s">
        <v>1754</v>
      </c>
      <c r="J219" s="64">
        <v>120000</v>
      </c>
      <c r="K219" s="64" t="s">
        <v>167</v>
      </c>
      <c r="L219" s="64" t="s">
        <v>167</v>
      </c>
      <c r="M219" s="64" t="s">
        <v>167</v>
      </c>
      <c r="N219" s="64" t="s">
        <v>167</v>
      </c>
      <c r="O219" s="64" t="s">
        <v>167</v>
      </c>
      <c r="P219" s="64" t="s">
        <v>167</v>
      </c>
    </row>
    <row r="220" spans="1:16">
      <c r="A220" s="16" t="s">
        <v>1413</v>
      </c>
      <c r="B220" s="61" t="s">
        <v>1755</v>
      </c>
      <c r="C220" s="61" t="s">
        <v>1756</v>
      </c>
      <c r="D220" s="61" t="s">
        <v>1454</v>
      </c>
      <c r="E220" s="62">
        <v>1</v>
      </c>
      <c r="F220" s="63"/>
      <c r="G220" s="61" t="s">
        <v>1455</v>
      </c>
      <c r="H220" s="61" t="s">
        <v>1441</v>
      </c>
      <c r="I220" s="61" t="s">
        <v>1757</v>
      </c>
      <c r="J220" s="64">
        <v>20000</v>
      </c>
      <c r="K220" s="64">
        <v>20000</v>
      </c>
      <c r="L220" s="64">
        <v>20000</v>
      </c>
      <c r="M220" s="64" t="s">
        <v>167</v>
      </c>
      <c r="N220" s="64" t="s">
        <v>167</v>
      </c>
      <c r="O220" s="64" t="s">
        <v>167</v>
      </c>
      <c r="P220" s="64" t="s">
        <v>167</v>
      </c>
    </row>
    <row r="221" spans="1:16" ht="41.45">
      <c r="A221" s="16" t="s">
        <v>1413</v>
      </c>
      <c r="B221" s="61" t="s">
        <v>1755</v>
      </c>
      <c r="C221" s="61" t="s">
        <v>1756</v>
      </c>
      <c r="D221" s="61" t="s">
        <v>1438</v>
      </c>
      <c r="E221" s="62">
        <v>1</v>
      </c>
      <c r="F221" s="63"/>
      <c r="G221" s="61" t="s">
        <v>1438</v>
      </c>
      <c r="H221" s="61" t="s">
        <v>1441</v>
      </c>
      <c r="I221" s="61" t="s">
        <v>1758</v>
      </c>
      <c r="J221" s="64">
        <v>638000</v>
      </c>
      <c r="K221" s="64" t="s">
        <v>167</v>
      </c>
      <c r="L221" s="64" t="s">
        <v>167</v>
      </c>
      <c r="M221" s="64" t="s">
        <v>167</v>
      </c>
      <c r="N221" s="64" t="s">
        <v>167</v>
      </c>
      <c r="O221" s="64" t="s">
        <v>167</v>
      </c>
      <c r="P221" s="64" t="s">
        <v>167</v>
      </c>
    </row>
    <row r="222" spans="1:16" ht="27.6">
      <c r="A222" s="16" t="s">
        <v>1413</v>
      </c>
      <c r="B222" s="61" t="s">
        <v>1755</v>
      </c>
      <c r="C222" s="61" t="s">
        <v>1756</v>
      </c>
      <c r="D222" s="61" t="s">
        <v>1759</v>
      </c>
      <c r="E222" s="62">
        <v>1</v>
      </c>
      <c r="F222" s="63"/>
      <c r="G222" s="61" t="s">
        <v>1464</v>
      </c>
      <c r="H222" s="61" t="s">
        <v>1441</v>
      </c>
      <c r="I222" s="61" t="s">
        <v>1760</v>
      </c>
      <c r="J222" s="64">
        <v>15000</v>
      </c>
      <c r="K222" s="64" t="s">
        <v>167</v>
      </c>
      <c r="L222" s="64" t="s">
        <v>167</v>
      </c>
      <c r="M222" s="64" t="s">
        <v>167</v>
      </c>
      <c r="N222" s="64" t="s">
        <v>167</v>
      </c>
      <c r="O222" s="64" t="s">
        <v>167</v>
      </c>
      <c r="P222" s="64" t="s">
        <v>167</v>
      </c>
    </row>
    <row r="223" spans="1:16" s="53" customFormat="1">
      <c r="B223" s="65"/>
      <c r="C223" s="65"/>
      <c r="D223" s="65"/>
      <c r="E223" s="66"/>
      <c r="F223" s="67"/>
      <c r="G223" s="65"/>
      <c r="H223" s="65"/>
      <c r="I223" s="65"/>
      <c r="J223" s="68"/>
      <c r="K223" s="68"/>
      <c r="L223" s="68"/>
      <c r="M223" s="68"/>
      <c r="N223" s="68"/>
      <c r="O223" s="68"/>
      <c r="P223" s="68"/>
    </row>
    <row r="224" spans="1:16" ht="27.6">
      <c r="A224" s="16" t="s">
        <v>158</v>
      </c>
      <c r="B224" s="61" t="s">
        <v>1761</v>
      </c>
      <c r="C224" s="61" t="s">
        <v>1762</v>
      </c>
      <c r="D224" s="61" t="s">
        <v>1532</v>
      </c>
      <c r="E224" s="62">
        <v>1</v>
      </c>
      <c r="F224" s="63"/>
      <c r="G224" s="61" t="s">
        <v>1455</v>
      </c>
      <c r="H224" s="61" t="s">
        <v>1441</v>
      </c>
      <c r="I224" s="61" t="s">
        <v>1516</v>
      </c>
      <c r="J224" s="64"/>
      <c r="K224" s="64">
        <v>17500</v>
      </c>
      <c r="L224" s="64"/>
      <c r="M224" s="64" t="s">
        <v>167</v>
      </c>
      <c r="N224" s="64" t="s">
        <v>167</v>
      </c>
      <c r="O224" s="64" t="s">
        <v>167</v>
      </c>
      <c r="P224" s="64" t="s">
        <v>167</v>
      </c>
    </row>
    <row r="225" spans="1:16" ht="27.6">
      <c r="A225" s="16" t="s">
        <v>158</v>
      </c>
      <c r="B225" s="61" t="s">
        <v>436</v>
      </c>
      <c r="C225" s="61" t="s">
        <v>1763</v>
      </c>
      <c r="D225" s="61" t="s">
        <v>1532</v>
      </c>
      <c r="E225" s="62">
        <v>1</v>
      </c>
      <c r="F225" s="63"/>
      <c r="G225" s="61" t="s">
        <v>1455</v>
      </c>
      <c r="H225" s="61" t="s">
        <v>1441</v>
      </c>
      <c r="I225" s="61" t="s">
        <v>1516</v>
      </c>
      <c r="J225" s="64"/>
      <c r="K225" s="64">
        <v>17500</v>
      </c>
      <c r="L225" s="64"/>
      <c r="M225" s="64" t="s">
        <v>167</v>
      </c>
      <c r="N225" s="64" t="s">
        <v>167</v>
      </c>
      <c r="O225" s="64" t="s">
        <v>167</v>
      </c>
      <c r="P225" s="64" t="s">
        <v>167</v>
      </c>
    </row>
    <row r="226" spans="1:16" ht="27.6">
      <c r="A226" s="16" t="s">
        <v>158</v>
      </c>
      <c r="B226" s="61" t="s">
        <v>331</v>
      </c>
      <c r="C226" s="61" t="s">
        <v>1764</v>
      </c>
      <c r="D226" s="61" t="s">
        <v>1438</v>
      </c>
      <c r="E226" s="62">
        <v>1</v>
      </c>
      <c r="F226" s="63"/>
      <c r="G226" s="61" t="s">
        <v>1438</v>
      </c>
      <c r="H226" s="61" t="s">
        <v>1441</v>
      </c>
      <c r="I226" s="61" t="s">
        <v>1765</v>
      </c>
      <c r="J226" s="64"/>
      <c r="K226" s="64" t="s">
        <v>167</v>
      </c>
      <c r="L226" s="64">
        <v>850000</v>
      </c>
      <c r="M226" s="64" t="s">
        <v>167</v>
      </c>
      <c r="N226" s="64" t="s">
        <v>167</v>
      </c>
      <c r="O226" s="64" t="s">
        <v>167</v>
      </c>
      <c r="P226" s="64" t="s">
        <v>167</v>
      </c>
    </row>
    <row r="227" spans="1:16" s="53" customFormat="1">
      <c r="B227" s="65"/>
      <c r="C227" s="65"/>
      <c r="D227" s="65"/>
      <c r="E227" s="66"/>
      <c r="F227" s="67"/>
      <c r="G227" s="65"/>
      <c r="H227" s="65"/>
      <c r="I227" s="65"/>
      <c r="J227" s="68"/>
      <c r="K227" s="68"/>
      <c r="L227" s="68"/>
      <c r="M227" s="68"/>
      <c r="N227" s="68"/>
      <c r="O227" s="68"/>
      <c r="P227" s="68"/>
    </row>
    <row r="228" spans="1:16">
      <c r="A228" s="16" t="s">
        <v>1414</v>
      </c>
      <c r="B228" s="61" t="s">
        <v>1766</v>
      </c>
      <c r="C228" s="61" t="s">
        <v>1767</v>
      </c>
      <c r="D228" s="61" t="s">
        <v>1446</v>
      </c>
      <c r="E228" s="62">
        <v>1</v>
      </c>
      <c r="F228" s="63"/>
      <c r="G228" s="61" t="s">
        <v>1446</v>
      </c>
      <c r="H228" s="61" t="s">
        <v>1441</v>
      </c>
      <c r="I228" s="61" t="s">
        <v>1535</v>
      </c>
      <c r="J228" s="64">
        <v>14000</v>
      </c>
      <c r="K228" s="64" t="s">
        <v>167</v>
      </c>
      <c r="L228" s="64" t="s">
        <v>167</v>
      </c>
      <c r="M228" s="64" t="s">
        <v>167</v>
      </c>
      <c r="N228" s="64" t="s">
        <v>167</v>
      </c>
      <c r="O228" s="64" t="s">
        <v>167</v>
      </c>
      <c r="P228" s="64" t="s">
        <v>167</v>
      </c>
    </row>
    <row r="229" spans="1:16">
      <c r="A229" s="16" t="s">
        <v>1414</v>
      </c>
      <c r="B229" s="61" t="s">
        <v>1766</v>
      </c>
      <c r="C229" s="61" t="s">
        <v>1767</v>
      </c>
      <c r="D229" s="61" t="s">
        <v>1438</v>
      </c>
      <c r="E229" s="62">
        <v>1</v>
      </c>
      <c r="F229" s="63"/>
      <c r="G229" s="61" t="s">
        <v>1438</v>
      </c>
      <c r="H229" s="61" t="s">
        <v>1441</v>
      </c>
      <c r="I229" s="61" t="s">
        <v>1535</v>
      </c>
      <c r="J229" s="64">
        <v>274500</v>
      </c>
      <c r="K229" s="64" t="s">
        <v>167</v>
      </c>
      <c r="L229" s="64" t="s">
        <v>167</v>
      </c>
      <c r="M229" s="64" t="s">
        <v>167</v>
      </c>
      <c r="N229" s="64" t="s">
        <v>167</v>
      </c>
      <c r="O229" s="64" t="s">
        <v>167</v>
      </c>
      <c r="P229" s="64" t="s">
        <v>167</v>
      </c>
    </row>
    <row r="230" spans="1:16" ht="27.6">
      <c r="A230" s="16" t="s">
        <v>1414</v>
      </c>
      <c r="B230" s="61" t="s">
        <v>1766</v>
      </c>
      <c r="C230" s="61" t="s">
        <v>1767</v>
      </c>
      <c r="D230" s="61" t="s">
        <v>1768</v>
      </c>
      <c r="E230" s="62">
        <v>1</v>
      </c>
      <c r="F230" s="63"/>
      <c r="G230" s="61" t="s">
        <v>1460</v>
      </c>
      <c r="H230" s="61" t="s">
        <v>1441</v>
      </c>
      <c r="I230" s="61" t="s">
        <v>1769</v>
      </c>
      <c r="J230" s="64">
        <v>410000</v>
      </c>
      <c r="K230" s="64" t="s">
        <v>167</v>
      </c>
      <c r="L230" s="64" t="s">
        <v>167</v>
      </c>
      <c r="M230" s="64" t="s">
        <v>167</v>
      </c>
      <c r="N230" s="64" t="s">
        <v>167</v>
      </c>
      <c r="O230" s="64" t="s">
        <v>167</v>
      </c>
      <c r="P230" s="64" t="s">
        <v>167</v>
      </c>
    </row>
    <row r="231" spans="1:16" ht="27.6">
      <c r="A231" s="16" t="s">
        <v>1414</v>
      </c>
      <c r="B231" s="61" t="s">
        <v>1770</v>
      </c>
      <c r="C231" s="61" t="s">
        <v>1771</v>
      </c>
      <c r="D231" s="61" t="s">
        <v>1454</v>
      </c>
      <c r="E231" s="62">
        <v>1</v>
      </c>
      <c r="F231" s="63"/>
      <c r="G231" s="61" t="s">
        <v>1455</v>
      </c>
      <c r="H231" s="61" t="s">
        <v>1441</v>
      </c>
      <c r="I231" s="61" t="s">
        <v>1772</v>
      </c>
      <c r="J231" s="64">
        <v>40000</v>
      </c>
      <c r="K231" s="64" t="s">
        <v>167</v>
      </c>
      <c r="L231" s="64" t="s">
        <v>167</v>
      </c>
      <c r="M231" s="64" t="s">
        <v>167</v>
      </c>
      <c r="N231" s="64" t="s">
        <v>167</v>
      </c>
      <c r="O231" s="64" t="s">
        <v>167</v>
      </c>
      <c r="P231" s="64" t="s">
        <v>167</v>
      </c>
    </row>
    <row r="232" spans="1:16">
      <c r="A232" s="16" t="s">
        <v>1414</v>
      </c>
      <c r="B232" s="61" t="s">
        <v>1770</v>
      </c>
      <c r="C232" s="61" t="s">
        <v>1771</v>
      </c>
      <c r="D232" s="61" t="s">
        <v>1504</v>
      </c>
      <c r="E232" s="62">
        <v>1</v>
      </c>
      <c r="F232" s="63"/>
      <c r="G232" s="61" t="s">
        <v>1464</v>
      </c>
      <c r="H232" s="61" t="s">
        <v>1441</v>
      </c>
      <c r="I232" s="61" t="s">
        <v>1773</v>
      </c>
      <c r="J232" s="64" t="s">
        <v>167</v>
      </c>
      <c r="K232" s="64" t="s">
        <v>167</v>
      </c>
      <c r="L232" s="64" t="s">
        <v>167</v>
      </c>
      <c r="M232" s="64">
        <v>25000</v>
      </c>
      <c r="N232" s="64" t="s">
        <v>167</v>
      </c>
      <c r="O232" s="64" t="s">
        <v>167</v>
      </c>
      <c r="P232" s="64" t="s">
        <v>167</v>
      </c>
    </row>
    <row r="233" spans="1:16">
      <c r="A233" s="16" t="s">
        <v>1414</v>
      </c>
      <c r="B233" s="61" t="s">
        <v>246</v>
      </c>
      <c r="C233" s="61" t="s">
        <v>243</v>
      </c>
      <c r="D233" s="61" t="s">
        <v>1446</v>
      </c>
      <c r="E233" s="62">
        <v>1</v>
      </c>
      <c r="F233" s="63"/>
      <c r="G233" s="61" t="s">
        <v>1446</v>
      </c>
      <c r="H233" s="61" t="s">
        <v>1441</v>
      </c>
      <c r="I233" s="61" t="s">
        <v>1774</v>
      </c>
      <c r="J233" s="64" t="s">
        <v>167</v>
      </c>
      <c r="K233" s="64" t="s">
        <v>167</v>
      </c>
      <c r="L233" s="64" t="s">
        <v>167</v>
      </c>
      <c r="M233" s="64">
        <v>14000</v>
      </c>
      <c r="N233" s="64" t="s">
        <v>167</v>
      </c>
      <c r="O233" s="64" t="s">
        <v>167</v>
      </c>
      <c r="P233" s="64" t="s">
        <v>167</v>
      </c>
    </row>
    <row r="234" spans="1:16">
      <c r="A234" s="16" t="s">
        <v>1414</v>
      </c>
      <c r="B234" s="61" t="s">
        <v>246</v>
      </c>
      <c r="C234" s="61" t="s">
        <v>243</v>
      </c>
      <c r="D234" s="61" t="s">
        <v>1508</v>
      </c>
      <c r="E234" s="62">
        <v>1</v>
      </c>
      <c r="F234" s="63"/>
      <c r="G234" s="61" t="s">
        <v>1438</v>
      </c>
      <c r="H234" s="61" t="s">
        <v>1441</v>
      </c>
      <c r="I234" s="61" t="s">
        <v>1604</v>
      </c>
      <c r="J234" s="64" t="s">
        <v>167</v>
      </c>
      <c r="K234" s="64">
        <v>165000</v>
      </c>
      <c r="L234" s="64" t="s">
        <v>167</v>
      </c>
      <c r="M234" s="64" t="s">
        <v>167</v>
      </c>
      <c r="N234" s="64" t="s">
        <v>167</v>
      </c>
      <c r="O234" s="64" t="s">
        <v>167</v>
      </c>
      <c r="P234" s="64" t="s">
        <v>167</v>
      </c>
    </row>
    <row r="235" spans="1:16">
      <c r="A235" s="16" t="s">
        <v>1414</v>
      </c>
      <c r="B235" s="61" t="s">
        <v>605</v>
      </c>
      <c r="C235" s="61" t="s">
        <v>1775</v>
      </c>
      <c r="D235" s="61" t="s">
        <v>1776</v>
      </c>
      <c r="E235" s="62">
        <v>1</v>
      </c>
      <c r="F235" s="63"/>
      <c r="G235" s="61" t="s">
        <v>1455</v>
      </c>
      <c r="H235" s="61" t="s">
        <v>1441</v>
      </c>
      <c r="I235" s="61" t="s">
        <v>1535</v>
      </c>
      <c r="J235" s="64">
        <v>10000</v>
      </c>
      <c r="K235" s="64" t="s">
        <v>167</v>
      </c>
      <c r="L235" s="64" t="s">
        <v>167</v>
      </c>
      <c r="M235" s="64" t="s">
        <v>167</v>
      </c>
      <c r="N235" s="64" t="s">
        <v>167</v>
      </c>
      <c r="O235" s="64" t="s">
        <v>167</v>
      </c>
      <c r="P235" s="64" t="s">
        <v>167</v>
      </c>
    </row>
    <row r="236" spans="1:16">
      <c r="A236" s="16" t="s">
        <v>1414</v>
      </c>
      <c r="B236" s="61" t="s">
        <v>656</v>
      </c>
      <c r="C236" s="61" t="s">
        <v>1777</v>
      </c>
      <c r="D236" s="61" t="s">
        <v>1446</v>
      </c>
      <c r="E236" s="62">
        <v>1</v>
      </c>
      <c r="F236" s="63"/>
      <c r="G236" s="61" t="s">
        <v>1446</v>
      </c>
      <c r="H236" s="61" t="s">
        <v>1441</v>
      </c>
      <c r="I236" s="61" t="s">
        <v>1535</v>
      </c>
      <c r="J236" s="64"/>
      <c r="K236" s="64"/>
      <c r="L236" s="64"/>
      <c r="M236" s="64"/>
      <c r="N236" s="64"/>
      <c r="O236" s="64" t="s">
        <v>167</v>
      </c>
      <c r="P236" s="64" t="s">
        <v>167</v>
      </c>
    </row>
    <row r="237" spans="1:16">
      <c r="A237" s="16" t="s">
        <v>1414</v>
      </c>
      <c r="B237" s="61" t="s">
        <v>355</v>
      </c>
      <c r="C237" s="61" t="s">
        <v>353</v>
      </c>
      <c r="D237" s="61" t="s">
        <v>1445</v>
      </c>
      <c r="E237" s="62">
        <v>1</v>
      </c>
      <c r="F237" s="63"/>
      <c r="G237" s="61" t="s">
        <v>1446</v>
      </c>
      <c r="H237" s="61" t="s">
        <v>1441</v>
      </c>
      <c r="I237" s="61" t="s">
        <v>1570</v>
      </c>
      <c r="J237" s="64">
        <v>34500</v>
      </c>
      <c r="K237" s="64"/>
      <c r="L237" s="64">
        <v>17500</v>
      </c>
      <c r="M237" s="64" t="s">
        <v>167</v>
      </c>
      <c r="N237" s="64" t="s">
        <v>167</v>
      </c>
      <c r="O237" s="64" t="s">
        <v>167</v>
      </c>
      <c r="P237" s="64" t="s">
        <v>167</v>
      </c>
    </row>
    <row r="238" spans="1:16">
      <c r="A238" s="16" t="s">
        <v>1414</v>
      </c>
      <c r="B238" s="61" t="s">
        <v>355</v>
      </c>
      <c r="C238" s="61" t="s">
        <v>353</v>
      </c>
      <c r="D238" s="61" t="s">
        <v>1454</v>
      </c>
      <c r="E238" s="62">
        <v>1</v>
      </c>
      <c r="F238" s="63"/>
      <c r="G238" s="61" t="s">
        <v>1455</v>
      </c>
      <c r="H238" s="61" t="s">
        <v>1441</v>
      </c>
      <c r="I238" s="61" t="s">
        <v>1570</v>
      </c>
      <c r="J238" s="64">
        <v>90000</v>
      </c>
      <c r="K238" s="64" t="s">
        <v>167</v>
      </c>
      <c r="L238" s="64" t="s">
        <v>167</v>
      </c>
      <c r="M238" s="64" t="s">
        <v>167</v>
      </c>
      <c r="N238" s="64" t="s">
        <v>167</v>
      </c>
      <c r="O238" s="64" t="s">
        <v>167</v>
      </c>
      <c r="P238" s="64" t="s">
        <v>167</v>
      </c>
    </row>
    <row r="239" spans="1:16" ht="41.45">
      <c r="A239" s="16" t="s">
        <v>1414</v>
      </c>
      <c r="B239" s="61" t="s">
        <v>602</v>
      </c>
      <c r="C239" s="61" t="s">
        <v>1778</v>
      </c>
      <c r="D239" s="61" t="s">
        <v>1438</v>
      </c>
      <c r="E239" s="62">
        <v>1</v>
      </c>
      <c r="F239" s="63"/>
      <c r="G239" s="61" t="s">
        <v>1438</v>
      </c>
      <c r="H239" s="61" t="s">
        <v>1441</v>
      </c>
      <c r="I239" s="61" t="s">
        <v>1779</v>
      </c>
      <c r="J239" s="64" t="s">
        <v>167</v>
      </c>
      <c r="K239" s="64" t="s">
        <v>167</v>
      </c>
      <c r="L239" s="64">
        <v>137000</v>
      </c>
      <c r="M239" s="64" t="s">
        <v>167</v>
      </c>
      <c r="N239" s="64" t="s">
        <v>167</v>
      </c>
      <c r="O239" s="64" t="s">
        <v>167</v>
      </c>
      <c r="P239" s="64" t="s">
        <v>167</v>
      </c>
    </row>
    <row r="240" spans="1:16">
      <c r="A240" s="16" t="s">
        <v>1414</v>
      </c>
      <c r="B240" s="61" t="s">
        <v>1780</v>
      </c>
      <c r="C240" s="61" t="s">
        <v>1781</v>
      </c>
      <c r="D240" s="61" t="s">
        <v>1446</v>
      </c>
      <c r="E240" s="62">
        <v>1</v>
      </c>
      <c r="F240" s="63"/>
      <c r="G240" s="61" t="s">
        <v>1446</v>
      </c>
      <c r="H240" s="61" t="s">
        <v>1441</v>
      </c>
      <c r="I240" s="61" t="s">
        <v>1516</v>
      </c>
      <c r="J240" s="64"/>
      <c r="K240" s="64" t="s">
        <v>167</v>
      </c>
      <c r="L240" s="64" t="s">
        <v>167</v>
      </c>
      <c r="M240" s="64" t="s">
        <v>167</v>
      </c>
      <c r="N240" s="64" t="s">
        <v>167</v>
      </c>
      <c r="O240" s="64" t="s">
        <v>167</v>
      </c>
      <c r="P240" s="64" t="s">
        <v>167</v>
      </c>
    </row>
    <row r="241" spans="1:19" ht="41.45">
      <c r="A241" s="16" t="s">
        <v>1414</v>
      </c>
      <c r="B241" s="61" t="s">
        <v>1780</v>
      </c>
      <c r="C241" s="61" t="s">
        <v>1781</v>
      </c>
      <c r="D241" s="61" t="s">
        <v>1438</v>
      </c>
      <c r="E241" s="62">
        <v>1</v>
      </c>
      <c r="F241" s="63"/>
      <c r="G241" s="61" t="s">
        <v>1438</v>
      </c>
      <c r="H241" s="61" t="s">
        <v>1441</v>
      </c>
      <c r="I241" s="61" t="s">
        <v>1782</v>
      </c>
      <c r="J241" s="64" t="s">
        <v>167</v>
      </c>
      <c r="K241" s="64">
        <v>580420</v>
      </c>
      <c r="L241" s="64" t="s">
        <v>167</v>
      </c>
      <c r="M241" s="64" t="s">
        <v>167</v>
      </c>
      <c r="N241" s="64">
        <v>580420</v>
      </c>
      <c r="O241" s="64" t="s">
        <v>167</v>
      </c>
      <c r="P241" s="64" t="s">
        <v>167</v>
      </c>
    </row>
    <row r="242" spans="1:19">
      <c r="A242" s="16" t="s">
        <v>1414</v>
      </c>
      <c r="B242" s="61" t="s">
        <v>1783</v>
      </c>
      <c r="C242" s="61" t="s">
        <v>1784</v>
      </c>
      <c r="D242" s="61" t="s">
        <v>1468</v>
      </c>
      <c r="E242" s="62">
        <v>1</v>
      </c>
      <c r="F242" s="63"/>
      <c r="G242" s="61" t="s">
        <v>1464</v>
      </c>
      <c r="H242" s="61" t="s">
        <v>1441</v>
      </c>
      <c r="I242" s="61" t="s">
        <v>1785</v>
      </c>
      <c r="J242" s="64">
        <v>13000</v>
      </c>
      <c r="K242" s="64">
        <v>13000</v>
      </c>
      <c r="L242" s="64" t="s">
        <v>167</v>
      </c>
      <c r="M242" s="64" t="s">
        <v>167</v>
      </c>
      <c r="N242" s="64" t="s">
        <v>167</v>
      </c>
      <c r="O242" s="64" t="s">
        <v>167</v>
      </c>
      <c r="P242" s="64" t="s">
        <v>167</v>
      </c>
    </row>
    <row r="243" spans="1:19">
      <c r="A243" s="16" t="s">
        <v>1414</v>
      </c>
      <c r="B243" s="61" t="s">
        <v>1786</v>
      </c>
      <c r="C243" s="61" t="s">
        <v>1787</v>
      </c>
      <c r="D243" s="61" t="s">
        <v>1438</v>
      </c>
      <c r="E243" s="62">
        <v>1</v>
      </c>
      <c r="F243" s="63"/>
      <c r="G243" s="61" t="s">
        <v>1438</v>
      </c>
      <c r="H243" s="61" t="s">
        <v>1441</v>
      </c>
      <c r="I243" s="61" t="s">
        <v>1516</v>
      </c>
      <c r="J243" s="64" t="s">
        <v>167</v>
      </c>
      <c r="K243" s="64" t="s">
        <v>167</v>
      </c>
      <c r="L243" s="64">
        <v>113750</v>
      </c>
      <c r="M243" s="64" t="s">
        <v>167</v>
      </c>
      <c r="N243" s="64" t="s">
        <v>167</v>
      </c>
      <c r="O243" s="64" t="s">
        <v>167</v>
      </c>
      <c r="P243" s="64" t="s">
        <v>167</v>
      </c>
    </row>
    <row r="244" spans="1:19">
      <c r="A244" s="16" t="s">
        <v>1414</v>
      </c>
      <c r="B244" s="61" t="s">
        <v>1786</v>
      </c>
      <c r="C244" s="61" t="s">
        <v>1787</v>
      </c>
      <c r="D244" s="61" t="s">
        <v>1468</v>
      </c>
      <c r="E244" s="62">
        <v>1</v>
      </c>
      <c r="F244" s="63"/>
      <c r="G244" s="61" t="s">
        <v>1464</v>
      </c>
      <c r="H244" s="61" t="s">
        <v>1441</v>
      </c>
      <c r="I244" s="61" t="s">
        <v>1788</v>
      </c>
      <c r="J244" s="64">
        <v>12000</v>
      </c>
      <c r="K244" s="64" t="s">
        <v>167</v>
      </c>
      <c r="L244" s="64">
        <v>12000</v>
      </c>
      <c r="M244" s="64" t="s">
        <v>167</v>
      </c>
      <c r="N244" s="64" t="s">
        <v>167</v>
      </c>
      <c r="O244" s="64" t="s">
        <v>167</v>
      </c>
      <c r="P244" s="64" t="s">
        <v>167</v>
      </c>
    </row>
    <row r="245" spans="1:19">
      <c r="A245" s="16" t="s">
        <v>1414</v>
      </c>
      <c r="B245" s="61" t="s">
        <v>389</v>
      </c>
      <c r="C245" s="61" t="s">
        <v>1789</v>
      </c>
      <c r="D245" s="61" t="s">
        <v>1473</v>
      </c>
      <c r="E245" s="62">
        <v>3</v>
      </c>
      <c r="F245" s="63"/>
      <c r="G245" s="61" t="s">
        <v>1455</v>
      </c>
      <c r="H245" s="61" t="s">
        <v>1441</v>
      </c>
      <c r="I245" s="61" t="s">
        <v>1790</v>
      </c>
      <c r="J245" s="64">
        <v>15000</v>
      </c>
      <c r="K245" s="64" t="s">
        <v>167</v>
      </c>
      <c r="L245" s="64" t="s">
        <v>167</v>
      </c>
      <c r="M245" s="64" t="s">
        <v>167</v>
      </c>
      <c r="N245" s="64" t="s">
        <v>167</v>
      </c>
      <c r="O245" s="64" t="s">
        <v>167</v>
      </c>
      <c r="P245" s="64" t="s">
        <v>167</v>
      </c>
    </row>
    <row r="246" spans="1:19">
      <c r="A246" s="16" t="s">
        <v>1414</v>
      </c>
      <c r="B246" s="61" t="s">
        <v>389</v>
      </c>
      <c r="C246" s="61" t="s">
        <v>1789</v>
      </c>
      <c r="D246" s="61" t="s">
        <v>1438</v>
      </c>
      <c r="E246" s="62">
        <v>3</v>
      </c>
      <c r="F246" s="63"/>
      <c r="G246" s="61" t="s">
        <v>1438</v>
      </c>
      <c r="H246" s="61" t="s">
        <v>1441</v>
      </c>
      <c r="I246" s="61" t="s">
        <v>1724</v>
      </c>
      <c r="J246" s="64" t="s">
        <v>167</v>
      </c>
      <c r="K246" s="64" t="s">
        <v>167</v>
      </c>
      <c r="L246" s="64" t="s">
        <v>167</v>
      </c>
      <c r="M246" s="64" t="s">
        <v>167</v>
      </c>
      <c r="N246" s="64">
        <v>282000</v>
      </c>
      <c r="O246" s="64" t="s">
        <v>167</v>
      </c>
      <c r="P246" s="64" t="s">
        <v>167</v>
      </c>
    </row>
    <row r="248" spans="1:19">
      <c r="I248" s="65" t="s">
        <v>1415</v>
      </c>
      <c r="J248" s="69">
        <f t="shared" ref="J248:P248" si="0">SUM(J2:J247)</f>
        <v>9248269</v>
      </c>
      <c r="K248" s="69">
        <f t="shared" si="0"/>
        <v>5890379</v>
      </c>
      <c r="L248" s="69">
        <f t="shared" si="0"/>
        <v>5954356</v>
      </c>
      <c r="M248" s="69">
        <f t="shared" si="0"/>
        <v>2449765</v>
      </c>
      <c r="N248" s="69">
        <f t="shared" si="0"/>
        <v>2373927</v>
      </c>
      <c r="O248" s="69">
        <f t="shared" si="0"/>
        <v>0</v>
      </c>
      <c r="P248" s="69">
        <f t="shared" si="0"/>
        <v>342000</v>
      </c>
      <c r="Q248" s="24"/>
      <c r="S248" s="24"/>
    </row>
    <row r="250" spans="1:19">
      <c r="I250" s="70" t="s">
        <v>1791</v>
      </c>
      <c r="J250" s="71">
        <f>J248+K248+L248+M248+N248+O248+P248</f>
        <v>26258696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545C8-E4C3-4ADB-8DBC-19A97F6F0FBC}">
  <sheetPr filterMode="1">
    <tabColor theme="9" tint="0.39997558519241921"/>
  </sheetPr>
  <dimension ref="A1:N157"/>
  <sheetViews>
    <sheetView showGridLines="0" topLeftCell="A35" zoomScale="117" zoomScaleNormal="130" workbookViewId="0">
      <selection activeCell="J59" sqref="J59"/>
    </sheetView>
  </sheetViews>
  <sheetFormatPr defaultColWidth="9" defaultRowHeight="12"/>
  <cols>
    <col min="1" max="1" width="17.5" style="128" bestFit="1" customWidth="1"/>
    <col min="2" max="3" width="9.125" style="128" bestFit="1" customWidth="1"/>
    <col min="4" max="4" width="11.5" style="128" bestFit="1" customWidth="1"/>
    <col min="5" max="5" width="9.125" style="128" bestFit="1" customWidth="1"/>
    <col min="6" max="6" width="10.375" style="128" bestFit="1" customWidth="1"/>
    <col min="7" max="8" width="9.125" style="128" bestFit="1" customWidth="1"/>
    <col min="9" max="9" width="14.625" style="128" bestFit="1" customWidth="1"/>
    <col min="10" max="10" width="10.625" style="128" bestFit="1" customWidth="1"/>
    <col min="11" max="11" width="11.375" style="128" bestFit="1" customWidth="1"/>
    <col min="12" max="12" width="14.5" style="128" bestFit="1" customWidth="1"/>
    <col min="13" max="13" width="18.125" style="128" bestFit="1" customWidth="1"/>
    <col min="14" max="14" width="9.375" style="128" customWidth="1"/>
    <col min="15" max="16384" width="9" style="128"/>
  </cols>
  <sheetData>
    <row r="1" spans="1:14">
      <c r="A1" s="127" t="s">
        <v>40</v>
      </c>
    </row>
    <row r="2" spans="1:14" ht="36">
      <c r="A2" s="125" t="s">
        <v>41</v>
      </c>
      <c r="B2" s="126" t="s">
        <v>42</v>
      </c>
      <c r="C2" s="126" t="s">
        <v>43</v>
      </c>
      <c r="D2" s="126" t="s">
        <v>44</v>
      </c>
      <c r="E2" s="126" t="s">
        <v>45</v>
      </c>
      <c r="F2" s="126" t="s">
        <v>46</v>
      </c>
      <c r="G2" s="126" t="s">
        <v>47</v>
      </c>
      <c r="H2" s="126" t="s">
        <v>48</v>
      </c>
      <c r="I2" s="126" t="s">
        <v>49</v>
      </c>
      <c r="J2" s="126" t="s">
        <v>50</v>
      </c>
      <c r="K2" s="126" t="s">
        <v>51</v>
      </c>
      <c r="N2" s="159"/>
    </row>
    <row r="3" spans="1:14">
      <c r="A3" s="128" t="str">
        <f>'DATA consolidated-leasing'!F224</f>
        <v>Atlanta</v>
      </c>
      <c r="B3" s="129">
        <f>'DATA consolidated-leasing'!H224</f>
        <v>36</v>
      </c>
      <c r="C3" s="130">
        <f>'DATA consolidated-leasing'!I224</f>
        <v>5.6458151410931157</v>
      </c>
      <c r="D3" s="131">
        <f>'DATA consolidated-leasing'!J224</f>
        <v>932174</v>
      </c>
      <c r="E3" s="130">
        <f>'DATA consolidated-leasing'!N224</f>
        <v>6.1953583074778908</v>
      </c>
      <c r="F3" s="130">
        <f>'DATA consolidated-leasing'!O224</f>
        <v>7.0700147504650408</v>
      </c>
      <c r="G3" s="130">
        <f>'DATA consolidated-leasing'!Q224</f>
        <v>7.5535865514378218</v>
      </c>
      <c r="H3" s="130">
        <f>'DATA consolidated-leasing'!R224</f>
        <v>3.9680456652942477</v>
      </c>
      <c r="I3" s="130">
        <f>'DATA consolidated-leasing'!S224</f>
        <v>3.2478386545859466</v>
      </c>
      <c r="J3" s="132">
        <f>'DATA consolidated-leasing'!X224</f>
        <v>0.20714735490371705</v>
      </c>
      <c r="K3" s="132">
        <f>'DATA consolidated-leasing'!Z224</f>
        <v>6.839756606462144E-2</v>
      </c>
      <c r="N3" s="162"/>
    </row>
    <row r="4" spans="1:14">
      <c r="A4" s="128" t="str">
        <f>'DATA consolidated-leasing'!F225</f>
        <v>Baltimore/DC</v>
      </c>
      <c r="B4" s="129">
        <f>'DATA consolidated-leasing'!H225</f>
        <v>9</v>
      </c>
      <c r="C4" s="130">
        <f>'DATA consolidated-leasing'!I225</f>
        <v>5.7134467248045055</v>
      </c>
      <c r="D4" s="131">
        <f>'DATA consolidated-leasing'!J225</f>
        <v>102859</v>
      </c>
      <c r="E4" s="130">
        <f>'DATA consolidated-leasing'!N225</f>
        <v>8.8393177504573988</v>
      </c>
      <c r="F4" s="130">
        <f>'DATA consolidated-leasing'!O225</f>
        <v>10.570096549645632</v>
      </c>
      <c r="G4" s="130">
        <f>'DATA consolidated-leasing'!Q225</f>
        <v>10.938760827929496</v>
      </c>
      <c r="H4" s="130">
        <f>'DATA consolidated-leasing'!R225</f>
        <v>3.6837175162115128</v>
      </c>
      <c r="I4" s="130">
        <f>'DATA consolidated-leasing'!S225</f>
        <v>4</v>
      </c>
      <c r="J4" s="132">
        <f>'DATA consolidated-leasing'!X225</f>
        <v>0.31662005414761518</v>
      </c>
      <c r="K4" s="132">
        <f>'DATA consolidated-leasing'!Z225</f>
        <v>3.4878042651012908E-2</v>
      </c>
      <c r="N4" s="162"/>
    </row>
    <row r="5" spans="1:14">
      <c r="A5" s="128" t="str">
        <f>'DATA consolidated-leasing'!F226</f>
        <v>Charlotte</v>
      </c>
      <c r="B5" s="129">
        <f>'DATA consolidated-leasing'!H226</f>
        <v>2</v>
      </c>
      <c r="C5" s="130">
        <f>'DATA consolidated-leasing'!I226</f>
        <v>3.460306977075462</v>
      </c>
      <c r="D5" s="131">
        <f>'DATA consolidated-leasing'!J226</f>
        <v>102961</v>
      </c>
      <c r="E5" s="130">
        <f>'DATA consolidated-leasing'!N226</f>
        <v>6.7581612455201485</v>
      </c>
      <c r="F5" s="130">
        <f>'DATA consolidated-leasing'!O226</f>
        <v>9.0426625615524312</v>
      </c>
      <c r="G5" s="130">
        <f>'DATA consolidated-leasing'!Q226</f>
        <v>10.47477200104894</v>
      </c>
      <c r="H5" s="130">
        <f>'DATA consolidated-leasing'!R226</f>
        <v>3.7769932304464797</v>
      </c>
      <c r="I5" s="130">
        <f>'DATA consolidated-leasing'!S226</f>
        <v>4</v>
      </c>
      <c r="J5" s="132">
        <f>'DATA consolidated-leasing'!X226</f>
        <v>0.54994407805709877</v>
      </c>
      <c r="K5" s="132">
        <f>'DATA consolidated-leasing'!Z226</f>
        <v>0.15837254013939961</v>
      </c>
      <c r="N5" s="162"/>
    </row>
    <row r="6" spans="1:14">
      <c r="A6" s="128" t="str">
        <f>'DATA consolidated-leasing'!F227</f>
        <v>Chicago</v>
      </c>
      <c r="B6" s="129">
        <f>'DATA consolidated-leasing'!H227</f>
        <v>33</v>
      </c>
      <c r="C6" s="130">
        <f>'DATA consolidated-leasing'!I227</f>
        <v>4.5195010991855034</v>
      </c>
      <c r="D6" s="131">
        <f>'DATA consolidated-leasing'!J227</f>
        <v>891266</v>
      </c>
      <c r="E6" s="130">
        <f>'DATA consolidated-leasing'!N227</f>
        <v>6.2471508659487629</v>
      </c>
      <c r="F6" s="130">
        <f>'DATA consolidated-leasing'!O227</f>
        <v>6.6142039637998096</v>
      </c>
      <c r="G6" s="130">
        <f>'DATA consolidated-leasing'!Q227</f>
        <v>7.3060652925164886</v>
      </c>
      <c r="H6" s="130">
        <f>'DATA consolidated-leasing'!R227</f>
        <v>3.3483387675508771</v>
      </c>
      <c r="I6" s="130">
        <f>'DATA consolidated-leasing'!S227</f>
        <v>2.6751833908171072</v>
      </c>
      <c r="J6" s="132">
        <f>'DATA consolidated-leasing'!X227</f>
        <v>0.15844469778558867</v>
      </c>
      <c r="K6" s="132">
        <f>'DATA consolidated-leasing'!Z227</f>
        <v>0.10460235766893566</v>
      </c>
      <c r="N6" s="162"/>
    </row>
    <row r="7" spans="1:14">
      <c r="A7" s="128" t="str">
        <f>'DATA consolidated-leasing'!F228</f>
        <v>Cincinnati</v>
      </c>
      <c r="B7" s="129">
        <f>'DATA consolidated-leasing'!H228</f>
        <v>7</v>
      </c>
      <c r="C7" s="130">
        <f>'DATA consolidated-leasing'!I228</f>
        <v>4.2459407759161367</v>
      </c>
      <c r="D7" s="131">
        <f>'DATA consolidated-leasing'!J228</f>
        <v>558050</v>
      </c>
      <c r="E7" s="130">
        <f>'DATA consolidated-leasing'!N228</f>
        <v>4.0541443169541038</v>
      </c>
      <c r="F7" s="130">
        <f>'DATA consolidated-leasing'!O228</f>
        <v>3.6429128572708538</v>
      </c>
      <c r="G7" s="130">
        <f>'DATA consolidated-leasing'!Q228</f>
        <v>4.1773568318251053</v>
      </c>
      <c r="H7" s="130">
        <f>'DATA consolidated-leasing'!R228</f>
        <v>3.6434075799659529</v>
      </c>
      <c r="I7" s="130">
        <f>'DATA consolidated-leasing'!S228</f>
        <v>3.1051670997222471</v>
      </c>
      <c r="J7" s="132">
        <f>'DATA consolidated-leasing'!X228</f>
        <v>0.11403603905961268</v>
      </c>
      <c r="K7" s="132">
        <f>'DATA consolidated-leasing'!Z228</f>
        <v>0.14670786688942061</v>
      </c>
      <c r="N7" s="162"/>
    </row>
    <row r="8" spans="1:14">
      <c r="A8" s="128" t="str">
        <f>'DATA consolidated-leasing'!F229</f>
        <v>Columbus</v>
      </c>
      <c r="B8" s="129">
        <f>'DATA consolidated-leasing'!H229</f>
        <v>11</v>
      </c>
      <c r="C8" s="130">
        <f>'DATA consolidated-leasing'!I229</f>
        <v>3.5576283165521314</v>
      </c>
      <c r="D8" s="131">
        <f>'DATA consolidated-leasing'!J229</f>
        <v>185823</v>
      </c>
      <c r="E8" s="130">
        <f>'DATA consolidated-leasing'!N229</f>
        <v>4.773772084187641</v>
      </c>
      <c r="F8" s="130">
        <f>'DATA consolidated-leasing'!O229</f>
        <v>5.5846012065244883</v>
      </c>
      <c r="G8" s="130">
        <f>'DATA consolidated-leasing'!Q229</f>
        <v>7.5256991868606145</v>
      </c>
      <c r="H8" s="130">
        <f>'DATA consolidated-leasing'!R229</f>
        <v>2.0916705682289058</v>
      </c>
      <c r="I8" s="130">
        <f>'DATA consolidated-leasing'!S229</f>
        <v>2.9841435129128255</v>
      </c>
      <c r="J8" s="132">
        <f>'DATA consolidated-leasing'!X229</f>
        <v>0.57646805380346766</v>
      </c>
      <c r="K8" s="132">
        <f>'DATA consolidated-leasing'!Z229</f>
        <v>0.34758041058837685</v>
      </c>
      <c r="N8" s="162"/>
    </row>
    <row r="9" spans="1:14">
      <c r="A9" s="128" t="str">
        <f>'DATA consolidated-leasing'!F230</f>
        <v>Dallas</v>
      </c>
      <c r="B9" s="129">
        <f>'DATA consolidated-leasing'!H230</f>
        <v>24</v>
      </c>
      <c r="C9" s="130">
        <f>'DATA consolidated-leasing'!I230</f>
        <v>5.7597923907978164</v>
      </c>
      <c r="D9" s="131">
        <f>'DATA consolidated-leasing'!J230</f>
        <v>779670</v>
      </c>
      <c r="E9" s="130">
        <f>'DATA consolidated-leasing'!N230</f>
        <v>4.3657175840582054</v>
      </c>
      <c r="F9" s="130">
        <f>'DATA consolidated-leasing'!O230</f>
        <v>5.3285618530916921</v>
      </c>
      <c r="G9" s="130">
        <f>'DATA consolidated-leasing'!Q230</f>
        <v>6.0963076686290343</v>
      </c>
      <c r="H9" s="130">
        <f>'DATA consolidated-leasing'!R230</f>
        <v>3.3364564110456989</v>
      </c>
      <c r="I9" s="130">
        <f>'DATA consolidated-leasing'!S230</f>
        <v>2.8199022663434534</v>
      </c>
      <c r="J9" s="132">
        <f>'DATA consolidated-leasing'!X230</f>
        <v>0.38436299793208484</v>
      </c>
      <c r="K9" s="132">
        <f>'DATA consolidated-leasing'!Z230</f>
        <v>0.14408124306409009</v>
      </c>
      <c r="N9" s="162"/>
    </row>
    <row r="10" spans="1:14">
      <c r="A10" s="128" t="str">
        <f>'DATA consolidated-leasing'!F231</f>
        <v>Greater Philadelphia</v>
      </c>
      <c r="B10" s="129">
        <f>'DATA consolidated-leasing'!H231</f>
        <v>30</v>
      </c>
      <c r="C10" s="130">
        <f>'DATA consolidated-leasing'!I231</f>
        <v>5.3463228319172096</v>
      </c>
      <c r="D10" s="131">
        <f>'DATA consolidated-leasing'!J231</f>
        <v>886928</v>
      </c>
      <c r="E10" s="130">
        <f>'DATA consolidated-leasing'!N231</f>
        <v>4.9293937407134027</v>
      </c>
      <c r="F10" s="130">
        <f>'DATA consolidated-leasing'!O231</f>
        <v>6.8278024033517939</v>
      </c>
      <c r="G10" s="130">
        <f>'DATA consolidated-leasing'!Q231</f>
        <v>8.3052362085761189</v>
      </c>
      <c r="H10" s="130">
        <f>'DATA consolidated-leasing'!R231</f>
        <v>3.8213349899879132</v>
      </c>
      <c r="I10" s="130">
        <f>'DATA consolidated-leasing'!S231</f>
        <v>2.8008468556635937</v>
      </c>
      <c r="J10" s="132">
        <f>'DATA consolidated-leasing'!X231</f>
        <v>0.55444713899498144</v>
      </c>
      <c r="K10" s="132">
        <f>'DATA consolidated-leasing'!Z231</f>
        <v>0.21638496809735552</v>
      </c>
      <c r="N10" s="162"/>
    </row>
    <row r="11" spans="1:14">
      <c r="A11" s="128" t="str">
        <f>'DATA consolidated-leasing'!F232</f>
        <v>Houston</v>
      </c>
      <c r="B11" s="129">
        <f>'DATA consolidated-leasing'!H232</f>
        <v>1</v>
      </c>
      <c r="C11" s="130">
        <f>'DATA consolidated-leasing'!I232</f>
        <v>5</v>
      </c>
      <c r="D11" s="131">
        <f>'DATA consolidated-leasing'!J232</f>
        <v>52896</v>
      </c>
      <c r="E11" s="130" t="str">
        <f>'DATA consolidated-leasing'!N232</f>
        <v>NA</v>
      </c>
      <c r="F11" s="130">
        <f>'DATA consolidated-leasing'!O232</f>
        <v>7.8</v>
      </c>
      <c r="G11" s="130">
        <f>'DATA consolidated-leasing'!Q232</f>
        <v>8.2799999999999994</v>
      </c>
      <c r="H11" s="130">
        <f>'DATA consolidated-leasing'!R232</f>
        <v>3</v>
      </c>
      <c r="I11" s="130">
        <f>'DATA consolidated-leasing'!S232</f>
        <v>2.5</v>
      </c>
      <c r="J11" s="132" t="str">
        <f>'DATA consolidated-leasing'!X232</f>
        <v>NA</v>
      </c>
      <c r="K11" s="132">
        <f>'DATA consolidated-leasing'!Z232</f>
        <v>6.1538461538461542E-2</v>
      </c>
      <c r="N11" s="162"/>
    </row>
    <row r="12" spans="1:14">
      <c r="A12" s="128" t="str">
        <f>'DATA consolidated-leasing'!F233</f>
        <v>Jacksonville</v>
      </c>
      <c r="B12" s="129">
        <f>'DATA consolidated-leasing'!H233</f>
        <v>1</v>
      </c>
      <c r="C12" s="130">
        <f>'DATA consolidated-leasing'!I233</f>
        <v>3</v>
      </c>
      <c r="D12" s="131">
        <f>'DATA consolidated-leasing'!J233</f>
        <v>39000</v>
      </c>
      <c r="E12" s="130">
        <f>'DATA consolidated-leasing'!N233</f>
        <v>4.25</v>
      </c>
      <c r="F12" s="130">
        <f>'DATA consolidated-leasing'!O233</f>
        <v>4.6349999999999998</v>
      </c>
      <c r="G12" s="130">
        <f>'DATA consolidated-leasing'!Q233</f>
        <v>5.75</v>
      </c>
      <c r="H12" s="130">
        <f>'DATA consolidated-leasing'!R233</f>
        <v>6</v>
      </c>
      <c r="I12" s="130">
        <f>'DATA consolidated-leasing'!S233</f>
        <v>3</v>
      </c>
      <c r="J12" s="132">
        <f>'DATA consolidated-leasing'!X233</f>
        <v>0.35294117647058831</v>
      </c>
      <c r="K12" s="132">
        <f>'DATA consolidated-leasing'!Z233</f>
        <v>0.24056094929881344</v>
      </c>
      <c r="N12" s="162"/>
    </row>
    <row r="13" spans="1:14">
      <c r="A13" s="128" t="str">
        <f>'DATA consolidated-leasing'!F234</f>
        <v>Memphis</v>
      </c>
      <c r="B13" s="129">
        <f>'DATA consolidated-leasing'!H234</f>
        <v>23</v>
      </c>
      <c r="C13" s="130">
        <f>'DATA consolidated-leasing'!I234</f>
        <v>3.9205092060527704</v>
      </c>
      <c r="D13" s="131">
        <f>'DATA consolidated-leasing'!J234</f>
        <v>556880</v>
      </c>
      <c r="E13" s="130">
        <f>'DATA consolidated-leasing'!N234</f>
        <v>2.9821449128122102</v>
      </c>
      <c r="F13" s="130">
        <f>'DATA consolidated-leasing'!O234</f>
        <v>3.7831874551070253</v>
      </c>
      <c r="G13" s="130">
        <f>'DATA consolidated-leasing'!Q234</f>
        <v>4.2553624658813387</v>
      </c>
      <c r="H13" s="130">
        <f>'DATA consolidated-leasing'!R234</f>
        <v>3.371628986496193</v>
      </c>
      <c r="I13" s="130">
        <f>'DATA consolidated-leasing'!S234</f>
        <v>2.6397608102284154</v>
      </c>
      <c r="J13" s="132">
        <f>'DATA consolidated-leasing'!X234</f>
        <v>0.41902670876966419</v>
      </c>
      <c r="K13" s="132">
        <f>'DATA consolidated-leasing'!Z234</f>
        <v>0.12480877999764761</v>
      </c>
      <c r="N13" s="162"/>
    </row>
    <row r="14" spans="1:14">
      <c r="A14" s="128" t="str">
        <f>'DATA consolidated-leasing'!F235</f>
        <v>Miami</v>
      </c>
      <c r="B14" s="129">
        <f>'DATA consolidated-leasing'!H235</f>
        <v>3</v>
      </c>
      <c r="C14" s="130">
        <f>'DATA consolidated-leasing'!I235</f>
        <v>9.1632556658896505</v>
      </c>
      <c r="D14" s="131">
        <f>'DATA consolidated-leasing'!J235</f>
        <v>97381</v>
      </c>
      <c r="E14" s="130">
        <f>'DATA consolidated-leasing'!N235</f>
        <v>8.5</v>
      </c>
      <c r="F14" s="130">
        <f>'DATA consolidated-leasing'!O235</f>
        <v>11.889715858329653</v>
      </c>
      <c r="G14" s="130">
        <f>'DATA consolidated-leasing'!Q235</f>
        <v>12.865647816309135</v>
      </c>
      <c r="H14" s="130">
        <f>'DATA consolidated-leasing'!R235</f>
        <v>3.835275875170721</v>
      </c>
      <c r="I14" s="130">
        <f>'DATA consolidated-leasing'!S235</f>
        <v>3.7399184645875478</v>
      </c>
      <c r="J14" s="132">
        <f>'DATA consolidated-leasing'!X235</f>
        <v>0.17058823529411749</v>
      </c>
      <c r="K14" s="132">
        <f>'DATA consolidated-leasing'!Z235</f>
        <v>8.2082025307254725E-2</v>
      </c>
      <c r="N14" s="162"/>
    </row>
    <row r="15" spans="1:14">
      <c r="A15" s="128" t="str">
        <f>'DATA consolidated-leasing'!F236</f>
        <v>North New Jersey</v>
      </c>
      <c r="B15" s="129">
        <f>'DATA consolidated-leasing'!H236</f>
        <v>25</v>
      </c>
      <c r="C15" s="130">
        <f>'DATA consolidated-leasing'!I236</f>
        <v>5.1692802242793237</v>
      </c>
      <c r="D15" s="131">
        <f>'DATA consolidated-leasing'!J236</f>
        <v>699366</v>
      </c>
      <c r="E15" s="130">
        <f>'DATA consolidated-leasing'!N236</f>
        <v>10.309521233080751</v>
      </c>
      <c r="F15" s="130">
        <f>'DATA consolidated-leasing'!O236</f>
        <v>14.253980691083063</v>
      </c>
      <c r="G15" s="130">
        <f>'DATA consolidated-leasing'!Q236</f>
        <v>15.115571574826342</v>
      </c>
      <c r="H15" s="130">
        <f>'DATA consolidated-leasing'!R236</f>
        <v>3.4576570064887342</v>
      </c>
      <c r="I15" s="130">
        <f>'DATA consolidated-leasing'!S236</f>
        <v>2.845631743607782</v>
      </c>
      <c r="J15" s="132">
        <f>'DATA consolidated-leasing'!X236</f>
        <v>0.47171806618699752</v>
      </c>
      <c r="K15" s="132">
        <f>'DATA consolidated-leasing'!Z236</f>
        <v>6.0445632866773069E-2</v>
      </c>
      <c r="N15" s="162"/>
    </row>
    <row r="16" spans="1:14">
      <c r="A16" s="128" t="str">
        <f>'DATA consolidated-leasing'!F237</f>
        <v>San Antonio</v>
      </c>
      <c r="B16" s="129">
        <f>'DATA consolidated-leasing'!H237</f>
        <v>6</v>
      </c>
      <c r="C16" s="130">
        <f>'DATA consolidated-leasing'!I237</f>
        <v>5.2247151636366747</v>
      </c>
      <c r="D16" s="131">
        <f>'DATA consolidated-leasing'!J237</f>
        <v>155996</v>
      </c>
      <c r="E16" s="130">
        <f>'DATA consolidated-leasing'!N237</f>
        <v>5.7897951229518698</v>
      </c>
      <c r="F16" s="130">
        <f>'DATA consolidated-leasing'!O237</f>
        <v>6.5333730352060311</v>
      </c>
      <c r="G16" s="130">
        <f>'DATA consolidated-leasing'!Q237</f>
        <v>8.4589380496935824</v>
      </c>
      <c r="H16" s="130">
        <f>'DATA consolidated-leasing'!R237</f>
        <v>3.7831354650119233</v>
      </c>
      <c r="I16" s="130">
        <f>'DATA consolidated-leasing'!S237</f>
        <v>2.9720185132952128</v>
      </c>
      <c r="J16" s="132">
        <f>'DATA consolidated-leasing'!X237</f>
        <v>0.46100818251076148</v>
      </c>
      <c r="K16" s="132">
        <f>'DATA consolidated-leasing'!Z237</f>
        <v>0.29472754794672884</v>
      </c>
      <c r="N16" s="162"/>
    </row>
    <row r="17" spans="1:14">
      <c r="A17" s="128" t="str">
        <f>'DATA consolidated-leasing'!F238</f>
        <v>Tampa</v>
      </c>
      <c r="B17" s="129">
        <f>'DATA consolidated-leasing'!H238</f>
        <v>5</v>
      </c>
      <c r="C17" s="130">
        <f>'DATA consolidated-leasing'!I238</f>
        <v>3.2860332855465688</v>
      </c>
      <c r="D17" s="131">
        <f>'DATA consolidated-leasing'!J238</f>
        <v>113002</v>
      </c>
      <c r="E17" s="130">
        <f>'DATA consolidated-leasing'!N238</f>
        <v>8.5337814043788338</v>
      </c>
      <c r="F17" s="130">
        <f>'DATA consolidated-leasing'!O238</f>
        <v>7.8208270650077001</v>
      </c>
      <c r="G17" s="130">
        <f>'DATA consolidated-leasing'!Q238</f>
        <v>9.4763411267057212</v>
      </c>
      <c r="H17" s="130">
        <f>'DATA consolidated-leasing'!R238</f>
        <v>3.0574326118121804</v>
      </c>
      <c r="I17" s="130">
        <f>'DATA consolidated-leasing'!S238</f>
        <v>2.1189005504327358</v>
      </c>
      <c r="J17" s="132">
        <f>'DATA consolidated-leasing'!X238</f>
        <v>9.5586128718020857E-2</v>
      </c>
      <c r="K17" s="132">
        <f>'DATA consolidated-leasing'!Z238</f>
        <v>0.21168017754863766</v>
      </c>
      <c r="N17" s="162"/>
    </row>
    <row r="18" spans="1:14" s="133" customFormat="1">
      <c r="A18" s="133" t="str">
        <f>'DATA consolidated-leasing'!F239</f>
        <v>Total</v>
      </c>
      <c r="B18" s="134">
        <f>'DATA consolidated-leasing'!H239</f>
        <v>216</v>
      </c>
      <c r="C18" s="135">
        <f>'DATA consolidated-leasing'!I239</f>
        <v>4.9976235942239606</v>
      </c>
      <c r="D18" s="136">
        <f>'DATA consolidated-leasing'!J239</f>
        <v>6154252</v>
      </c>
      <c r="E18" s="135">
        <f>'DATA consolidated-leasing'!N239</f>
        <v>5.821168376124767</v>
      </c>
      <c r="F18" s="135">
        <f>'DATA consolidated-leasing'!O239</f>
        <v>7.0706237364020801</v>
      </c>
      <c r="G18" s="135">
        <f>'DATA consolidated-leasing'!Q239</f>
        <v>7.9379219292612655</v>
      </c>
      <c r="H18" s="135">
        <f>'DATA consolidated-leasing'!R239</f>
        <v>3.5521791389107888</v>
      </c>
      <c r="I18" s="135">
        <f>'DATA consolidated-leasing'!S239</f>
        <v>2.9218664656565898</v>
      </c>
      <c r="J18" s="137">
        <f>'DATA consolidated-leasing'!X239</f>
        <v>0.34837248332454496</v>
      </c>
      <c r="K18" s="137">
        <f>'DATA consolidated-leasing'!Z239</f>
        <v>0.1226621900970386</v>
      </c>
      <c r="N18" s="163"/>
    </row>
    <row r="19" spans="1:14" ht="8.25" customHeight="1">
      <c r="A19" s="138" t="s">
        <v>52</v>
      </c>
    </row>
    <row r="20" spans="1:14" ht="10.5" customHeight="1">
      <c r="A20" s="138" t="s">
        <v>53</v>
      </c>
    </row>
    <row r="21" spans="1:14" ht="9" customHeight="1"/>
    <row r="23" spans="1:14">
      <c r="A23" s="127" t="s">
        <v>54</v>
      </c>
    </row>
    <row r="24" spans="1:14" ht="36">
      <c r="A24" s="125" t="s">
        <v>41</v>
      </c>
      <c r="B24" s="126" t="s">
        <v>42</v>
      </c>
      <c r="C24" s="126" t="s">
        <v>43</v>
      </c>
      <c r="D24" s="126" t="s">
        <v>44</v>
      </c>
      <c r="E24" s="126" t="s">
        <v>45</v>
      </c>
      <c r="F24" s="126" t="s">
        <v>46</v>
      </c>
      <c r="G24" s="126" t="s">
        <v>47</v>
      </c>
      <c r="H24" s="126" t="s">
        <v>48</v>
      </c>
      <c r="I24" s="126" t="s">
        <v>49</v>
      </c>
      <c r="J24" s="126" t="s">
        <v>55</v>
      </c>
      <c r="K24" s="126" t="s">
        <v>51</v>
      </c>
      <c r="N24" s="159"/>
    </row>
    <row r="25" spans="1:14">
      <c r="A25" s="128" t="str">
        <f>'DATA consolidated-leasing'!F295</f>
        <v>Atlanta</v>
      </c>
      <c r="B25" s="129">
        <f>'DATA consolidated-leasing'!H295</f>
        <v>30</v>
      </c>
      <c r="C25" s="130">
        <f>'DATA consolidated-leasing'!I295</f>
        <v>5.8016651343344572</v>
      </c>
      <c r="D25" s="131">
        <f>'DATA consolidated-leasing'!J295</f>
        <v>809224</v>
      </c>
      <c r="E25" s="130">
        <f>'DATA consolidated-leasing'!N295</f>
        <v>5.9866768265380026</v>
      </c>
      <c r="F25" s="130">
        <f>'DATA consolidated-leasing'!O295</f>
        <v>6.7038225386295993</v>
      </c>
      <c r="G25" s="130">
        <f>'DATA consolidated-leasing'!Q295</f>
        <v>7.3740082226923569</v>
      </c>
      <c r="H25" s="130">
        <f>'DATA consolidated-leasing'!R295</f>
        <v>4.0000203899044022</v>
      </c>
      <c r="I25" s="130">
        <f>'DATA consolidated-leasing'!S295</f>
        <v>3.2156739048767706</v>
      </c>
      <c r="J25" s="132">
        <f>'DATA consolidated-leasing'!X295</f>
        <v>0.22705564835493908</v>
      </c>
      <c r="K25" s="132">
        <f>'DATA consolidated-leasing'!Z295</f>
        <v>9.9970677952903708E-2</v>
      </c>
    </row>
    <row r="26" spans="1:14">
      <c r="A26" s="128" t="str">
        <f>'DATA consolidated-leasing'!F296</f>
        <v>Chicago</v>
      </c>
      <c r="B26" s="129">
        <f>'DATA consolidated-leasing'!H296</f>
        <v>27</v>
      </c>
      <c r="C26" s="130">
        <f>'DATA consolidated-leasing'!I296</f>
        <v>4.2033397439273807</v>
      </c>
      <c r="D26" s="131">
        <f>'DATA consolidated-leasing'!J296</f>
        <v>740441</v>
      </c>
      <c r="E26" s="130">
        <f>'DATA consolidated-leasing'!N296</f>
        <v>6.3750518709410802</v>
      </c>
      <c r="F26" s="130">
        <f>'DATA consolidated-leasing'!O296</f>
        <v>6.5302919611420762</v>
      </c>
      <c r="G26" s="130">
        <f>'DATA consolidated-leasing'!Q296</f>
        <v>7.2510553021780266</v>
      </c>
      <c r="H26" s="130">
        <f>'DATA consolidated-leasing'!R296</f>
        <v>3.3334836941768486</v>
      </c>
      <c r="I26" s="130">
        <f>'DATA consolidated-leasing'!S296</f>
        <v>2.5996500734022021</v>
      </c>
      <c r="J26" s="132">
        <f>'DATA consolidated-leasing'!X296</f>
        <v>0.14476788285273789</v>
      </c>
      <c r="K26" s="132">
        <f>'DATA consolidated-leasing'!Z296</f>
        <v>0.11037229963450157</v>
      </c>
    </row>
    <row r="27" spans="1:14">
      <c r="A27" s="128" t="str">
        <f>'DATA consolidated-leasing'!F297</f>
        <v>Cincinnati</v>
      </c>
      <c r="B27" s="129">
        <f>'DATA consolidated-leasing'!H297</f>
        <v>7</v>
      </c>
      <c r="C27" s="130">
        <f>'DATA consolidated-leasing'!I297</f>
        <v>4.2459407759161367</v>
      </c>
      <c r="D27" s="131">
        <f>'DATA consolidated-leasing'!J297</f>
        <v>558050</v>
      </c>
      <c r="E27" s="130">
        <f>'DATA consolidated-leasing'!N297</f>
        <v>4.0541443169541038</v>
      </c>
      <c r="F27" s="130">
        <f>'DATA consolidated-leasing'!O297</f>
        <v>3.6429128572708538</v>
      </c>
      <c r="G27" s="130">
        <f>'DATA consolidated-leasing'!Q297</f>
        <v>4.1773568318251053</v>
      </c>
      <c r="H27" s="130">
        <f>'DATA consolidated-leasing'!R297</f>
        <v>3.6434075799659529</v>
      </c>
      <c r="I27" s="130">
        <f>'DATA consolidated-leasing'!S297</f>
        <v>3.1051670997222471</v>
      </c>
      <c r="J27" s="132">
        <f>'DATA consolidated-leasing'!X297</f>
        <v>0.11403603905961268</v>
      </c>
      <c r="K27" s="132">
        <f>'DATA consolidated-leasing'!Z297</f>
        <v>0.14670786688942061</v>
      </c>
    </row>
    <row r="28" spans="1:14">
      <c r="A28" s="128" t="str">
        <f>'DATA consolidated-leasing'!F298</f>
        <v>Columbus</v>
      </c>
      <c r="B28" s="129">
        <f>'DATA consolidated-leasing'!H298</f>
        <v>4</v>
      </c>
      <c r="C28" s="130">
        <f>'DATA consolidated-leasing'!I298</f>
        <v>3.7361303502217744</v>
      </c>
      <c r="D28" s="131">
        <f>'DATA consolidated-leasing'!J298</f>
        <v>23823</v>
      </c>
      <c r="E28" s="130">
        <f>'DATA consolidated-leasing'!N298</f>
        <v>6.4639487050329514</v>
      </c>
      <c r="F28" s="130">
        <f>'DATA consolidated-leasing'!O298</f>
        <v>6.7618414977122949</v>
      </c>
      <c r="G28" s="130">
        <f>'DATA consolidated-leasing'!Q298</f>
        <v>8.1217311001972892</v>
      </c>
      <c r="H28" s="130">
        <f>'DATA consolidated-leasing'!R298</f>
        <v>3.7434622003945766</v>
      </c>
      <c r="I28" s="130">
        <f>'DATA consolidated-leasing'!S298</f>
        <v>2.8763170045754105</v>
      </c>
      <c r="J28" s="132">
        <f>'DATA consolidated-leasing'!X298</f>
        <v>0.25646589581899959</v>
      </c>
      <c r="K28" s="132">
        <f>'DATA consolidated-leasing'!Z298</f>
        <v>0.20111231577153643</v>
      </c>
    </row>
    <row r="29" spans="1:14">
      <c r="A29" s="128" t="str">
        <f>'DATA consolidated-leasing'!F299</f>
        <v>Dallas</v>
      </c>
      <c r="B29" s="129">
        <f>'DATA consolidated-leasing'!H299</f>
        <v>18</v>
      </c>
      <c r="C29" s="130">
        <f>'DATA consolidated-leasing'!I299</f>
        <v>6.5503257413033529</v>
      </c>
      <c r="D29" s="131">
        <f>'DATA consolidated-leasing'!J299</f>
        <v>516770</v>
      </c>
      <c r="E29" s="130">
        <f>'DATA consolidated-leasing'!N299</f>
        <v>4.4550579094007041</v>
      </c>
      <c r="F29" s="130">
        <f>'DATA consolidated-leasing'!O299</f>
        <v>5.468275886758132</v>
      </c>
      <c r="G29" s="130">
        <f>'DATA consolidated-leasing'!Q299</f>
        <v>6.3321805638872224</v>
      </c>
      <c r="H29" s="130">
        <f>'DATA consolidated-leasing'!R299</f>
        <v>3.5821695725371057</v>
      </c>
      <c r="I29" s="130">
        <f>'DATA consolidated-leasing'!S299</f>
        <v>2.8723822977340014</v>
      </c>
      <c r="J29" s="132">
        <f>'DATA consolidated-leasing'!X299</f>
        <v>0.41045515211356531</v>
      </c>
      <c r="K29" s="132">
        <f>'DATA consolidated-leasing'!Z299</f>
        <v>0.1579848374550934</v>
      </c>
    </row>
    <row r="30" spans="1:14">
      <c r="A30" s="128" t="str">
        <f>'DATA consolidated-leasing'!F300</f>
        <v>Greater Philadelphia</v>
      </c>
      <c r="B30" s="129">
        <f>'DATA consolidated-leasing'!H300</f>
        <v>27</v>
      </c>
      <c r="C30" s="130">
        <f>'DATA consolidated-leasing'!I300</f>
        <v>5.0672480378434068</v>
      </c>
      <c r="D30" s="131">
        <f>'DATA consolidated-leasing'!J300</f>
        <v>793727</v>
      </c>
      <c r="E30" s="130">
        <f>'DATA consolidated-leasing'!N300</f>
        <v>4.80086731984143</v>
      </c>
      <c r="F30" s="130">
        <f>'DATA consolidated-leasing'!O300</f>
        <v>6.5830793585199947</v>
      </c>
      <c r="G30" s="130">
        <f>'DATA consolidated-leasing'!Q300</f>
        <v>7.9486429717018572</v>
      </c>
      <c r="H30" s="130">
        <f>'DATA consolidated-leasing'!R300</f>
        <v>3.7806569513195343</v>
      </c>
      <c r="I30" s="130">
        <f>'DATA consolidated-leasing'!S300</f>
        <v>2.6600399129675569</v>
      </c>
      <c r="J30" s="132">
        <f>'DATA consolidated-leasing'!X300</f>
        <v>0.58280468565292964</v>
      </c>
      <c r="K30" s="132">
        <f>'DATA consolidated-leasing'!Z300</f>
        <v>0.20743538681703932</v>
      </c>
    </row>
    <row r="31" spans="1:14">
      <c r="A31" s="128" t="str">
        <f>'DATA consolidated-leasing'!F301</f>
        <v>Houston</v>
      </c>
      <c r="B31" s="129">
        <f>'DATA consolidated-leasing'!H301</f>
        <v>1</v>
      </c>
      <c r="C31" s="130">
        <f>'DATA consolidated-leasing'!I301</f>
        <v>5</v>
      </c>
      <c r="D31" s="131">
        <f>'DATA consolidated-leasing'!J301</f>
        <v>52896</v>
      </c>
      <c r="E31" s="130" t="str">
        <f>'DATA consolidated-leasing'!N301</f>
        <v/>
      </c>
      <c r="F31" s="130">
        <f>'DATA consolidated-leasing'!O301</f>
        <v>7.8</v>
      </c>
      <c r="G31" s="130">
        <f>'DATA consolidated-leasing'!Q301</f>
        <v>8.2799999999999994</v>
      </c>
      <c r="H31" s="130">
        <f>'DATA consolidated-leasing'!R301</f>
        <v>3</v>
      </c>
      <c r="I31" s="130">
        <f>'DATA consolidated-leasing'!S301</f>
        <v>2.5</v>
      </c>
      <c r="J31" s="132" t="str">
        <f>'DATA consolidated-leasing'!X301</f>
        <v>NA</v>
      </c>
      <c r="K31" s="132">
        <f>'DATA consolidated-leasing'!Z301</f>
        <v>6.1538461538461542E-2</v>
      </c>
    </row>
    <row r="32" spans="1:14">
      <c r="A32" s="128" t="str">
        <f>'DATA consolidated-leasing'!F302</f>
        <v>Jacksonville</v>
      </c>
      <c r="B32" s="129">
        <f>'DATA consolidated-leasing'!H302</f>
        <v>1</v>
      </c>
      <c r="C32" s="130">
        <f>'DATA consolidated-leasing'!I302</f>
        <v>3</v>
      </c>
      <c r="D32" s="131">
        <f>'DATA consolidated-leasing'!J302</f>
        <v>39000</v>
      </c>
      <c r="E32" s="130">
        <f>'DATA consolidated-leasing'!N302</f>
        <v>4.25</v>
      </c>
      <c r="F32" s="130">
        <f>'DATA consolidated-leasing'!O302</f>
        <v>4.6349999999999998</v>
      </c>
      <c r="G32" s="130">
        <f>'DATA consolidated-leasing'!Q302</f>
        <v>5.75</v>
      </c>
      <c r="H32" s="130">
        <f>'DATA consolidated-leasing'!R302</f>
        <v>6</v>
      </c>
      <c r="I32" s="130">
        <f>'DATA consolidated-leasing'!S302</f>
        <v>3</v>
      </c>
      <c r="J32" s="132">
        <f>'DATA consolidated-leasing'!X302</f>
        <v>0.35294117647058831</v>
      </c>
      <c r="K32" s="132">
        <f>'DATA consolidated-leasing'!Z302</f>
        <v>0.24056094929881344</v>
      </c>
    </row>
    <row r="33" spans="1:14">
      <c r="A33" s="128" t="str">
        <f>'DATA consolidated-leasing'!F303</f>
        <v>Memphis</v>
      </c>
      <c r="B33" s="129">
        <f>'DATA consolidated-leasing'!H303</f>
        <v>6</v>
      </c>
      <c r="C33" s="130">
        <f>'DATA consolidated-leasing'!I303</f>
        <v>4.0267743446077509</v>
      </c>
      <c r="D33" s="131">
        <f>'DATA consolidated-leasing'!J303</f>
        <v>243442</v>
      </c>
      <c r="E33" s="130">
        <f>'DATA consolidated-leasing'!N303</f>
        <v>2.800227569605902</v>
      </c>
      <c r="F33" s="130">
        <f>'DATA consolidated-leasing'!O303</f>
        <v>3.2683357021384967</v>
      </c>
      <c r="G33" s="130">
        <f>'DATA consolidated-leasing'!Q303</f>
        <v>3.8950897955159749</v>
      </c>
      <c r="H33" s="130">
        <f>'DATA consolidated-leasing'!R303</f>
        <v>3.1747449084381496</v>
      </c>
      <c r="I33" s="130">
        <f>'DATA consolidated-leasing'!S303</f>
        <v>1.8617001174817822</v>
      </c>
      <c r="J33" s="132">
        <f>'DATA consolidated-leasing'!X303</f>
        <v>0.39099044584585729</v>
      </c>
      <c r="K33" s="132">
        <f>'DATA consolidated-leasing'!Z303</f>
        <v>0.19176551936430153</v>
      </c>
    </row>
    <row r="34" spans="1:14">
      <c r="A34" s="128" t="str">
        <f>'DATA consolidated-leasing'!F304</f>
        <v>North New Jersey</v>
      </c>
      <c r="B34" s="129">
        <f>'DATA consolidated-leasing'!H304</f>
        <v>17</v>
      </c>
      <c r="C34" s="130">
        <f>'DATA consolidated-leasing'!I304</f>
        <v>4.837263022766999</v>
      </c>
      <c r="D34" s="131">
        <f>'DATA consolidated-leasing'!J304</f>
        <v>519846</v>
      </c>
      <c r="E34" s="130">
        <f>'DATA consolidated-leasing'!N304</f>
        <v>9.8985725108606992</v>
      </c>
      <c r="F34" s="130">
        <f>'DATA consolidated-leasing'!O304</f>
        <v>13.728145066038788</v>
      </c>
      <c r="G34" s="130">
        <f>'DATA consolidated-leasing'!Q304</f>
        <v>14.91108680263001</v>
      </c>
      <c r="H34" s="130">
        <f>'DATA consolidated-leasing'!R304</f>
        <v>3.4281570888301536</v>
      </c>
      <c r="I34" s="130">
        <f>'DATA consolidated-leasing'!S304</f>
        <v>2.6429444296964872</v>
      </c>
      <c r="J34" s="132">
        <f>'DATA consolidated-leasing'!X304</f>
        <v>0.51267860493539974</v>
      </c>
      <c r="K34" s="132">
        <f>'DATA consolidated-leasing'!Z304</f>
        <v>8.6169087731861715E-2</v>
      </c>
    </row>
    <row r="35" spans="1:14">
      <c r="A35" s="128" t="str">
        <f>'DATA consolidated-leasing'!F305</f>
        <v>San Antonio</v>
      </c>
      <c r="B35" s="129">
        <f>'DATA consolidated-leasing'!H305</f>
        <v>6</v>
      </c>
      <c r="C35" s="130">
        <f>'DATA consolidated-leasing'!I305</f>
        <v>5.2247151636366747</v>
      </c>
      <c r="D35" s="131">
        <f>'DATA consolidated-leasing'!J305</f>
        <v>155996</v>
      </c>
      <c r="E35" s="130">
        <f>'DATA consolidated-leasing'!N305</f>
        <v>5.7897951229518698</v>
      </c>
      <c r="F35" s="130">
        <f>'DATA consolidated-leasing'!O305</f>
        <v>6.5333730352060311</v>
      </c>
      <c r="G35" s="130">
        <f>'DATA consolidated-leasing'!Q305</f>
        <v>8.4589380496935824</v>
      </c>
      <c r="H35" s="130">
        <f>'DATA consolidated-leasing'!R305</f>
        <v>3.7831354650119233</v>
      </c>
      <c r="I35" s="130">
        <f>'DATA consolidated-leasing'!S305</f>
        <v>2.9720185132952128</v>
      </c>
      <c r="J35" s="132">
        <f>'DATA consolidated-leasing'!X305</f>
        <v>0.46100818251076148</v>
      </c>
      <c r="K35" s="132">
        <f>'DATA consolidated-leasing'!Z305</f>
        <v>0.29472754794672884</v>
      </c>
    </row>
    <row r="36" spans="1:14">
      <c r="A36" s="128" t="str">
        <f>'DATA consolidated-leasing'!F306</f>
        <v>Tampa</v>
      </c>
      <c r="B36" s="129">
        <f>'DATA consolidated-leasing'!H306</f>
        <v>5</v>
      </c>
      <c r="C36" s="130">
        <f>'DATA consolidated-leasing'!I306</f>
        <v>3.2860332855465688</v>
      </c>
      <c r="D36" s="131">
        <f>'DATA consolidated-leasing'!J306</f>
        <v>113002</v>
      </c>
      <c r="E36" s="130">
        <f>'DATA consolidated-leasing'!N306</f>
        <v>8.5337814043788338</v>
      </c>
      <c r="F36" s="130">
        <f>'DATA consolidated-leasing'!O306</f>
        <v>7.8208270650077001</v>
      </c>
      <c r="G36" s="130">
        <f>'DATA consolidated-leasing'!Q306</f>
        <v>9.4763411267057212</v>
      </c>
      <c r="H36" s="130">
        <f>'DATA consolidated-leasing'!R306</f>
        <v>3.0574326118121804</v>
      </c>
      <c r="I36" s="130">
        <f>'DATA consolidated-leasing'!S306</f>
        <v>2.1189005504327358</v>
      </c>
      <c r="J36" s="132">
        <f>'DATA consolidated-leasing'!X306</f>
        <v>9.5586128718020857E-2</v>
      </c>
      <c r="K36" s="132">
        <f>'DATA consolidated-leasing'!Z306</f>
        <v>0.21168017754863766</v>
      </c>
    </row>
    <row r="37" spans="1:14" s="133" customFormat="1">
      <c r="A37" s="133" t="str">
        <f>'DATA consolidated-leasing'!F307</f>
        <v>Total</v>
      </c>
      <c r="B37" s="134">
        <f>'DATA consolidated-leasing'!H307</f>
        <v>149</v>
      </c>
      <c r="C37" s="135">
        <f>'DATA consolidated-leasing'!I307</f>
        <v>4.9790470061614096</v>
      </c>
      <c r="D37" s="136">
        <f>'DATA consolidated-leasing'!J307</f>
        <v>4566217</v>
      </c>
      <c r="E37" s="135">
        <f>'DATA consolidated-leasing'!N307</f>
        <v>5.8044039936648408</v>
      </c>
      <c r="F37" s="135">
        <f>'DATA consolidated-leasing'!O307</f>
        <v>6.7744673698161986</v>
      </c>
      <c r="G37" s="135">
        <f>'DATA consolidated-leasing'!Q307</f>
        <v>7.7075896084220252</v>
      </c>
      <c r="H37" s="135">
        <f>'DATA consolidated-leasing'!R307</f>
        <v>3.6272542172218274</v>
      </c>
      <c r="I37" s="135">
        <f>'DATA consolidated-leasing'!S307</f>
        <v>2.7820838540962902</v>
      </c>
      <c r="J37" s="137">
        <f>'DATA consolidated-leasing'!X307</f>
        <v>0.34051259410205237</v>
      </c>
      <c r="K37" s="137">
        <f>'DATA consolidated-leasing'!Z307</f>
        <v>0.1377410485086068</v>
      </c>
    </row>
    <row r="38" spans="1:14" ht="8.25" customHeight="1">
      <c r="A38" s="138" t="s">
        <v>52</v>
      </c>
    </row>
    <row r="39" spans="1:14" ht="10.5" customHeight="1">
      <c r="A39" s="138" t="s">
        <v>53</v>
      </c>
    </row>
    <row r="40" spans="1:14" ht="9" customHeight="1"/>
    <row r="42" spans="1:14">
      <c r="A42" s="127" t="s">
        <v>56</v>
      </c>
    </row>
    <row r="43" spans="1:14" ht="36">
      <c r="A43" s="125" t="s">
        <v>41</v>
      </c>
      <c r="B43" s="126" t="s">
        <v>42</v>
      </c>
      <c r="C43" s="126" t="s">
        <v>43</v>
      </c>
      <c r="D43" s="126" t="s">
        <v>44</v>
      </c>
      <c r="E43" s="126" t="s">
        <v>45</v>
      </c>
      <c r="F43" s="126" t="s">
        <v>46</v>
      </c>
      <c r="G43" s="126" t="s">
        <v>47</v>
      </c>
      <c r="H43" s="126" t="s">
        <v>48</v>
      </c>
      <c r="I43" s="126" t="s">
        <v>49</v>
      </c>
      <c r="J43" s="126" t="s">
        <v>55</v>
      </c>
      <c r="K43" s="126" t="s">
        <v>51</v>
      </c>
      <c r="N43" s="159"/>
    </row>
    <row r="44" spans="1:14">
      <c r="A44" s="128" t="str">
        <f>'DATA consolidated-leasing'!F311</f>
        <v>Atlanta</v>
      </c>
      <c r="B44" s="129">
        <f>'DATA consolidated-leasing'!H311</f>
        <v>6</v>
      </c>
      <c r="C44" s="130">
        <f>'DATA consolidated-leasing'!I311</f>
        <v>4.6200521892368167</v>
      </c>
      <c r="D44" s="131">
        <f>'DATA consolidated-leasing'!J311</f>
        <v>122950</v>
      </c>
      <c r="E44" s="130">
        <f>'DATA consolidated-leasing'!N311</f>
        <v>7.413926055045871</v>
      </c>
      <c r="F44" s="130">
        <f>'DATA consolidated-leasing'!O311</f>
        <v>9.4801938999593336</v>
      </c>
      <c r="G44" s="130">
        <f>'DATA consolidated-leasing'!Q311</f>
        <v>8.7355230581537207</v>
      </c>
      <c r="H44" s="130">
        <f>'DATA consolidated-leasing'!R311</f>
        <v>3.7575965839772265</v>
      </c>
      <c r="I44" s="130">
        <f>'DATA consolidated-leasing'!S311</f>
        <v>3.4595384302562016</v>
      </c>
      <c r="J44" s="132">
        <f>'DATA consolidated-leasing'!X311</f>
        <v>0.11327507467536257</v>
      </c>
      <c r="K44" s="132">
        <f>'DATA consolidated-leasing'!Z311</f>
        <v>-7.8550169929415437E-2</v>
      </c>
    </row>
    <row r="45" spans="1:14">
      <c r="A45" s="128" t="str">
        <f>'DATA consolidated-leasing'!F312</f>
        <v>Baltimore/DC</v>
      </c>
      <c r="B45" s="129">
        <f>'DATA consolidated-leasing'!H312</f>
        <v>9</v>
      </c>
      <c r="C45" s="130">
        <f>'DATA consolidated-leasing'!I312</f>
        <v>5.7134467248045055</v>
      </c>
      <c r="D45" s="131">
        <f>'DATA consolidated-leasing'!J312</f>
        <v>102859</v>
      </c>
      <c r="E45" s="130">
        <f>'DATA consolidated-leasing'!N312</f>
        <v>8.8393177504573988</v>
      </c>
      <c r="F45" s="130">
        <f>'DATA consolidated-leasing'!O312</f>
        <v>10.570096549645632</v>
      </c>
      <c r="G45" s="130">
        <f>'DATA consolidated-leasing'!Q312</f>
        <v>10.938760827929496</v>
      </c>
      <c r="H45" s="130">
        <f>'DATA consolidated-leasing'!R312</f>
        <v>3.6837175162115128</v>
      </c>
      <c r="I45" s="130">
        <f>'DATA consolidated-leasing'!S312</f>
        <v>4</v>
      </c>
      <c r="J45" s="132">
        <f>'DATA consolidated-leasing'!X312</f>
        <v>0.31662005414761518</v>
      </c>
      <c r="K45" s="132">
        <f>'DATA consolidated-leasing'!Z312</f>
        <v>3.4878042651012908E-2</v>
      </c>
    </row>
    <row r="46" spans="1:14">
      <c r="A46" s="128" t="str">
        <f>'DATA consolidated-leasing'!F313</f>
        <v>Charlotte</v>
      </c>
      <c r="B46" s="129">
        <f>'DATA consolidated-leasing'!H313</f>
        <v>2</v>
      </c>
      <c r="C46" s="130">
        <f>'DATA consolidated-leasing'!I313</f>
        <v>3.460306977075462</v>
      </c>
      <c r="D46" s="131">
        <f>'DATA consolidated-leasing'!J313</f>
        <v>102961</v>
      </c>
      <c r="E46" s="130">
        <f>'DATA consolidated-leasing'!N313</f>
        <v>6.7581612455201485</v>
      </c>
      <c r="F46" s="130">
        <f>'DATA consolidated-leasing'!O313</f>
        <v>9.0426625615524312</v>
      </c>
      <c r="G46" s="130">
        <f>'DATA consolidated-leasing'!Q313</f>
        <v>10.47477200104894</v>
      </c>
      <c r="H46" s="130">
        <f>'DATA consolidated-leasing'!R313</f>
        <v>3.7769932304464797</v>
      </c>
      <c r="I46" s="130">
        <f>'DATA consolidated-leasing'!S313</f>
        <v>4</v>
      </c>
      <c r="J46" s="132">
        <f>'DATA consolidated-leasing'!X313</f>
        <v>0.54994407805709877</v>
      </c>
      <c r="K46" s="132">
        <f>'DATA consolidated-leasing'!Z313</f>
        <v>0.15837254013939961</v>
      </c>
    </row>
    <row r="47" spans="1:14">
      <c r="A47" s="128" t="str">
        <f>'DATA consolidated-leasing'!F314</f>
        <v>Chicago</v>
      </c>
      <c r="B47" s="129">
        <f>'DATA consolidated-leasing'!H314</f>
        <v>6</v>
      </c>
      <c r="C47" s="130">
        <f>'DATA consolidated-leasing'!I314</f>
        <v>6.0716232941046471</v>
      </c>
      <c r="D47" s="131">
        <f>'DATA consolidated-leasing'!J314</f>
        <v>150825</v>
      </c>
      <c r="E47" s="130">
        <f>'DATA consolidated-leasing'!N314</f>
        <v>5.321648081235983</v>
      </c>
      <c r="F47" s="130">
        <f>'DATA consolidated-leasing'!O314</f>
        <v>7.0261508370628212</v>
      </c>
      <c r="G47" s="130">
        <f>'DATA consolidated-leasing'!Q314</f>
        <v>7.5761243162605663</v>
      </c>
      <c r="H47" s="130">
        <f>'DATA consolidated-leasing'!R314</f>
        <v>3.4212663683076414</v>
      </c>
      <c r="I47" s="130">
        <f>'DATA consolidated-leasing'!S314</f>
        <v>3.0459970164097463</v>
      </c>
      <c r="J47" s="132">
        <f>'DATA consolidated-leasing'!X314</f>
        <v>0.27700145571483525</v>
      </c>
      <c r="K47" s="132">
        <f>'DATA consolidated-leasing'!Z314</f>
        <v>7.8275216680041115E-2</v>
      </c>
    </row>
    <row r="48" spans="1:14" hidden="1">
      <c r="A48" s="128" t="str">
        <f>'DATA consolidated-leasing'!F315</f>
        <v>Cincinnati</v>
      </c>
      <c r="B48" s="129">
        <f>'DATA consolidated-leasing'!H315</f>
        <v>0</v>
      </c>
      <c r="C48" s="130" t="str">
        <f>'DATA consolidated-leasing'!I315</f>
        <v/>
      </c>
      <c r="D48" s="131">
        <f>'DATA consolidated-leasing'!J315</f>
        <v>0</v>
      </c>
      <c r="E48" s="130" t="str">
        <f>'DATA consolidated-leasing'!N315</f>
        <v/>
      </c>
      <c r="F48" s="130" t="str">
        <f>'DATA consolidated-leasing'!O315</f>
        <v/>
      </c>
      <c r="G48" s="130" t="str">
        <f>'DATA consolidated-leasing'!Q315</f>
        <v/>
      </c>
      <c r="H48" s="130" t="str">
        <f>'DATA consolidated-leasing'!R315</f>
        <v/>
      </c>
      <c r="I48" s="130" t="str">
        <f>'DATA consolidated-leasing'!S315</f>
        <v/>
      </c>
      <c r="J48" s="132" t="str">
        <f>'DATA consolidated-leasing'!X315</f>
        <v>NA</v>
      </c>
      <c r="K48" s="132" t="str">
        <f>'DATA consolidated-leasing'!Z315</f>
        <v>NA</v>
      </c>
    </row>
    <row r="49" spans="1:13">
      <c r="A49" s="128" t="str">
        <f>'DATA consolidated-leasing'!F316</f>
        <v>Columbus</v>
      </c>
      <c r="B49" s="129">
        <f>'DATA consolidated-leasing'!H316</f>
        <v>7</v>
      </c>
      <c r="C49" s="130">
        <f>'DATA consolidated-leasing'!I316</f>
        <v>3.5313786008230452</v>
      </c>
      <c r="D49" s="131">
        <f>'DATA consolidated-leasing'!J316</f>
        <v>162000</v>
      </c>
      <c r="E49" s="130">
        <f>'DATA consolidated-leasing'!N316</f>
        <v>4.5252222222222223</v>
      </c>
      <c r="F49" s="130">
        <f>'DATA consolidated-leasing'!O316</f>
        <v>5.4114814814814816</v>
      </c>
      <c r="G49" s="130">
        <f>'DATA consolidated-leasing'!Q316</f>
        <v>7.4380493827160494</v>
      </c>
      <c r="H49" s="130">
        <f>'DATA consolidated-leasing'!R316</f>
        <v>1.8487654320987654</v>
      </c>
      <c r="I49" s="130">
        <f>'DATA consolidated-leasing'!S316</f>
        <v>3</v>
      </c>
      <c r="J49" s="132">
        <f>'DATA consolidated-leasing'!X316</f>
        <v>0.64368709810308755</v>
      </c>
      <c r="K49" s="132">
        <f>'DATA consolidated-leasing'!Z316</f>
        <v>0.37449410261674987</v>
      </c>
    </row>
    <row r="50" spans="1:13">
      <c r="A50" s="128" t="str">
        <f>'DATA consolidated-leasing'!F317</f>
        <v>Dallas</v>
      </c>
      <c r="B50" s="129">
        <f>'DATA consolidated-leasing'!H317</f>
        <v>6</v>
      </c>
      <c r="C50" s="130">
        <f>'DATA consolidated-leasing'!I317</f>
        <v>4.2058786610878665</v>
      </c>
      <c r="D50" s="131">
        <f>'DATA consolidated-leasing'!J317</f>
        <v>262900</v>
      </c>
      <c r="E50" s="130">
        <f>'DATA consolidated-leasing'!N317</f>
        <v>4.2126445416508176</v>
      </c>
      <c r="F50" s="130">
        <f>'DATA consolidated-leasing'!O317</f>
        <v>5.0539326359832639</v>
      </c>
      <c r="G50" s="130">
        <f>'DATA consolidated-leasing'!Q317</f>
        <v>5.6326635602890835</v>
      </c>
      <c r="H50" s="130">
        <f>'DATA consolidated-leasing'!R317</f>
        <v>2.8534697603651575</v>
      </c>
      <c r="I50" s="130">
        <f>'DATA consolidated-leasing'!S317</f>
        <v>2.7167447698744769</v>
      </c>
      <c r="J50" s="132">
        <f>'DATA consolidated-leasing'!X317</f>
        <v>0.337084936694374</v>
      </c>
      <c r="K50" s="132">
        <f>'DATA consolidated-leasing'!Z317</f>
        <v>0.11451100875095555</v>
      </c>
    </row>
    <row r="51" spans="1:13">
      <c r="A51" s="128" t="str">
        <f>'DATA consolidated-leasing'!F318</f>
        <v>Greater Philadelphia</v>
      </c>
      <c r="B51" s="129">
        <f>'DATA consolidated-leasing'!H318</f>
        <v>3</v>
      </c>
      <c r="C51" s="130">
        <f>'DATA consolidated-leasing'!I318</f>
        <v>7.7230054756207913</v>
      </c>
      <c r="D51" s="131">
        <f>'DATA consolidated-leasing'!J318</f>
        <v>93201</v>
      </c>
      <c r="E51" s="130">
        <f>'DATA consolidated-leasing'!N318</f>
        <v>6.8365811072649292</v>
      </c>
      <c r="F51" s="130">
        <f>'DATA consolidated-leasing'!O318</f>
        <v>8.9119354942543545</v>
      </c>
      <c r="G51" s="130">
        <f>'DATA consolidated-leasing'!Q318</f>
        <v>11.342088604199526</v>
      </c>
      <c r="H51" s="130">
        <f>'DATA consolidated-leasing'!R318</f>
        <v>4.1677610755249406</v>
      </c>
      <c r="I51" s="130">
        <f>'DATA consolidated-leasing'!S318</f>
        <v>4</v>
      </c>
      <c r="J51" s="132">
        <f>'DATA consolidated-leasing'!X318</f>
        <v>0.25895200339030677</v>
      </c>
      <c r="K51" s="132">
        <f>'DATA consolidated-leasing'!Z318</f>
        <v>0.27268522213967161</v>
      </c>
    </row>
    <row r="52" spans="1:13" hidden="1">
      <c r="A52" s="128" t="str">
        <f>'DATA consolidated-leasing'!F319</f>
        <v>Houston</v>
      </c>
      <c r="B52" s="129">
        <f>'DATA consolidated-leasing'!H319</f>
        <v>0</v>
      </c>
      <c r="C52" s="130" t="str">
        <f>'DATA consolidated-leasing'!I319</f>
        <v/>
      </c>
      <c r="D52" s="131">
        <f>'DATA consolidated-leasing'!J319</f>
        <v>0</v>
      </c>
      <c r="E52" s="130" t="str">
        <f>'DATA consolidated-leasing'!N319</f>
        <v/>
      </c>
      <c r="F52" s="130" t="str">
        <f>'DATA consolidated-leasing'!O319</f>
        <v/>
      </c>
      <c r="G52" s="130" t="str">
        <f>'DATA consolidated-leasing'!Q319</f>
        <v/>
      </c>
      <c r="H52" s="130" t="str">
        <f>'DATA consolidated-leasing'!R319</f>
        <v/>
      </c>
      <c r="I52" s="130" t="str">
        <f>'DATA consolidated-leasing'!S319</f>
        <v/>
      </c>
      <c r="J52" s="132" t="str">
        <f>'DATA consolidated-leasing'!X319</f>
        <v>NA</v>
      </c>
      <c r="K52" s="132" t="str">
        <f>'DATA consolidated-leasing'!Z319</f>
        <v>NA</v>
      </c>
    </row>
    <row r="53" spans="1:13" hidden="1">
      <c r="A53" s="128" t="str">
        <f>'DATA consolidated-leasing'!F320</f>
        <v>Jacksonville</v>
      </c>
      <c r="B53" s="129">
        <f>'DATA consolidated-leasing'!H320</f>
        <v>0</v>
      </c>
      <c r="C53" s="130" t="str">
        <f>'DATA consolidated-leasing'!I320</f>
        <v/>
      </c>
      <c r="D53" s="131">
        <f>'DATA consolidated-leasing'!J320</f>
        <v>0</v>
      </c>
      <c r="E53" s="130" t="str">
        <f>'DATA consolidated-leasing'!N320</f>
        <v/>
      </c>
      <c r="F53" s="130" t="str">
        <f>'DATA consolidated-leasing'!O320</f>
        <v/>
      </c>
      <c r="G53" s="130" t="str">
        <f>'DATA consolidated-leasing'!Q320</f>
        <v/>
      </c>
      <c r="H53" s="130" t="str">
        <f>'DATA consolidated-leasing'!R320</f>
        <v/>
      </c>
      <c r="I53" s="130" t="str">
        <f>'DATA consolidated-leasing'!S320</f>
        <v/>
      </c>
      <c r="J53" s="132" t="str">
        <f>'DATA consolidated-leasing'!X320</f>
        <v>NA</v>
      </c>
      <c r="K53" s="132" t="str">
        <f>'DATA consolidated-leasing'!Z320</f>
        <v>NA</v>
      </c>
    </row>
    <row r="54" spans="1:13">
      <c r="A54" s="128" t="str">
        <f>'DATA consolidated-leasing'!F321</f>
        <v>Memphis</v>
      </c>
      <c r="B54" s="129">
        <f>'DATA consolidated-leasing'!H321</f>
        <v>17</v>
      </c>
      <c r="C54" s="130">
        <f>'DATA consolidated-leasing'!I321</f>
        <v>3.8379748679696353</v>
      </c>
      <c r="D54" s="131">
        <f>'DATA consolidated-leasing'!J321</f>
        <v>313438</v>
      </c>
      <c r="E54" s="130">
        <f>'DATA consolidated-leasing'!N321</f>
        <v>3.127907512548342</v>
      </c>
      <c r="F54" s="130">
        <f>'DATA consolidated-leasing'!O321</f>
        <v>4.1830641147531571</v>
      </c>
      <c r="G54" s="130">
        <f>'DATA consolidated-leasing'!Q321</f>
        <v>4.5351801632220727</v>
      </c>
      <c r="H54" s="130">
        <f>'DATA consolidated-leasing'!R321</f>
        <v>3.5245455241546972</v>
      </c>
      <c r="I54" s="130">
        <f>'DATA consolidated-leasing'!S321</f>
        <v>3.2440674072703373</v>
      </c>
      <c r="J54" s="132">
        <f>'DATA consolidated-leasing'!X321</f>
        <v>0.43913761073051494</v>
      </c>
      <c r="K54" s="132">
        <f>'DATA consolidated-leasing'!Z321</f>
        <v>8.417658415204432E-2</v>
      </c>
    </row>
    <row r="55" spans="1:13">
      <c r="A55" s="128" t="str">
        <f>'DATA consolidated-leasing'!F322</f>
        <v>Miami</v>
      </c>
      <c r="B55" s="129">
        <f>'DATA consolidated-leasing'!H322</f>
        <v>3</v>
      </c>
      <c r="C55" s="130">
        <f>'DATA consolidated-leasing'!I322</f>
        <v>9.1632556658896505</v>
      </c>
      <c r="D55" s="131">
        <f>'DATA consolidated-leasing'!J322</f>
        <v>97381</v>
      </c>
      <c r="E55" s="130">
        <f>'DATA consolidated-leasing'!N322</f>
        <v>8.5</v>
      </c>
      <c r="F55" s="130">
        <f>'DATA consolidated-leasing'!O322</f>
        <v>11.889715858329653</v>
      </c>
      <c r="G55" s="130">
        <f>'DATA consolidated-leasing'!Q322</f>
        <v>12.865647816309135</v>
      </c>
      <c r="H55" s="130">
        <f>'DATA consolidated-leasing'!R322</f>
        <v>3.835275875170721</v>
      </c>
      <c r="I55" s="130">
        <f>'DATA consolidated-leasing'!S322</f>
        <v>3.7399184645875478</v>
      </c>
      <c r="J55" s="132">
        <f>'DATA consolidated-leasing'!X322</f>
        <v>0.17058823529411749</v>
      </c>
      <c r="K55" s="132">
        <f>'DATA consolidated-leasing'!Z322</f>
        <v>8.2082025307254725E-2</v>
      </c>
    </row>
    <row r="56" spans="1:13">
      <c r="A56" s="128" t="str">
        <f>'DATA consolidated-leasing'!F323</f>
        <v>North New Jersey</v>
      </c>
      <c r="B56" s="129">
        <f>'DATA consolidated-leasing'!H323</f>
        <v>8</v>
      </c>
      <c r="C56" s="130">
        <f>'DATA consolidated-leasing'!I323</f>
        <v>6.1307208110516926</v>
      </c>
      <c r="D56" s="131">
        <f>'DATA consolidated-leasing'!J323</f>
        <v>179520</v>
      </c>
      <c r="E56" s="130">
        <f>'DATA consolidated-leasing'!N323</f>
        <v>11.412396167557933</v>
      </c>
      <c r="F56" s="130">
        <f>'DATA consolidated-leasing'!O323</f>
        <v>15.776672014260248</v>
      </c>
      <c r="G56" s="130">
        <f>'DATA consolidated-leasing'!Q323</f>
        <v>15.707709447415329</v>
      </c>
      <c r="H56" s="130">
        <f>'DATA consolidated-leasing'!R323</f>
        <v>3.5430815508021389</v>
      </c>
      <c r="I56" s="130">
        <f>'DATA consolidated-leasing'!S323</f>
        <v>3.4325646167557933</v>
      </c>
      <c r="J56" s="132">
        <f>'DATA consolidated-leasing'!X323</f>
        <v>0.37637260543650775</v>
      </c>
      <c r="K56" s="132">
        <f>'DATA consolidated-leasing'!Z323</f>
        <v>-4.3711732602784714E-3</v>
      </c>
    </row>
    <row r="57" spans="1:13" hidden="1">
      <c r="A57" s="128" t="str">
        <f>'DATA consolidated-leasing'!F324</f>
        <v>San Antonio</v>
      </c>
      <c r="B57" s="129">
        <f>'DATA consolidated-leasing'!H324</f>
        <v>0</v>
      </c>
      <c r="C57" s="130" t="str">
        <f>'DATA consolidated-leasing'!I324</f>
        <v/>
      </c>
      <c r="D57" s="131">
        <f>'DATA consolidated-leasing'!J324</f>
        <v>0</v>
      </c>
      <c r="E57" s="130" t="str">
        <f>'DATA consolidated-leasing'!N324</f>
        <v/>
      </c>
      <c r="F57" s="130" t="str">
        <f>'DATA consolidated-leasing'!O324</f>
        <v/>
      </c>
      <c r="G57" s="130" t="str">
        <f>'DATA consolidated-leasing'!Q324</f>
        <v/>
      </c>
      <c r="H57" s="130" t="str">
        <f>'DATA consolidated-leasing'!R324</f>
        <v/>
      </c>
      <c r="I57" s="130" t="str">
        <f>'DATA consolidated-leasing'!S324</f>
        <v/>
      </c>
      <c r="J57" s="132" t="str">
        <f>'DATA consolidated-leasing'!X324</f>
        <v>NA</v>
      </c>
      <c r="K57" s="132" t="str">
        <f>'DATA consolidated-leasing'!Z324</f>
        <v>NA</v>
      </c>
    </row>
    <row r="58" spans="1:13" hidden="1">
      <c r="A58" s="128" t="str">
        <f>'DATA consolidated-leasing'!F325</f>
        <v>Tampa</v>
      </c>
      <c r="B58" s="129">
        <f>'DATA consolidated-leasing'!H325</f>
        <v>0</v>
      </c>
      <c r="C58" s="130" t="str">
        <f>'DATA consolidated-leasing'!I325</f>
        <v/>
      </c>
      <c r="D58" s="131">
        <f>'DATA consolidated-leasing'!J325</f>
        <v>0</v>
      </c>
      <c r="E58" s="130" t="str">
        <f>'DATA consolidated-leasing'!N325</f>
        <v/>
      </c>
      <c r="F58" s="130" t="str">
        <f>'DATA consolidated-leasing'!O325</f>
        <v/>
      </c>
      <c r="G58" s="130" t="str">
        <f>'DATA consolidated-leasing'!Q325</f>
        <v/>
      </c>
      <c r="H58" s="130" t="str">
        <f>'DATA consolidated-leasing'!R325</f>
        <v/>
      </c>
      <c r="I58" s="130" t="str">
        <f>'DATA consolidated-leasing'!S325</f>
        <v/>
      </c>
      <c r="J58" s="132" t="str">
        <f>'DATA consolidated-leasing'!X325</f>
        <v>NA</v>
      </c>
      <c r="K58" s="132" t="str">
        <f>'DATA consolidated-leasing'!Z325</f>
        <v>NA</v>
      </c>
    </row>
    <row r="59" spans="1:13" s="133" customFormat="1">
      <c r="A59" s="133" t="str">
        <f>'DATA consolidated-leasing'!F326</f>
        <v>Total</v>
      </c>
      <c r="B59" s="134">
        <f>'DATA consolidated-leasing'!H326</f>
        <v>67</v>
      </c>
      <c r="C59" s="135">
        <f>'DATA consolidated-leasing'!I326</f>
        <v>5.0510384951633096</v>
      </c>
      <c r="D59" s="136">
        <f>'DATA consolidated-leasing'!J326</f>
        <v>1588035</v>
      </c>
      <c r="E59" s="135">
        <f>'DATA consolidated-leasing'!N326</f>
        <v>5.869900160518652</v>
      </c>
      <c r="F59" s="135">
        <f>'DATA consolidated-leasing'!O326</f>
        <v>7.9221882395539138</v>
      </c>
      <c r="G59" s="135">
        <f>'DATA consolidated-leasing'!Q326</f>
        <v>8.6002167521496684</v>
      </c>
      <c r="H59" s="135">
        <f>'DATA consolidated-leasing'!R326</f>
        <v>3.3363091493575396</v>
      </c>
      <c r="I59" s="135">
        <f>'DATA consolidated-leasing'!S326</f>
        <v>3.323795728683562</v>
      </c>
      <c r="J59" s="137">
        <f>'DATA consolidated-leasing'!X326</f>
        <v>0.37096518130629885</v>
      </c>
      <c r="K59" s="137">
        <f>'DATA consolidated-leasing'!Z326</f>
        <v>8.5586013875622591E-2</v>
      </c>
    </row>
    <row r="60" spans="1:13">
      <c r="A60" s="138" t="s">
        <v>52</v>
      </c>
      <c r="G60" s="157"/>
      <c r="H60" s="157"/>
      <c r="I60" s="157"/>
      <c r="J60" s="157"/>
      <c r="K60" s="157"/>
      <c r="L60" s="158"/>
      <c r="M60" s="158"/>
    </row>
    <row r="61" spans="1:13">
      <c r="A61" s="138" t="s">
        <v>53</v>
      </c>
      <c r="G61" s="157"/>
      <c r="H61" s="157"/>
      <c r="I61" s="157"/>
      <c r="J61" s="157"/>
      <c r="K61" s="157"/>
      <c r="L61" s="158"/>
      <c r="M61" s="158"/>
    </row>
    <row r="62" spans="1:13">
      <c r="G62" s="157"/>
      <c r="H62" s="157"/>
      <c r="I62" s="157"/>
      <c r="J62" s="157"/>
      <c r="K62" s="157"/>
      <c r="L62" s="158"/>
      <c r="M62" s="158"/>
    </row>
    <row r="63" spans="1:13">
      <c r="A63" s="138"/>
      <c r="G63" s="157"/>
      <c r="H63" s="157"/>
      <c r="I63" s="157"/>
      <c r="J63" s="157"/>
      <c r="K63" s="157"/>
      <c r="L63" s="158"/>
      <c r="M63" s="158"/>
    </row>
    <row r="64" spans="1:13">
      <c r="A64" s="138"/>
      <c r="G64" s="157"/>
      <c r="H64" s="157"/>
      <c r="I64" s="157"/>
      <c r="J64" s="157"/>
      <c r="K64" s="157"/>
      <c r="L64" s="158"/>
      <c r="M64" s="158"/>
    </row>
    <row r="65" spans="1:13">
      <c r="G65" s="157"/>
      <c r="H65" s="157"/>
      <c r="I65" s="157"/>
      <c r="J65" s="157"/>
      <c r="K65" s="157"/>
      <c r="L65" s="158"/>
      <c r="M65" s="158"/>
    </row>
    <row r="66" spans="1:13">
      <c r="G66" s="157"/>
      <c r="H66" s="157"/>
      <c r="I66" s="157"/>
      <c r="J66" s="157"/>
      <c r="K66" s="157"/>
      <c r="L66" s="158"/>
      <c r="M66" s="158"/>
    </row>
    <row r="67" spans="1:13">
      <c r="A67" s="127" t="s">
        <v>57</v>
      </c>
    </row>
    <row r="68" spans="1:13" ht="36">
      <c r="A68" s="125" t="s">
        <v>41</v>
      </c>
      <c r="B68" s="126" t="s">
        <v>42</v>
      </c>
      <c r="C68" s="126" t="s">
        <v>43</v>
      </c>
      <c r="D68" s="126" t="s">
        <v>44</v>
      </c>
      <c r="E68" s="126" t="s">
        <v>45</v>
      </c>
      <c r="F68" s="126" t="s">
        <v>46</v>
      </c>
      <c r="G68" s="126" t="s">
        <v>58</v>
      </c>
      <c r="H68" s="126" t="s">
        <v>47</v>
      </c>
      <c r="I68" s="126" t="s">
        <v>48</v>
      </c>
      <c r="J68" s="126" t="s">
        <v>49</v>
      </c>
      <c r="K68" s="126" t="s">
        <v>50</v>
      </c>
      <c r="L68" s="126" t="s">
        <v>51</v>
      </c>
    </row>
    <row r="69" spans="1:13">
      <c r="A69" s="128" t="str">
        <f>'DATA consolidated-leasing'!F370</f>
        <v>Atlanta</v>
      </c>
      <c r="B69" s="129">
        <f>'DATA consolidated-leasing'!H370</f>
        <v>3</v>
      </c>
      <c r="C69" s="130">
        <f>'DATA consolidated-leasing'!I370</f>
        <v>3.5739083989851785</v>
      </c>
      <c r="D69" s="131">
        <f>'DATA consolidated-leasing'!J370</f>
        <v>44934</v>
      </c>
      <c r="E69" s="130">
        <f>'DATA consolidated-leasing'!N370</f>
        <v>4.9039124048604616</v>
      </c>
      <c r="F69" s="130">
        <f>'DATA consolidated-leasing'!O370</f>
        <v>7.6592624738505375</v>
      </c>
      <c r="G69" s="130">
        <f>'DATA consolidated-leasing'!P370</f>
        <v>6.5577593804246224</v>
      </c>
      <c r="H69" s="130">
        <f>'DATA consolidated-leasing'!Q370</f>
        <v>7.0756278096764147</v>
      </c>
      <c r="I69" s="130">
        <f>'DATA consolidated-leasing'!R370</f>
        <v>3.5695687007611161</v>
      </c>
      <c r="J69" s="130">
        <f>'DATA consolidated-leasing'!S370</f>
        <v>3.2869541994925893</v>
      </c>
      <c r="K69" s="132">
        <f>'DATA consolidated-leasing'!X370</f>
        <v>0.44285362900517544</v>
      </c>
      <c r="L69" s="132">
        <f>'DATA consolidated-leasing'!Z370</f>
        <v>-7.6199851639333183E-2</v>
      </c>
    </row>
    <row r="70" spans="1:13">
      <c r="A70" s="128" t="str">
        <f>'DATA consolidated-leasing'!F371</f>
        <v>Baltimore/DC</v>
      </c>
      <c r="B70" s="129">
        <f>'DATA consolidated-leasing'!H371</f>
        <v>1</v>
      </c>
      <c r="C70" s="130">
        <f>'DATA consolidated-leasing'!I371</f>
        <v>4.583333333333333</v>
      </c>
      <c r="D70" s="131">
        <f>'DATA consolidated-leasing'!J371</f>
        <v>3408</v>
      </c>
      <c r="E70" s="130">
        <f>'DATA consolidated-leasing'!N371</f>
        <v>11.069999999999999</v>
      </c>
      <c r="F70" s="130">
        <f>'DATA consolidated-leasing'!O371</f>
        <v>13.11</v>
      </c>
      <c r="G70" s="130">
        <f>'DATA consolidated-leasing'!P371</f>
        <v>12.5</v>
      </c>
      <c r="H70" s="130">
        <f>'DATA consolidated-leasing'!Q371</f>
        <v>12</v>
      </c>
      <c r="I70" s="130">
        <f>'DATA consolidated-leasing'!R371</f>
        <v>3</v>
      </c>
      <c r="J70" s="130">
        <f>'DATA consolidated-leasing'!S371</f>
        <v>4</v>
      </c>
      <c r="K70" s="132">
        <f>'DATA consolidated-leasing'!X371</f>
        <v>8.4010840108401208E-2</v>
      </c>
      <c r="L70" s="132">
        <f>'DATA consolidated-leasing'!Z371</f>
        <v>-8.4668192219679583E-2</v>
      </c>
    </row>
    <row r="71" spans="1:13">
      <c r="A71" s="128" t="str">
        <f>'DATA consolidated-leasing'!F372</f>
        <v>Charlotte</v>
      </c>
      <c r="B71" s="129">
        <f>'DATA consolidated-leasing'!H372</f>
        <v>1</v>
      </c>
      <c r="C71" s="130">
        <f>'DATA consolidated-leasing'!I372</f>
        <v>1.5833333333333333</v>
      </c>
      <c r="D71" s="131">
        <f>'DATA consolidated-leasing'!J372</f>
        <v>80000</v>
      </c>
      <c r="E71" s="130">
        <f>'DATA consolidated-leasing'!N372</f>
        <v>5.07</v>
      </c>
      <c r="F71" s="130">
        <f>'DATA consolidated-leasing'!O372</f>
        <v>7.97</v>
      </c>
      <c r="G71" s="130">
        <f>'DATA consolidated-leasing'!P372</f>
        <v>9.25</v>
      </c>
      <c r="H71" s="130">
        <f>'DATA consolidated-leasing'!Q372</f>
        <v>9.75</v>
      </c>
      <c r="I71" s="130">
        <f>'DATA consolidated-leasing'!R372</f>
        <v>4</v>
      </c>
      <c r="J71" s="130">
        <f>'DATA consolidated-leasing'!S372</f>
        <v>4</v>
      </c>
      <c r="K71" s="132">
        <f>'DATA consolidated-leasing'!X372</f>
        <v>0.92307692307692291</v>
      </c>
      <c r="L71" s="132">
        <f>'DATA consolidated-leasing'!Z372</f>
        <v>0.22333751568381444</v>
      </c>
    </row>
    <row r="72" spans="1:13">
      <c r="A72" s="128" t="str">
        <f>'DATA consolidated-leasing'!F373</f>
        <v>Chicago</v>
      </c>
      <c r="B72" s="129">
        <f>'DATA consolidated-leasing'!H373</f>
        <v>3</v>
      </c>
      <c r="C72" s="130">
        <f>'DATA consolidated-leasing'!I373</f>
        <v>5.9156560045672668</v>
      </c>
      <c r="D72" s="131">
        <f>'DATA consolidated-leasing'!J373</f>
        <v>64809</v>
      </c>
      <c r="E72" s="130">
        <f>'DATA consolidated-leasing'!N373</f>
        <v>6.6979817617923434</v>
      </c>
      <c r="F72" s="130">
        <f>'DATA consolidated-leasing'!O373</f>
        <v>6.5284011479887054</v>
      </c>
      <c r="G72" s="130">
        <f>'DATA consolidated-leasing'!P373</f>
        <v>8.6645489052446418</v>
      </c>
      <c r="H72" s="130">
        <f>'DATA consolidated-leasing'!Q373</f>
        <v>8.8477780863768931</v>
      </c>
      <c r="I72" s="130">
        <f>'DATA consolidated-leasing'!R373</f>
        <v>3.5</v>
      </c>
      <c r="J72" s="130">
        <f>'DATA consolidated-leasing'!S373</f>
        <v>2.6677313336110724</v>
      </c>
      <c r="K72" s="132">
        <f>'DATA consolidated-leasing'!X373</f>
        <v>0.32096180626345516</v>
      </c>
      <c r="L72" s="132">
        <f>'DATA consolidated-leasing'!Z373</f>
        <v>0.35527488060422718</v>
      </c>
    </row>
    <row r="73" spans="1:13">
      <c r="A73" s="128" t="str">
        <f>'DATA consolidated-leasing'!F374</f>
        <v>Cincinnati</v>
      </c>
      <c r="B73" s="129">
        <f>'DATA consolidated-leasing'!H374</f>
        <v>1</v>
      </c>
      <c r="C73" s="130">
        <f>'DATA consolidated-leasing'!I374</f>
        <v>2</v>
      </c>
      <c r="D73" s="131">
        <f>'DATA consolidated-leasing'!J374</f>
        <v>111087</v>
      </c>
      <c r="E73" s="130">
        <f>'DATA consolidated-leasing'!N374</f>
        <v>4.12</v>
      </c>
      <c r="F73" s="130">
        <f>'DATA consolidated-leasing'!O374</f>
        <v>3.63</v>
      </c>
      <c r="G73" s="130">
        <f>'DATA consolidated-leasing'!P374</f>
        <v>4.29</v>
      </c>
      <c r="H73" s="130">
        <f>'DATA consolidated-leasing'!Q374</f>
        <v>4.29</v>
      </c>
      <c r="I73" s="130">
        <f>'DATA consolidated-leasing'!R374</f>
        <v>4</v>
      </c>
      <c r="J73" s="130">
        <f>'DATA consolidated-leasing'!S374</f>
        <v>3</v>
      </c>
      <c r="K73" s="132">
        <f>'DATA consolidated-leasing'!X374</f>
        <v>4.1262135922329968E-2</v>
      </c>
      <c r="L73" s="132">
        <f>'DATA consolidated-leasing'!Z374</f>
        <v>0.18181818181818188</v>
      </c>
    </row>
    <row r="74" spans="1:13">
      <c r="A74" s="128" t="str">
        <f>'DATA consolidated-leasing'!F375</f>
        <v>Columbus</v>
      </c>
      <c r="B74" s="129">
        <f>'DATA consolidated-leasing'!H375</f>
        <v>0</v>
      </c>
      <c r="C74" s="130" t="str">
        <f>'DATA consolidated-leasing'!I375</f>
        <v/>
      </c>
      <c r="D74" s="131">
        <f>'DATA consolidated-leasing'!J375</f>
        <v>0</v>
      </c>
      <c r="E74" s="130" t="str">
        <f>'DATA consolidated-leasing'!N375</f>
        <v/>
      </c>
      <c r="F74" s="130" t="str">
        <f>'DATA consolidated-leasing'!O375</f>
        <v/>
      </c>
      <c r="G74" s="130" t="str">
        <f>'DATA consolidated-leasing'!P375</f>
        <v/>
      </c>
      <c r="H74" s="130" t="str">
        <f>'DATA consolidated-leasing'!Q375</f>
        <v/>
      </c>
      <c r="I74" s="130" t="str">
        <f>'DATA consolidated-leasing'!R375</f>
        <v/>
      </c>
      <c r="J74" s="130" t="str">
        <f>'DATA consolidated-leasing'!S375</f>
        <v/>
      </c>
      <c r="K74" s="132" t="str">
        <f>'DATA consolidated-leasing'!X375</f>
        <v>NA</v>
      </c>
      <c r="L74" s="132" t="str">
        <f>'DATA consolidated-leasing'!Z375</f>
        <v>NA</v>
      </c>
    </row>
    <row r="75" spans="1:13">
      <c r="A75" s="128" t="str">
        <f>'DATA consolidated-leasing'!F376</f>
        <v>Dallas</v>
      </c>
      <c r="B75" s="129">
        <f>'DATA consolidated-leasing'!H376</f>
        <v>1</v>
      </c>
      <c r="C75" s="130">
        <f>'DATA consolidated-leasing'!I376</f>
        <v>3.0833333333333335</v>
      </c>
      <c r="D75" s="131">
        <f>'DATA consolidated-leasing'!J376</f>
        <v>6924</v>
      </c>
      <c r="E75" s="130">
        <f>'DATA consolidated-leasing'!N376</f>
        <v>8.1199999999999992</v>
      </c>
      <c r="F75" s="130">
        <f>'DATA consolidated-leasing'!O376</f>
        <v>8.1199999999999992</v>
      </c>
      <c r="G75" s="130">
        <f>'DATA consolidated-leasing'!P376</f>
        <v>8.25</v>
      </c>
      <c r="H75" s="130">
        <f>'DATA consolidated-leasing'!Q376</f>
        <v>11.5</v>
      </c>
      <c r="I75" s="130">
        <f>'DATA consolidated-leasing'!R376</f>
        <v>4.5</v>
      </c>
      <c r="J75" s="130">
        <f>'DATA consolidated-leasing'!S376</f>
        <v>3</v>
      </c>
      <c r="K75" s="132">
        <f>'DATA consolidated-leasing'!X376</f>
        <v>0.41625615763546819</v>
      </c>
      <c r="L75" s="132">
        <f>'DATA consolidated-leasing'!Z376</f>
        <v>0.41625615763546819</v>
      </c>
    </row>
    <row r="76" spans="1:13">
      <c r="A76" s="128" t="str">
        <f>'DATA consolidated-leasing'!F377</f>
        <v>Greater Philadelphia</v>
      </c>
      <c r="B76" s="129">
        <f>'DATA consolidated-leasing'!H377</f>
        <v>3</v>
      </c>
      <c r="C76" s="130">
        <f>'DATA consolidated-leasing'!I377</f>
        <v>5.4993680728172238</v>
      </c>
      <c r="D76" s="131">
        <f>'DATA consolidated-leasing'!J377</f>
        <v>111036</v>
      </c>
      <c r="E76" s="130">
        <f>'DATA consolidated-leasing'!N377</f>
        <v>4.8883666931276935</v>
      </c>
      <c r="F76" s="130">
        <f>'DATA consolidated-leasing'!O377</f>
        <v>8.0222938506430346</v>
      </c>
      <c r="G76" s="130">
        <f>'DATA consolidated-leasing'!P377</f>
        <v>10.07121564177384</v>
      </c>
      <c r="H76" s="130">
        <f>'DATA consolidated-leasing'!Q377</f>
        <v>9.2067932922655711</v>
      </c>
      <c r="I76" s="130">
        <f>'DATA consolidated-leasing'!R377</f>
        <v>3.9279648042076443</v>
      </c>
      <c r="J76" s="130">
        <f>'DATA consolidated-leasing'!S377</f>
        <v>3.2881407831694225</v>
      </c>
      <c r="K76" s="132">
        <f>'DATA consolidated-leasing'!X377</f>
        <v>0.73155940754125592</v>
      </c>
      <c r="L76" s="132">
        <f>'DATA consolidated-leasing'!Z377</f>
        <v>0.14765096662815358</v>
      </c>
    </row>
    <row r="77" spans="1:13">
      <c r="A77" s="128" t="str">
        <f>'DATA consolidated-leasing'!F378</f>
        <v>Houston</v>
      </c>
      <c r="B77" s="129">
        <f>'DATA consolidated-leasing'!H378</f>
        <v>0</v>
      </c>
      <c r="C77" s="130" t="str">
        <f>'DATA consolidated-leasing'!I378</f>
        <v/>
      </c>
      <c r="D77" s="131">
        <f>'DATA consolidated-leasing'!J378</f>
        <v>0</v>
      </c>
      <c r="E77" s="130" t="str">
        <f>'DATA consolidated-leasing'!N378</f>
        <v/>
      </c>
      <c r="F77" s="130" t="str">
        <f>'DATA consolidated-leasing'!O378</f>
        <v/>
      </c>
      <c r="G77" s="130" t="str">
        <f>'DATA consolidated-leasing'!P378</f>
        <v/>
      </c>
      <c r="H77" s="130" t="str">
        <f>'DATA consolidated-leasing'!Q378</f>
        <v/>
      </c>
      <c r="I77" s="130" t="str">
        <f>'DATA consolidated-leasing'!R378</f>
        <v/>
      </c>
      <c r="J77" s="130" t="str">
        <f>'DATA consolidated-leasing'!S378</f>
        <v/>
      </c>
      <c r="K77" s="132" t="str">
        <f>'DATA consolidated-leasing'!X378</f>
        <v>NA</v>
      </c>
      <c r="L77" s="132" t="str">
        <f>'DATA consolidated-leasing'!Z378</f>
        <v>NA</v>
      </c>
    </row>
    <row r="78" spans="1:13">
      <c r="A78" s="128" t="str">
        <f>'DATA consolidated-leasing'!F379</f>
        <v>Jacksonville</v>
      </c>
      <c r="B78" s="129">
        <f>'DATA consolidated-leasing'!H379</f>
        <v>0</v>
      </c>
      <c r="C78" s="130" t="str">
        <f>'DATA consolidated-leasing'!I379</f>
        <v/>
      </c>
      <c r="D78" s="131">
        <f>'DATA consolidated-leasing'!J379</f>
        <v>0</v>
      </c>
      <c r="E78" s="130" t="str">
        <f>'DATA consolidated-leasing'!N379</f>
        <v/>
      </c>
      <c r="F78" s="130" t="str">
        <f>'DATA consolidated-leasing'!O379</f>
        <v/>
      </c>
      <c r="G78" s="130" t="str">
        <f>'DATA consolidated-leasing'!P379</f>
        <v/>
      </c>
      <c r="H78" s="130" t="str">
        <f>'DATA consolidated-leasing'!Q379</f>
        <v/>
      </c>
      <c r="I78" s="130" t="str">
        <f>'DATA consolidated-leasing'!R379</f>
        <v/>
      </c>
      <c r="J78" s="130" t="str">
        <f>'DATA consolidated-leasing'!S379</f>
        <v/>
      </c>
      <c r="K78" s="132" t="str">
        <f>'DATA consolidated-leasing'!X379</f>
        <v>NA</v>
      </c>
      <c r="L78" s="132" t="str">
        <f>'DATA consolidated-leasing'!Z379</f>
        <v>NA</v>
      </c>
    </row>
    <row r="79" spans="1:13">
      <c r="A79" s="128" t="str">
        <f>'DATA consolidated-leasing'!F380</f>
        <v>Memphis</v>
      </c>
      <c r="B79" s="129">
        <f>'DATA consolidated-leasing'!H380</f>
        <v>3</v>
      </c>
      <c r="C79" s="130">
        <f>'DATA consolidated-leasing'!I380</f>
        <v>4.5175887213180035</v>
      </c>
      <c r="D79" s="131">
        <f>'DATA consolidated-leasing'!J380</f>
        <v>26788</v>
      </c>
      <c r="E79" s="130">
        <f>'DATA consolidated-leasing'!N380</f>
        <v>4.2356768558951963</v>
      </c>
      <c r="F79" s="130">
        <f>'DATA consolidated-leasing'!O380</f>
        <v>4.8745707032999848</v>
      </c>
      <c r="G79" s="130">
        <f>'DATA consolidated-leasing'!P380</f>
        <v>4.5829830521128869</v>
      </c>
      <c r="H79" s="130">
        <f>'DATA consolidated-leasing'!Q380</f>
        <v>5.1999141406599962</v>
      </c>
      <c r="I79" s="130">
        <f>'DATA consolidated-leasing'!R380</f>
        <v>3.320572644467672</v>
      </c>
      <c r="J79" s="130">
        <f>'DATA consolidated-leasing'!S380</f>
        <v>3</v>
      </c>
      <c r="K79" s="132">
        <f>'DATA consolidated-leasing'!X380</f>
        <v>0.1747786014000432</v>
      </c>
      <c r="L79" s="132">
        <f>'DATA consolidated-leasing'!Z380</f>
        <v>6.6742992801347656E-2</v>
      </c>
    </row>
    <row r="80" spans="1:13">
      <c r="A80" s="128" t="str">
        <f>'DATA consolidated-leasing'!F381</f>
        <v>Miami</v>
      </c>
      <c r="B80" s="129">
        <f>'DATA consolidated-leasing'!H381</f>
        <v>0</v>
      </c>
      <c r="C80" s="130" t="str">
        <f>'DATA consolidated-leasing'!I381</f>
        <v/>
      </c>
      <c r="D80" s="131">
        <f>'DATA consolidated-leasing'!J381</f>
        <v>0</v>
      </c>
      <c r="E80" s="130" t="str">
        <f>'DATA consolidated-leasing'!N381</f>
        <v/>
      </c>
      <c r="F80" s="130" t="str">
        <f>'DATA consolidated-leasing'!O381</f>
        <v/>
      </c>
      <c r="G80" s="130" t="str">
        <f>'DATA consolidated-leasing'!P381</f>
        <v/>
      </c>
      <c r="H80" s="130" t="str">
        <f>'DATA consolidated-leasing'!Q381</f>
        <v/>
      </c>
      <c r="I80" s="130" t="str">
        <f>'DATA consolidated-leasing'!R381</f>
        <v/>
      </c>
      <c r="J80" s="130" t="str">
        <f>'DATA consolidated-leasing'!S381</f>
        <v/>
      </c>
      <c r="K80" s="132" t="str">
        <f>'DATA consolidated-leasing'!X381</f>
        <v>NA</v>
      </c>
      <c r="L80" s="132" t="str">
        <f>'DATA consolidated-leasing'!Z381</f>
        <v>NA</v>
      </c>
    </row>
    <row r="81" spans="1:12">
      <c r="A81" s="128" t="str">
        <f>'DATA consolidated-leasing'!F382</f>
        <v>North New Jersey</v>
      </c>
      <c r="B81" s="129">
        <f>'DATA consolidated-leasing'!H382</f>
        <v>1</v>
      </c>
      <c r="C81" s="130">
        <f>'DATA consolidated-leasing'!I382</f>
        <v>5</v>
      </c>
      <c r="D81" s="131">
        <f>'DATA consolidated-leasing'!J382</f>
        <v>32264</v>
      </c>
      <c r="E81" s="130">
        <f>'DATA consolidated-leasing'!N382</f>
        <v>12.22</v>
      </c>
      <c r="F81" s="130">
        <f>'DATA consolidated-leasing'!O382</f>
        <v>13.77</v>
      </c>
      <c r="G81" s="130">
        <f>'DATA consolidated-leasing'!P382</f>
        <v>15</v>
      </c>
      <c r="H81" s="130">
        <f>'DATA consolidated-leasing'!Q382</f>
        <v>15</v>
      </c>
      <c r="I81" s="130">
        <f>'DATA consolidated-leasing'!R382</f>
        <v>3</v>
      </c>
      <c r="J81" s="130">
        <f>'DATA consolidated-leasing'!S382</f>
        <v>3.5</v>
      </c>
      <c r="K81" s="132">
        <f>'DATA consolidated-leasing'!X382</f>
        <v>0.22749590834697209</v>
      </c>
      <c r="L81" s="132">
        <f>'DATA consolidated-leasing'!Z382</f>
        <v>8.9324618736383421E-2</v>
      </c>
    </row>
    <row r="82" spans="1:12">
      <c r="A82" s="128" t="str">
        <f>'DATA consolidated-leasing'!F383</f>
        <v>San Antonio</v>
      </c>
      <c r="B82" s="129">
        <f>'DATA consolidated-leasing'!H383</f>
        <v>0</v>
      </c>
      <c r="C82" s="130" t="str">
        <f>'DATA consolidated-leasing'!I383</f>
        <v/>
      </c>
      <c r="D82" s="131">
        <f>'DATA consolidated-leasing'!J383</f>
        <v>0</v>
      </c>
      <c r="E82" s="130" t="str">
        <f>'DATA consolidated-leasing'!N383</f>
        <v/>
      </c>
      <c r="F82" s="130" t="str">
        <f>'DATA consolidated-leasing'!O383</f>
        <v/>
      </c>
      <c r="G82" s="130" t="str">
        <f>'DATA consolidated-leasing'!P383</f>
        <v/>
      </c>
      <c r="H82" s="130" t="str">
        <f>'DATA consolidated-leasing'!Q383</f>
        <v/>
      </c>
      <c r="I82" s="130" t="str">
        <f>'DATA consolidated-leasing'!R383</f>
        <v/>
      </c>
      <c r="J82" s="130" t="str">
        <f>'DATA consolidated-leasing'!S383</f>
        <v/>
      </c>
      <c r="K82" s="132" t="str">
        <f>'DATA consolidated-leasing'!X383</f>
        <v>NA</v>
      </c>
      <c r="L82" s="132" t="str">
        <f>'DATA consolidated-leasing'!Z383</f>
        <v>NA</v>
      </c>
    </row>
    <row r="83" spans="1:12">
      <c r="A83" s="128" t="str">
        <f>'DATA consolidated-leasing'!F384</f>
        <v>Tampa</v>
      </c>
      <c r="B83" s="129">
        <f>'DATA consolidated-leasing'!H384</f>
        <v>0</v>
      </c>
      <c r="C83" s="130" t="str">
        <f>'DATA consolidated-leasing'!I384</f>
        <v/>
      </c>
      <c r="D83" s="131">
        <f>'DATA consolidated-leasing'!J384</f>
        <v>0</v>
      </c>
      <c r="E83" s="130" t="str">
        <f>'DATA consolidated-leasing'!N384</f>
        <v/>
      </c>
      <c r="F83" s="130" t="str">
        <f>'DATA consolidated-leasing'!O384</f>
        <v/>
      </c>
      <c r="G83" s="130" t="str">
        <f>'DATA consolidated-leasing'!P384</f>
        <v/>
      </c>
      <c r="H83" s="130" t="str">
        <f>'DATA consolidated-leasing'!Q384</f>
        <v/>
      </c>
      <c r="I83" s="130" t="str">
        <f>'DATA consolidated-leasing'!R384</f>
        <v/>
      </c>
      <c r="J83" s="130" t="str">
        <f>'DATA consolidated-leasing'!S384</f>
        <v/>
      </c>
      <c r="K83" s="132" t="str">
        <f>'DATA consolidated-leasing'!X384</f>
        <v>NA</v>
      </c>
      <c r="L83" s="132" t="str">
        <f>'DATA consolidated-leasing'!Z384</f>
        <v>NA</v>
      </c>
    </row>
    <row r="84" spans="1:12" s="133" customFormat="1">
      <c r="A84" s="133" t="str">
        <f>'DATA consolidated-leasing'!F385</f>
        <v>Total</v>
      </c>
      <c r="B84" s="134">
        <f>'DATA consolidated-leasing'!H385</f>
        <v>17</v>
      </c>
      <c r="C84" s="135">
        <f>'DATA consolidated-leasing'!I385</f>
        <v>3.7875374891774896</v>
      </c>
      <c r="D84" s="136">
        <f>'DATA consolidated-leasing'!J385</f>
        <v>481250</v>
      </c>
      <c r="E84" s="135">
        <f>'DATA consolidated-leasing'!N385</f>
        <v>5.6211449744285558</v>
      </c>
      <c r="F84" s="135">
        <f>'DATA consolidated-leasing'!O385</f>
        <v>7.0122113662337666</v>
      </c>
      <c r="G84" s="135">
        <f>'DATA consolidated-leasing'!P385</f>
        <v>8.0986800831168839</v>
      </c>
      <c r="H84" s="135">
        <f>'DATA consolidated-leasing'!Q385</f>
        <v>8.1329411740259747</v>
      </c>
      <c r="I84" s="135">
        <f>'DATA consolidated-leasing'!R385</f>
        <v>3.6096179553929506</v>
      </c>
      <c r="J84" s="135">
        <f>'DATA consolidated-leasing'!S385</f>
        <v>3.2553641558441559</v>
      </c>
      <c r="K84" s="137">
        <f>'DATA consolidated-leasing'!X385</f>
        <v>0.41734626563404853</v>
      </c>
      <c r="L84" s="137">
        <f>'DATA consolidated-leasing'!Z385</f>
        <v>0.15982544581997504</v>
      </c>
    </row>
    <row r="85" spans="1:12">
      <c r="A85" s="138" t="s">
        <v>52</v>
      </c>
    </row>
    <row r="86" spans="1:12">
      <c r="A86" s="138" t="s">
        <v>53</v>
      </c>
    </row>
    <row r="89" spans="1:12">
      <c r="A89" s="127" t="s">
        <v>59</v>
      </c>
    </row>
    <row r="90" spans="1:12" ht="36">
      <c r="A90" s="125" t="s">
        <v>41</v>
      </c>
      <c r="B90" s="126" t="s">
        <v>42</v>
      </c>
      <c r="C90" s="126" t="s">
        <v>60</v>
      </c>
      <c r="D90" s="126" t="s">
        <v>44</v>
      </c>
      <c r="E90" s="126" t="s">
        <v>45</v>
      </c>
      <c r="F90" s="126" t="s">
        <v>46</v>
      </c>
      <c r="G90" s="126" t="s">
        <v>58</v>
      </c>
      <c r="H90" s="126" t="s">
        <v>47</v>
      </c>
      <c r="I90" s="126" t="s">
        <v>48</v>
      </c>
      <c r="J90" s="126" t="s">
        <v>49</v>
      </c>
      <c r="K90" s="126" t="s">
        <v>50</v>
      </c>
      <c r="L90" s="126" t="s">
        <v>51</v>
      </c>
    </row>
    <row r="91" spans="1:12">
      <c r="A91" s="128" t="str">
        <f>'DATA consolidated-leasing'!F427</f>
        <v>Atlanta</v>
      </c>
      <c r="B91" s="129">
        <f>'DATA consolidated-leasing'!H427</f>
        <v>2</v>
      </c>
      <c r="C91" s="130">
        <f>'DATA consolidated-leasing'!I427</f>
        <v>3</v>
      </c>
      <c r="D91" s="131">
        <f>'DATA consolidated-leasing'!J427</f>
        <v>32040</v>
      </c>
      <c r="E91" s="130">
        <f>'DATA consolidated-leasing'!N427</f>
        <v>4.5432958801498131</v>
      </c>
      <c r="F91" s="130">
        <f>'DATA consolidated-leasing'!O427</f>
        <v>5.6910611735330834</v>
      </c>
      <c r="G91" s="130">
        <f>'DATA consolidated-leasing'!P427</f>
        <v>6.8063670411985022</v>
      </c>
      <c r="H91" s="130">
        <f>'DATA consolidated-leasing'!Q427</f>
        <v>7.5930087390761551</v>
      </c>
      <c r="I91" s="130">
        <f>'DATA consolidated-leasing'!R427</f>
        <v>4</v>
      </c>
      <c r="J91" s="130">
        <f>'DATA consolidated-leasing'!S427</f>
        <v>3</v>
      </c>
      <c r="K91" s="319">
        <f>'DATA consolidated-leasing'!X427</f>
        <v>0.67125561252809685</v>
      </c>
      <c r="L91" s="132">
        <f>'DATA consolidated-leasing'!Z427</f>
        <v>0.33419910760901539</v>
      </c>
    </row>
    <row r="92" spans="1:12">
      <c r="A92" s="128" t="str">
        <f>'DATA consolidated-leasing'!F428</f>
        <v>Baltimore/DC</v>
      </c>
      <c r="B92" s="129">
        <f>'DATA consolidated-leasing'!H428</f>
        <v>0</v>
      </c>
      <c r="C92" s="130" t="str">
        <f>'DATA consolidated-leasing'!I428</f>
        <v/>
      </c>
      <c r="D92" s="131">
        <f>'DATA consolidated-leasing'!J428</f>
        <v>0</v>
      </c>
      <c r="E92" s="130" t="str">
        <f>'DATA consolidated-leasing'!N428</f>
        <v/>
      </c>
      <c r="F92" s="130" t="str">
        <f>'DATA consolidated-leasing'!O428</f>
        <v/>
      </c>
      <c r="G92" s="130" t="str">
        <f>'DATA consolidated-leasing'!P428</f>
        <v/>
      </c>
      <c r="H92" s="130" t="str">
        <f>'DATA consolidated-leasing'!Q428</f>
        <v/>
      </c>
      <c r="I92" s="130" t="str">
        <f>'DATA consolidated-leasing'!R428</f>
        <v/>
      </c>
      <c r="J92" s="130" t="str">
        <f>'DATA consolidated-leasing'!S428</f>
        <v/>
      </c>
      <c r="K92" s="132" t="str">
        <f>'DATA consolidated-leasing'!X428</f>
        <v>NA</v>
      </c>
      <c r="L92" s="132" t="str">
        <f>'DATA consolidated-leasing'!Z428</f>
        <v>NA</v>
      </c>
    </row>
    <row r="93" spans="1:12">
      <c r="A93" s="128" t="str">
        <f>'DATA consolidated-leasing'!F429</f>
        <v>Chicago</v>
      </c>
      <c r="B93" s="129">
        <f>'DATA consolidated-leasing'!H429</f>
        <v>3</v>
      </c>
      <c r="C93" s="130">
        <f>'DATA consolidated-leasing'!I429</f>
        <v>5.9156560045672668</v>
      </c>
      <c r="D93" s="131">
        <f>'DATA consolidated-leasing'!J429</f>
        <v>64809</v>
      </c>
      <c r="E93" s="130">
        <f>'DATA consolidated-leasing'!N429</f>
        <v>6.6979817617923434</v>
      </c>
      <c r="F93" s="130">
        <f>'DATA consolidated-leasing'!O429</f>
        <v>6.5284011479887054</v>
      </c>
      <c r="G93" s="130">
        <f>'DATA consolidated-leasing'!P429</f>
        <v>8.6645489052446418</v>
      </c>
      <c r="H93" s="130">
        <f>'DATA consolidated-leasing'!Q429</f>
        <v>8.8477780863768931</v>
      </c>
      <c r="I93" s="130">
        <f>'DATA consolidated-leasing'!R429</f>
        <v>3.5</v>
      </c>
      <c r="J93" s="130">
        <f>'DATA consolidated-leasing'!S429</f>
        <v>2.6677313336110724</v>
      </c>
      <c r="K93" s="132">
        <f>'DATA consolidated-leasing'!X429</f>
        <v>0.32096180626345516</v>
      </c>
      <c r="L93" s="132">
        <f>'DATA consolidated-leasing'!Z429</f>
        <v>0.35527488060422718</v>
      </c>
    </row>
    <row r="94" spans="1:12">
      <c r="A94" s="128" t="str">
        <f>'DATA consolidated-leasing'!F430</f>
        <v>Cincinnati</v>
      </c>
      <c r="B94" s="129">
        <f>'DATA consolidated-leasing'!H430</f>
        <v>1</v>
      </c>
      <c r="C94" s="130">
        <f>'DATA consolidated-leasing'!I430</f>
        <v>2</v>
      </c>
      <c r="D94" s="131">
        <f>'DATA consolidated-leasing'!J430</f>
        <v>111087</v>
      </c>
      <c r="E94" s="130">
        <f>'DATA consolidated-leasing'!N430</f>
        <v>4.12</v>
      </c>
      <c r="F94" s="130">
        <f>'DATA consolidated-leasing'!O430</f>
        <v>3.63</v>
      </c>
      <c r="G94" s="130">
        <f>'DATA consolidated-leasing'!P430</f>
        <v>4.29</v>
      </c>
      <c r="H94" s="130">
        <f>'DATA consolidated-leasing'!Q430</f>
        <v>4.29</v>
      </c>
      <c r="I94" s="130">
        <f>'DATA consolidated-leasing'!R430</f>
        <v>4</v>
      </c>
      <c r="J94" s="130">
        <f>'DATA consolidated-leasing'!S430</f>
        <v>3</v>
      </c>
      <c r="K94" s="132">
        <f>'DATA consolidated-leasing'!X430</f>
        <v>4.1262135922329968E-2</v>
      </c>
      <c r="L94" s="132">
        <f>'DATA consolidated-leasing'!Z430</f>
        <v>0.18181818181818188</v>
      </c>
    </row>
    <row r="95" spans="1:12">
      <c r="A95" s="128" t="str">
        <f>'DATA consolidated-leasing'!F431</f>
        <v>Columbus</v>
      </c>
      <c r="B95" s="129">
        <f>'DATA consolidated-leasing'!H431</f>
        <v>0</v>
      </c>
      <c r="C95" s="130" t="str">
        <f>'DATA consolidated-leasing'!I431</f>
        <v/>
      </c>
      <c r="D95" s="131">
        <f>'DATA consolidated-leasing'!J431</f>
        <v>0</v>
      </c>
      <c r="E95" s="130" t="str">
        <f>'DATA consolidated-leasing'!N431</f>
        <v/>
      </c>
      <c r="F95" s="130" t="str">
        <f>'DATA consolidated-leasing'!O431</f>
        <v/>
      </c>
      <c r="G95" s="130" t="str">
        <f>'DATA consolidated-leasing'!P431</f>
        <v/>
      </c>
      <c r="H95" s="130" t="str">
        <f>'DATA consolidated-leasing'!Q431</f>
        <v/>
      </c>
      <c r="I95" s="130" t="str">
        <f>'DATA consolidated-leasing'!R431</f>
        <v/>
      </c>
      <c r="J95" s="130" t="str">
        <f>'DATA consolidated-leasing'!S431</f>
        <v/>
      </c>
      <c r="K95" s="132" t="str">
        <f>'DATA consolidated-leasing'!X431</f>
        <v>NA</v>
      </c>
      <c r="L95" s="132" t="str">
        <f>'DATA consolidated-leasing'!Z431</f>
        <v>NA</v>
      </c>
    </row>
    <row r="96" spans="1:12">
      <c r="A96" s="128" t="str">
        <f>'DATA consolidated-leasing'!F432</f>
        <v>Dallas</v>
      </c>
      <c r="B96" s="129">
        <f>'DATA consolidated-leasing'!H432</f>
        <v>0</v>
      </c>
      <c r="C96" s="130" t="str">
        <f>'DATA consolidated-leasing'!I432</f>
        <v/>
      </c>
      <c r="D96" s="131">
        <f>'DATA consolidated-leasing'!J432</f>
        <v>0</v>
      </c>
      <c r="E96" s="130" t="str">
        <f>'DATA consolidated-leasing'!N432</f>
        <v/>
      </c>
      <c r="F96" s="130" t="str">
        <f>'DATA consolidated-leasing'!O432</f>
        <v/>
      </c>
      <c r="G96" s="130" t="str">
        <f>'DATA consolidated-leasing'!P432</f>
        <v/>
      </c>
      <c r="H96" s="130" t="str">
        <f>'DATA consolidated-leasing'!Q432</f>
        <v/>
      </c>
      <c r="I96" s="130" t="str">
        <f>'DATA consolidated-leasing'!R432</f>
        <v/>
      </c>
      <c r="J96" s="130" t="str">
        <f>'DATA consolidated-leasing'!S432</f>
        <v/>
      </c>
      <c r="K96" s="132" t="str">
        <f>'DATA consolidated-leasing'!X432</f>
        <v>NA</v>
      </c>
      <c r="L96" s="132" t="str">
        <f>'DATA consolidated-leasing'!Z432</f>
        <v>NA</v>
      </c>
    </row>
    <row r="97" spans="1:12">
      <c r="A97" s="128" t="str">
        <f>'DATA consolidated-leasing'!F433</f>
        <v>Greater Philadelphia</v>
      </c>
      <c r="B97" s="129">
        <f>'DATA consolidated-leasing'!H433</f>
        <v>2</v>
      </c>
      <c r="C97" s="130">
        <f>'DATA consolidated-leasing'!I433</f>
        <v>5.1280711520457478</v>
      </c>
      <c r="D97" s="131">
        <f>'DATA consolidated-leasing'!J433</f>
        <v>79042</v>
      </c>
      <c r="E97" s="130">
        <f>'DATA consolidated-leasing'!N433</f>
        <v>3.75</v>
      </c>
      <c r="F97" s="130">
        <f>'DATA consolidated-leasing'!O433</f>
        <v>7.3432051314491034</v>
      </c>
      <c r="G97" s="130">
        <f>'DATA consolidated-leasing'!P433</f>
        <v>9.6952696035019361</v>
      </c>
      <c r="H97" s="130">
        <f>'DATA consolidated-leasing'!Q433</f>
        <v>9.6952696035019361</v>
      </c>
      <c r="I97" s="130">
        <f>'DATA consolidated-leasing'!R433</f>
        <v>4</v>
      </c>
      <c r="J97" s="130">
        <f>'DATA consolidated-leasing'!S433</f>
        <v>3</v>
      </c>
      <c r="K97" s="132">
        <f>'DATA consolidated-leasing'!X433</f>
        <v>1.3599999999999999</v>
      </c>
      <c r="L97" s="132">
        <f>'DATA consolidated-leasing'!Z433</f>
        <v>0.3203048845768357</v>
      </c>
    </row>
    <row r="98" spans="1:12">
      <c r="A98" s="128" t="str">
        <f>'DATA consolidated-leasing'!F434</f>
        <v>Houston</v>
      </c>
      <c r="B98" s="129">
        <f>'DATA consolidated-leasing'!H434</f>
        <v>0</v>
      </c>
      <c r="C98" s="130" t="str">
        <f>'DATA consolidated-leasing'!I434</f>
        <v/>
      </c>
      <c r="D98" s="131">
        <f>'DATA consolidated-leasing'!J434</f>
        <v>0</v>
      </c>
      <c r="E98" s="130" t="str">
        <f>'DATA consolidated-leasing'!N434</f>
        <v/>
      </c>
      <c r="F98" s="130" t="str">
        <f>'DATA consolidated-leasing'!O434</f>
        <v/>
      </c>
      <c r="G98" s="130" t="str">
        <f>'DATA consolidated-leasing'!P434</f>
        <v/>
      </c>
      <c r="H98" s="130" t="str">
        <f>'DATA consolidated-leasing'!Q434</f>
        <v/>
      </c>
      <c r="I98" s="130" t="str">
        <f>'DATA consolidated-leasing'!R434</f>
        <v/>
      </c>
      <c r="J98" s="130" t="str">
        <f>'DATA consolidated-leasing'!S434</f>
        <v/>
      </c>
      <c r="K98" s="132" t="str">
        <f>'DATA consolidated-leasing'!X434</f>
        <v>NA</v>
      </c>
      <c r="L98" s="132" t="str">
        <f>'DATA consolidated-leasing'!Z434</f>
        <v>NA</v>
      </c>
    </row>
    <row r="99" spans="1:12">
      <c r="A99" s="128" t="str">
        <f>'DATA consolidated-leasing'!F435</f>
        <v>Jacksonville</v>
      </c>
      <c r="B99" s="129">
        <f>'DATA consolidated-leasing'!H435</f>
        <v>0</v>
      </c>
      <c r="C99" s="130" t="str">
        <f>'DATA consolidated-leasing'!I435</f>
        <v/>
      </c>
      <c r="D99" s="131">
        <f>'DATA consolidated-leasing'!J435</f>
        <v>0</v>
      </c>
      <c r="E99" s="130" t="str">
        <f>'DATA consolidated-leasing'!N435</f>
        <v/>
      </c>
      <c r="F99" s="130" t="str">
        <f>'DATA consolidated-leasing'!O435</f>
        <v/>
      </c>
      <c r="G99" s="130" t="str">
        <f>'DATA consolidated-leasing'!P435</f>
        <v/>
      </c>
      <c r="H99" s="130" t="str">
        <f>'DATA consolidated-leasing'!Q435</f>
        <v/>
      </c>
      <c r="I99" s="130" t="str">
        <f>'DATA consolidated-leasing'!R435</f>
        <v/>
      </c>
      <c r="J99" s="130" t="str">
        <f>'DATA consolidated-leasing'!S435</f>
        <v/>
      </c>
      <c r="K99" s="132" t="str">
        <f>'DATA consolidated-leasing'!X435</f>
        <v>NA</v>
      </c>
      <c r="L99" s="132" t="str">
        <f>'DATA consolidated-leasing'!Z435</f>
        <v>NA</v>
      </c>
    </row>
    <row r="100" spans="1:12">
      <c r="A100" s="128" t="str">
        <f>'DATA consolidated-leasing'!F436</f>
        <v>Memphis</v>
      </c>
      <c r="B100" s="129">
        <f>'DATA consolidated-leasing'!H436</f>
        <v>0</v>
      </c>
      <c r="C100" s="130" t="str">
        <f>'DATA consolidated-leasing'!I436</f>
        <v/>
      </c>
      <c r="D100" s="131">
        <f>'DATA consolidated-leasing'!J436</f>
        <v>0</v>
      </c>
      <c r="E100" s="130" t="str">
        <f>'DATA consolidated-leasing'!N436</f>
        <v/>
      </c>
      <c r="F100" s="130" t="str">
        <f>'DATA consolidated-leasing'!O436</f>
        <v/>
      </c>
      <c r="G100" s="130" t="str">
        <f>'DATA consolidated-leasing'!P436</f>
        <v/>
      </c>
      <c r="H100" s="130" t="str">
        <f>'DATA consolidated-leasing'!Q436</f>
        <v/>
      </c>
      <c r="I100" s="130" t="str">
        <f>'DATA consolidated-leasing'!R436</f>
        <v/>
      </c>
      <c r="J100" s="130" t="str">
        <f>'DATA consolidated-leasing'!S436</f>
        <v/>
      </c>
      <c r="K100" s="132" t="str">
        <f>'DATA consolidated-leasing'!X436</f>
        <v>NA</v>
      </c>
      <c r="L100" s="132" t="str">
        <f>'DATA consolidated-leasing'!Z436</f>
        <v>NA</v>
      </c>
    </row>
    <row r="101" spans="1:12">
      <c r="A101" s="128" t="str">
        <f>'DATA consolidated-leasing'!F437</f>
        <v>Miami</v>
      </c>
      <c r="B101" s="129">
        <f>'DATA consolidated-leasing'!H437</f>
        <v>0</v>
      </c>
      <c r="C101" s="130" t="str">
        <f>'DATA consolidated-leasing'!I437</f>
        <v/>
      </c>
      <c r="D101" s="131">
        <f>'DATA consolidated-leasing'!J437</f>
        <v>0</v>
      </c>
      <c r="E101" s="130" t="str">
        <f>'DATA consolidated-leasing'!N437</f>
        <v/>
      </c>
      <c r="F101" s="130" t="str">
        <f>'DATA consolidated-leasing'!O437</f>
        <v/>
      </c>
      <c r="G101" s="130" t="str">
        <f>'DATA consolidated-leasing'!P437</f>
        <v/>
      </c>
      <c r="H101" s="130" t="str">
        <f>'DATA consolidated-leasing'!Q437</f>
        <v/>
      </c>
      <c r="I101" s="130" t="str">
        <f>'DATA consolidated-leasing'!R437</f>
        <v/>
      </c>
      <c r="J101" s="130" t="str">
        <f>'DATA consolidated-leasing'!S437</f>
        <v/>
      </c>
      <c r="K101" s="132" t="str">
        <f>'DATA consolidated-leasing'!X437</f>
        <v>NA</v>
      </c>
      <c r="L101" s="132" t="str">
        <f>'DATA consolidated-leasing'!Z437</f>
        <v>NA</v>
      </c>
    </row>
    <row r="102" spans="1:12">
      <c r="A102" s="128" t="str">
        <f>'DATA consolidated-leasing'!F438</f>
        <v>North New Jersey</v>
      </c>
      <c r="B102" s="129">
        <f>'DATA consolidated-leasing'!H438</f>
        <v>0</v>
      </c>
      <c r="C102" s="130" t="str">
        <f>'DATA consolidated-leasing'!I438</f>
        <v/>
      </c>
      <c r="D102" s="131">
        <f>'DATA consolidated-leasing'!J438</f>
        <v>0</v>
      </c>
      <c r="E102" s="130" t="str">
        <f>'DATA consolidated-leasing'!N438</f>
        <v/>
      </c>
      <c r="F102" s="130" t="str">
        <f>'DATA consolidated-leasing'!O438</f>
        <v/>
      </c>
      <c r="G102" s="130" t="str">
        <f>'DATA consolidated-leasing'!P438</f>
        <v/>
      </c>
      <c r="H102" s="130" t="str">
        <f>'DATA consolidated-leasing'!Q438</f>
        <v/>
      </c>
      <c r="I102" s="130" t="str">
        <f>'DATA consolidated-leasing'!R438</f>
        <v/>
      </c>
      <c r="J102" s="130" t="str">
        <f>'DATA consolidated-leasing'!S438</f>
        <v/>
      </c>
      <c r="K102" s="132" t="str">
        <f>'DATA consolidated-leasing'!X438</f>
        <v>NA</v>
      </c>
      <c r="L102" s="132" t="str">
        <f>'DATA consolidated-leasing'!Z438</f>
        <v>NA</v>
      </c>
    </row>
    <row r="103" spans="1:12">
      <c r="A103" s="128" t="str">
        <f>'DATA consolidated-leasing'!F439</f>
        <v>San Antonio</v>
      </c>
      <c r="B103" s="129">
        <f>'DATA consolidated-leasing'!H439</f>
        <v>0</v>
      </c>
      <c r="C103" s="130" t="str">
        <f>'DATA consolidated-leasing'!I439</f>
        <v/>
      </c>
      <c r="D103" s="131">
        <f>'DATA consolidated-leasing'!J439</f>
        <v>0</v>
      </c>
      <c r="E103" s="130" t="str">
        <f>'DATA consolidated-leasing'!N439</f>
        <v/>
      </c>
      <c r="F103" s="130" t="str">
        <f>'DATA consolidated-leasing'!O439</f>
        <v/>
      </c>
      <c r="G103" s="130" t="str">
        <f>'DATA consolidated-leasing'!P439</f>
        <v/>
      </c>
      <c r="H103" s="130" t="str">
        <f>'DATA consolidated-leasing'!Q439</f>
        <v/>
      </c>
      <c r="I103" s="130" t="str">
        <f>'DATA consolidated-leasing'!R439</f>
        <v/>
      </c>
      <c r="J103" s="130" t="str">
        <f>'DATA consolidated-leasing'!S439</f>
        <v/>
      </c>
      <c r="K103" s="132" t="str">
        <f>'DATA consolidated-leasing'!X439</f>
        <v>NA</v>
      </c>
      <c r="L103" s="132" t="str">
        <f>'DATA consolidated-leasing'!Z439</f>
        <v>NA</v>
      </c>
    </row>
    <row r="104" spans="1:12">
      <c r="A104" s="128" t="str">
        <f>'DATA consolidated-leasing'!F440</f>
        <v>Tampa</v>
      </c>
      <c r="B104" s="129">
        <f>'DATA consolidated-leasing'!H440</f>
        <v>0</v>
      </c>
      <c r="C104" s="130" t="str">
        <f>'DATA consolidated-leasing'!I440</f>
        <v/>
      </c>
      <c r="D104" s="131">
        <f>'DATA consolidated-leasing'!J440</f>
        <v>0</v>
      </c>
      <c r="E104" s="130" t="str">
        <f>'DATA consolidated-leasing'!N440</f>
        <v/>
      </c>
      <c r="F104" s="130" t="str">
        <f>'DATA consolidated-leasing'!O440</f>
        <v/>
      </c>
      <c r="G104" s="130" t="str">
        <f>'DATA consolidated-leasing'!P440</f>
        <v/>
      </c>
      <c r="H104" s="130" t="str">
        <f>'DATA consolidated-leasing'!Q440</f>
        <v/>
      </c>
      <c r="I104" s="130" t="str">
        <f>'DATA consolidated-leasing'!R440</f>
        <v/>
      </c>
      <c r="J104" s="130" t="str">
        <f>'DATA consolidated-leasing'!S440</f>
        <v/>
      </c>
      <c r="K104" s="132" t="str">
        <f>'DATA consolidated-leasing'!X440</f>
        <v>NA</v>
      </c>
      <c r="L104" s="132" t="str">
        <f>'DATA consolidated-leasing'!Z440</f>
        <v>NA</v>
      </c>
    </row>
    <row r="105" spans="1:12">
      <c r="A105" s="133" t="str">
        <f>'DATA consolidated-leasing'!F441</f>
        <v>Total</v>
      </c>
      <c r="B105" s="134">
        <f>'DATA consolidated-leasing'!H441</f>
        <v>8</v>
      </c>
      <c r="C105" s="135">
        <f>'DATA consolidated-leasing'!I441</f>
        <v>3.8574899469645758</v>
      </c>
      <c r="D105" s="136">
        <f>'DATA consolidated-leasing'!J441</f>
        <v>286978</v>
      </c>
      <c r="E105" s="135">
        <f>'DATA consolidated-leasing'!N441</f>
        <v>4.7949889243202461</v>
      </c>
      <c r="F105" s="135">
        <f>'DATA consolidated-leasing'!O441</f>
        <v>5.5373867683237048</v>
      </c>
      <c r="G105" s="135">
        <f>'DATA consolidated-leasing'!P441</f>
        <v>7.0476255322707662</v>
      </c>
      <c r="H105" s="135">
        <f>'DATA consolidated-leasing'!Q441</f>
        <v>7.1768302099812527</v>
      </c>
      <c r="I105" s="135">
        <f>'DATA consolidated-leasing'!R441</f>
        <v>3.8870836788882772</v>
      </c>
      <c r="J105" s="135">
        <f>'DATA consolidated-leasing'!S441</f>
        <v>2.924962889141328</v>
      </c>
      <c r="K105" s="137">
        <f>'DATA consolidated-leasing'!X441</f>
        <v>0.38288319113658575</v>
      </c>
      <c r="L105" s="137">
        <f>'DATA consolidated-leasing'!Z441</f>
        <v>0.29606807511367772</v>
      </c>
    </row>
    <row r="106" spans="1:12">
      <c r="A106" s="138" t="s">
        <v>52</v>
      </c>
      <c r="B106" s="134"/>
      <c r="C106" s="135"/>
      <c r="D106" s="136"/>
      <c r="E106" s="135"/>
      <c r="F106" s="135"/>
      <c r="G106" s="135"/>
      <c r="H106" s="135"/>
      <c r="I106" s="135"/>
      <c r="J106" s="135"/>
      <c r="K106" s="137"/>
      <c r="L106" s="137"/>
    </row>
    <row r="107" spans="1:12">
      <c r="A107" s="138" t="s">
        <v>61</v>
      </c>
      <c r="B107" s="134"/>
      <c r="C107" s="135"/>
      <c r="D107" s="136"/>
      <c r="E107" s="135"/>
      <c r="F107" s="135"/>
      <c r="G107" s="135"/>
      <c r="H107" s="135"/>
      <c r="I107" s="135"/>
      <c r="J107" s="135"/>
      <c r="K107" s="137"/>
      <c r="L107" s="137"/>
    </row>
    <row r="108" spans="1:12">
      <c r="A108" s="138" t="s">
        <v>62</v>
      </c>
      <c r="B108" s="134"/>
      <c r="C108" s="135"/>
      <c r="D108" s="136"/>
      <c r="E108" s="135"/>
      <c r="F108" s="135"/>
      <c r="G108" s="135"/>
      <c r="H108" s="135"/>
      <c r="I108" s="135"/>
      <c r="J108" s="135"/>
      <c r="K108" s="137"/>
      <c r="L108" s="137"/>
    </row>
    <row r="110" spans="1:12">
      <c r="A110" s="127" t="s">
        <v>63</v>
      </c>
    </row>
    <row r="111" spans="1:12" ht="36">
      <c r="A111" s="125" t="s">
        <v>41</v>
      </c>
      <c r="B111" s="126" t="s">
        <v>42</v>
      </c>
      <c r="C111" s="126" t="s">
        <v>43</v>
      </c>
      <c r="D111" s="126" t="s">
        <v>44</v>
      </c>
      <c r="E111" s="126" t="s">
        <v>45</v>
      </c>
      <c r="F111" s="126" t="s">
        <v>46</v>
      </c>
      <c r="G111" s="126" t="s">
        <v>58</v>
      </c>
      <c r="H111" s="126" t="s">
        <v>47</v>
      </c>
      <c r="I111" s="126" t="s">
        <v>48</v>
      </c>
      <c r="J111" s="126" t="s">
        <v>49</v>
      </c>
      <c r="K111" s="126" t="s">
        <v>50</v>
      </c>
      <c r="L111" s="126" t="s">
        <v>51</v>
      </c>
    </row>
    <row r="112" spans="1:12">
      <c r="A112" s="128" t="str">
        <f>'DATA consolidated-leasing'!F445</f>
        <v>Atlanta</v>
      </c>
      <c r="B112" s="129">
        <f>'DATA consolidated-leasing'!H445</f>
        <v>1</v>
      </c>
      <c r="C112" s="130">
        <f>'DATA consolidated-leasing'!I445</f>
        <v>5</v>
      </c>
      <c r="D112" s="131">
        <f>'DATA consolidated-leasing'!J445</f>
        <v>12894</v>
      </c>
      <c r="E112" s="130">
        <f>'DATA consolidated-leasing'!N445</f>
        <v>5.8</v>
      </c>
      <c r="F112" s="130">
        <f>'DATA consolidated-leasing'!O445</f>
        <v>12.55</v>
      </c>
      <c r="G112" s="130">
        <f>'DATA consolidated-leasing'!P445</f>
        <v>5.94</v>
      </c>
      <c r="H112" s="130">
        <f>'DATA consolidated-leasing'!Q445</f>
        <v>5.79</v>
      </c>
      <c r="I112" s="130">
        <f>'DATA consolidated-leasing'!R445</f>
        <v>2.5</v>
      </c>
      <c r="J112" s="130">
        <f>'DATA consolidated-leasing'!S445</f>
        <v>4</v>
      </c>
      <c r="K112" s="132">
        <f>'DATA consolidated-leasing'!X445</f>
        <v>-1.7241379310344307E-3</v>
      </c>
      <c r="L112" s="132">
        <f>'DATA consolidated-leasing'!Z445</f>
        <v>-0.53864541832669333</v>
      </c>
    </row>
    <row r="113" spans="1:12">
      <c r="A113" s="128" t="str">
        <f>'DATA consolidated-leasing'!F446</f>
        <v>Baltimore/DC</v>
      </c>
      <c r="B113" s="129">
        <f>'DATA consolidated-leasing'!H446</f>
        <v>1</v>
      </c>
      <c r="C113" s="130">
        <f>'DATA consolidated-leasing'!I446</f>
        <v>4.583333333333333</v>
      </c>
      <c r="D113" s="131">
        <f>'DATA consolidated-leasing'!J446</f>
        <v>3408</v>
      </c>
      <c r="E113" s="130">
        <f>'DATA consolidated-leasing'!N446</f>
        <v>11.069999999999999</v>
      </c>
      <c r="F113" s="130">
        <f>'DATA consolidated-leasing'!O446</f>
        <v>13.11</v>
      </c>
      <c r="G113" s="130">
        <f>'DATA consolidated-leasing'!P446</f>
        <v>12.5</v>
      </c>
      <c r="H113" s="130">
        <f>'DATA consolidated-leasing'!Q446</f>
        <v>12</v>
      </c>
      <c r="I113" s="130">
        <f>'DATA consolidated-leasing'!R446</f>
        <v>3</v>
      </c>
      <c r="J113" s="130">
        <f>'DATA consolidated-leasing'!S446</f>
        <v>4</v>
      </c>
      <c r="K113" s="132">
        <f>'DATA consolidated-leasing'!X446</f>
        <v>8.4010840108401208E-2</v>
      </c>
      <c r="L113" s="132">
        <f>'DATA consolidated-leasing'!Z446</f>
        <v>-8.4668192219679583E-2</v>
      </c>
    </row>
    <row r="114" spans="1:12">
      <c r="A114" s="128" t="str">
        <f>'DATA consolidated-leasing'!F447</f>
        <v>Charlotte</v>
      </c>
      <c r="B114" s="129">
        <f>'DATA consolidated-leasing'!H447</f>
        <v>1</v>
      </c>
      <c r="C114" s="130">
        <f>'DATA consolidated-leasing'!I447</f>
        <v>1.5833333333333333</v>
      </c>
      <c r="D114" s="131">
        <f>'DATA consolidated-leasing'!J447</f>
        <v>80000</v>
      </c>
      <c r="E114" s="130">
        <f>'DATA consolidated-leasing'!N447</f>
        <v>5.07</v>
      </c>
      <c r="F114" s="130">
        <f>'DATA consolidated-leasing'!O447</f>
        <v>7.97</v>
      </c>
      <c r="G114" s="130">
        <f>'DATA consolidated-leasing'!P447</f>
        <v>9.25</v>
      </c>
      <c r="H114" s="130">
        <f>'DATA consolidated-leasing'!Q447</f>
        <v>9.75</v>
      </c>
      <c r="I114" s="130">
        <f>'DATA consolidated-leasing'!R447</f>
        <v>4</v>
      </c>
      <c r="J114" s="130">
        <f>'DATA consolidated-leasing'!S447</f>
        <v>4</v>
      </c>
      <c r="K114" s="132">
        <f>'DATA consolidated-leasing'!X447</f>
        <v>0.92307692307692291</v>
      </c>
      <c r="L114" s="132">
        <f>'DATA consolidated-leasing'!Z447</f>
        <v>0.22333751568381444</v>
      </c>
    </row>
    <row r="115" spans="1:12">
      <c r="A115" s="128" t="str">
        <f>'DATA consolidated-leasing'!F448</f>
        <v>Chicago</v>
      </c>
      <c r="B115" s="129">
        <f>'DATA consolidated-leasing'!H448</f>
        <v>0</v>
      </c>
      <c r="C115" s="130" t="str">
        <f>'DATA consolidated-leasing'!I448</f>
        <v/>
      </c>
      <c r="D115" s="131">
        <f>'DATA consolidated-leasing'!J448</f>
        <v>0</v>
      </c>
      <c r="E115" s="130" t="str">
        <f>'DATA consolidated-leasing'!N448</f>
        <v/>
      </c>
      <c r="F115" s="130" t="str">
        <f>'DATA consolidated-leasing'!O448</f>
        <v/>
      </c>
      <c r="G115" s="130" t="str">
        <f>'DATA consolidated-leasing'!P448</f>
        <v/>
      </c>
      <c r="H115" s="130" t="str">
        <f>'DATA consolidated-leasing'!Q448</f>
        <v/>
      </c>
      <c r="I115" s="130" t="str">
        <f>'DATA consolidated-leasing'!R448</f>
        <v/>
      </c>
      <c r="J115" s="130" t="str">
        <f>'DATA consolidated-leasing'!S448</f>
        <v/>
      </c>
      <c r="K115" s="132" t="str">
        <f>'DATA consolidated-leasing'!X448</f>
        <v>NA</v>
      </c>
      <c r="L115" s="132" t="str">
        <f>'DATA consolidated-leasing'!Z448</f>
        <v>NA</v>
      </c>
    </row>
    <row r="116" spans="1:12">
      <c r="A116" s="128" t="str">
        <f>'DATA consolidated-leasing'!F449</f>
        <v>Cincinnati</v>
      </c>
      <c r="B116" s="129">
        <f>'DATA consolidated-leasing'!H449</f>
        <v>0</v>
      </c>
      <c r="C116" s="130" t="str">
        <f>'DATA consolidated-leasing'!I449</f>
        <v/>
      </c>
      <c r="D116" s="131">
        <f>'DATA consolidated-leasing'!J449</f>
        <v>0</v>
      </c>
      <c r="E116" s="130" t="str">
        <f>'DATA consolidated-leasing'!N449</f>
        <v/>
      </c>
      <c r="F116" s="130" t="str">
        <f>'DATA consolidated-leasing'!O449</f>
        <v/>
      </c>
      <c r="G116" s="130" t="str">
        <f>'DATA consolidated-leasing'!P449</f>
        <v/>
      </c>
      <c r="H116" s="130" t="str">
        <f>'DATA consolidated-leasing'!Q449</f>
        <v/>
      </c>
      <c r="I116" s="130" t="str">
        <f>'DATA consolidated-leasing'!R449</f>
        <v/>
      </c>
      <c r="J116" s="130" t="str">
        <f>'DATA consolidated-leasing'!S449</f>
        <v/>
      </c>
      <c r="K116" s="132" t="str">
        <f>'DATA consolidated-leasing'!X449</f>
        <v>NA</v>
      </c>
      <c r="L116" s="132" t="str">
        <f>'DATA consolidated-leasing'!Z449</f>
        <v>NA</v>
      </c>
    </row>
    <row r="117" spans="1:12">
      <c r="A117" s="128" t="str">
        <f>'DATA consolidated-leasing'!F450</f>
        <v>Columbus</v>
      </c>
      <c r="B117" s="129">
        <f>'DATA consolidated-leasing'!H450</f>
        <v>0</v>
      </c>
      <c r="C117" s="130" t="str">
        <f>'DATA consolidated-leasing'!I450</f>
        <v/>
      </c>
      <c r="D117" s="131">
        <f>'DATA consolidated-leasing'!J450</f>
        <v>0</v>
      </c>
      <c r="E117" s="130" t="str">
        <f>'DATA consolidated-leasing'!N450</f>
        <v/>
      </c>
      <c r="F117" s="130" t="str">
        <f>'DATA consolidated-leasing'!O450</f>
        <v/>
      </c>
      <c r="G117" s="130" t="str">
        <f>'DATA consolidated-leasing'!P450</f>
        <v/>
      </c>
      <c r="H117" s="130" t="str">
        <f>'DATA consolidated-leasing'!Q450</f>
        <v/>
      </c>
      <c r="I117" s="130" t="str">
        <f>'DATA consolidated-leasing'!R450</f>
        <v/>
      </c>
      <c r="J117" s="130" t="str">
        <f>'DATA consolidated-leasing'!S450</f>
        <v/>
      </c>
      <c r="K117" s="132" t="str">
        <f>'DATA consolidated-leasing'!X450</f>
        <v>NA</v>
      </c>
      <c r="L117" s="132" t="str">
        <f>'DATA consolidated-leasing'!Z450</f>
        <v>NA</v>
      </c>
    </row>
    <row r="118" spans="1:12">
      <c r="A118" s="128" t="str">
        <f>'DATA consolidated-leasing'!F451</f>
        <v>Dallas</v>
      </c>
      <c r="B118" s="129">
        <f>'DATA consolidated-leasing'!H451</f>
        <v>1</v>
      </c>
      <c r="C118" s="130">
        <f>'DATA consolidated-leasing'!I451</f>
        <v>3.0833333333333335</v>
      </c>
      <c r="D118" s="131">
        <f>'DATA consolidated-leasing'!J451</f>
        <v>6924</v>
      </c>
      <c r="E118" s="130">
        <f>'DATA consolidated-leasing'!N451</f>
        <v>8.1199999999999992</v>
      </c>
      <c r="F118" s="130">
        <f>'DATA consolidated-leasing'!O451</f>
        <v>8.1199999999999992</v>
      </c>
      <c r="G118" s="130">
        <f>'DATA consolidated-leasing'!P451</f>
        <v>8.25</v>
      </c>
      <c r="H118" s="130">
        <f>'DATA consolidated-leasing'!Q451</f>
        <v>11.5</v>
      </c>
      <c r="I118" s="130">
        <f>'DATA consolidated-leasing'!R451</f>
        <v>4.5</v>
      </c>
      <c r="J118" s="130">
        <f>'DATA consolidated-leasing'!S451</f>
        <v>3</v>
      </c>
      <c r="K118" s="132">
        <f>'DATA consolidated-leasing'!X451</f>
        <v>0.41625615763546819</v>
      </c>
      <c r="L118" s="132">
        <f>'DATA consolidated-leasing'!Z451</f>
        <v>0.41625615763546819</v>
      </c>
    </row>
    <row r="119" spans="1:12">
      <c r="A119" s="128" t="str">
        <f>'DATA consolidated-leasing'!F452</f>
        <v>Greater Philadelphia</v>
      </c>
      <c r="B119" s="129">
        <f>'DATA consolidated-leasing'!H452</f>
        <v>1</v>
      </c>
      <c r="C119" s="130">
        <f>'DATA consolidated-leasing'!I452</f>
        <v>6.416666666666667</v>
      </c>
      <c r="D119" s="131">
        <f>'DATA consolidated-leasing'!J452</f>
        <v>31994</v>
      </c>
      <c r="E119" s="130">
        <f>'DATA consolidated-leasing'!N452</f>
        <v>6.26</v>
      </c>
      <c r="F119" s="130">
        <f>'DATA consolidated-leasing'!O452</f>
        <v>9.6999999999999993</v>
      </c>
      <c r="G119" s="130">
        <f>'DATA consolidated-leasing'!P452</f>
        <v>11</v>
      </c>
      <c r="H119" s="130">
        <f>'DATA consolidated-leasing'!Q452</f>
        <v>8</v>
      </c>
      <c r="I119" s="130">
        <f>'DATA consolidated-leasing'!R452</f>
        <v>3.75</v>
      </c>
      <c r="J119" s="130">
        <f>'DATA consolidated-leasing'!S452</f>
        <v>4</v>
      </c>
      <c r="K119" s="132">
        <f>'DATA consolidated-leasing'!X452</f>
        <v>0.27795527156549515</v>
      </c>
      <c r="L119" s="132">
        <f>'DATA consolidated-leasing'!Z452</f>
        <v>-0.17525773195876282</v>
      </c>
    </row>
    <row r="120" spans="1:12">
      <c r="A120" s="128" t="str">
        <f>'DATA consolidated-leasing'!F453</f>
        <v>Houston</v>
      </c>
      <c r="B120" s="129">
        <f>'DATA consolidated-leasing'!H453</f>
        <v>0</v>
      </c>
      <c r="C120" s="130" t="str">
        <f>'DATA consolidated-leasing'!I453</f>
        <v/>
      </c>
      <c r="D120" s="131">
        <f>'DATA consolidated-leasing'!J453</f>
        <v>0</v>
      </c>
      <c r="E120" s="130" t="str">
        <f>'DATA consolidated-leasing'!N453</f>
        <v/>
      </c>
      <c r="F120" s="130" t="str">
        <f>'DATA consolidated-leasing'!O453</f>
        <v/>
      </c>
      <c r="G120" s="130" t="str">
        <f>'DATA consolidated-leasing'!P453</f>
        <v/>
      </c>
      <c r="H120" s="130" t="str">
        <f>'DATA consolidated-leasing'!Q453</f>
        <v/>
      </c>
      <c r="I120" s="130" t="str">
        <f>'DATA consolidated-leasing'!R453</f>
        <v/>
      </c>
      <c r="J120" s="130" t="str">
        <f>'DATA consolidated-leasing'!S453</f>
        <v/>
      </c>
      <c r="K120" s="132" t="str">
        <f>'DATA consolidated-leasing'!X453</f>
        <v>NA</v>
      </c>
      <c r="L120" s="132" t="str">
        <f>'DATA consolidated-leasing'!Z453</f>
        <v>NA</v>
      </c>
    </row>
    <row r="121" spans="1:12">
      <c r="A121" s="128" t="str">
        <f>'DATA consolidated-leasing'!F454</f>
        <v>Jacksonville</v>
      </c>
      <c r="B121" s="129">
        <f>'DATA consolidated-leasing'!H454</f>
        <v>0</v>
      </c>
      <c r="C121" s="130" t="str">
        <f>'DATA consolidated-leasing'!I454</f>
        <v/>
      </c>
      <c r="D121" s="131">
        <f>'DATA consolidated-leasing'!J454</f>
        <v>0</v>
      </c>
      <c r="E121" s="130" t="str">
        <f>'DATA consolidated-leasing'!N454</f>
        <v/>
      </c>
      <c r="F121" s="130" t="str">
        <f>'DATA consolidated-leasing'!O454</f>
        <v/>
      </c>
      <c r="G121" s="130" t="str">
        <f>'DATA consolidated-leasing'!P454</f>
        <v/>
      </c>
      <c r="H121" s="130" t="str">
        <f>'DATA consolidated-leasing'!Q454</f>
        <v/>
      </c>
      <c r="I121" s="130" t="str">
        <f>'DATA consolidated-leasing'!R454</f>
        <v/>
      </c>
      <c r="J121" s="130" t="str">
        <f>'DATA consolidated-leasing'!S454</f>
        <v/>
      </c>
      <c r="K121" s="132" t="str">
        <f>'DATA consolidated-leasing'!X454</f>
        <v>NA</v>
      </c>
      <c r="L121" s="132" t="str">
        <f>'DATA consolidated-leasing'!Z454</f>
        <v>NA</v>
      </c>
    </row>
    <row r="122" spans="1:12">
      <c r="A122" s="128" t="str">
        <f>'DATA consolidated-leasing'!F455</f>
        <v>Memphis</v>
      </c>
      <c r="B122" s="129">
        <f>'DATA consolidated-leasing'!H455</f>
        <v>3</v>
      </c>
      <c r="C122" s="130">
        <f>'DATA consolidated-leasing'!I455</f>
        <v>4.5175887213180035</v>
      </c>
      <c r="D122" s="131">
        <f>'DATA consolidated-leasing'!J455</f>
        <v>26788</v>
      </c>
      <c r="E122" s="130">
        <f>'DATA consolidated-leasing'!N455</f>
        <v>4.2356768558951963</v>
      </c>
      <c r="F122" s="130">
        <f>'DATA consolidated-leasing'!O455</f>
        <v>4.8745707032999848</v>
      </c>
      <c r="G122" s="130">
        <f>'DATA consolidated-leasing'!P455</f>
        <v>4.5829830521128869</v>
      </c>
      <c r="H122" s="130">
        <f>'DATA consolidated-leasing'!Q455</f>
        <v>5.1999141406599962</v>
      </c>
      <c r="I122" s="130">
        <f>'DATA consolidated-leasing'!R455</f>
        <v>3.3233438485804414</v>
      </c>
      <c r="J122" s="130">
        <f>'DATA consolidated-leasing'!S455</f>
        <v>3</v>
      </c>
      <c r="K122" s="132">
        <f>'DATA consolidated-leasing'!X455</f>
        <v>0.1747786014000432</v>
      </c>
      <c r="L122" s="132">
        <f>'DATA consolidated-leasing'!Z455</f>
        <v>6.6742992801347656E-2</v>
      </c>
    </row>
    <row r="123" spans="1:12">
      <c r="A123" s="128" t="str">
        <f>'DATA consolidated-leasing'!F456</f>
        <v>Miami</v>
      </c>
      <c r="B123" s="129">
        <f>'DATA consolidated-leasing'!H456</f>
        <v>0</v>
      </c>
      <c r="C123" s="130" t="str">
        <f>'DATA consolidated-leasing'!I456</f>
        <v/>
      </c>
      <c r="D123" s="131">
        <f>'DATA consolidated-leasing'!J456</f>
        <v>0</v>
      </c>
      <c r="E123" s="130" t="str">
        <f>'DATA consolidated-leasing'!N456</f>
        <v/>
      </c>
      <c r="F123" s="130" t="str">
        <f>'DATA consolidated-leasing'!O456</f>
        <v/>
      </c>
      <c r="G123" s="130" t="str">
        <f>'DATA consolidated-leasing'!P456</f>
        <v/>
      </c>
      <c r="H123" s="130" t="str">
        <f>'DATA consolidated-leasing'!Q456</f>
        <v/>
      </c>
      <c r="I123" s="130" t="str">
        <f>'DATA consolidated-leasing'!R456</f>
        <v/>
      </c>
      <c r="J123" s="130" t="str">
        <f>'DATA consolidated-leasing'!S456</f>
        <v/>
      </c>
      <c r="K123" s="132" t="str">
        <f>'DATA consolidated-leasing'!X456</f>
        <v>NA</v>
      </c>
      <c r="L123" s="132" t="str">
        <f>'DATA consolidated-leasing'!Z456</f>
        <v>NA</v>
      </c>
    </row>
    <row r="124" spans="1:12">
      <c r="A124" s="128" t="str">
        <f>'DATA consolidated-leasing'!F457</f>
        <v>North New Jersey</v>
      </c>
      <c r="B124" s="129">
        <f>'DATA consolidated-leasing'!H457</f>
        <v>1</v>
      </c>
      <c r="C124" s="130">
        <f>'DATA consolidated-leasing'!I457</f>
        <v>5</v>
      </c>
      <c r="D124" s="131">
        <f>'DATA consolidated-leasing'!J457</f>
        <v>32264</v>
      </c>
      <c r="E124" s="130">
        <f>'DATA consolidated-leasing'!N457</f>
        <v>12.22</v>
      </c>
      <c r="F124" s="130">
        <f>'DATA consolidated-leasing'!O457</f>
        <v>13.77</v>
      </c>
      <c r="G124" s="130">
        <f>'DATA consolidated-leasing'!P457</f>
        <v>15</v>
      </c>
      <c r="H124" s="130">
        <f>'DATA consolidated-leasing'!Q457</f>
        <v>15</v>
      </c>
      <c r="I124" s="130">
        <f>'DATA consolidated-leasing'!R457</f>
        <v>3</v>
      </c>
      <c r="J124" s="130">
        <f>'DATA consolidated-leasing'!S457</f>
        <v>3.5</v>
      </c>
      <c r="K124" s="132">
        <f>'DATA consolidated-leasing'!X457</f>
        <v>0.22749590834697209</v>
      </c>
      <c r="L124" s="132">
        <f>'DATA consolidated-leasing'!Z457</f>
        <v>8.9324618736383421E-2</v>
      </c>
    </row>
    <row r="125" spans="1:12">
      <c r="A125" s="128" t="str">
        <f>'DATA consolidated-leasing'!F458</f>
        <v>San Antonio</v>
      </c>
      <c r="B125" s="129">
        <f>'DATA consolidated-leasing'!H458</f>
        <v>0</v>
      </c>
      <c r="C125" s="130" t="str">
        <f>'DATA consolidated-leasing'!I458</f>
        <v/>
      </c>
      <c r="D125" s="131">
        <f>'DATA consolidated-leasing'!J458</f>
        <v>0</v>
      </c>
      <c r="E125" s="130" t="str">
        <f>'DATA consolidated-leasing'!N458</f>
        <v/>
      </c>
      <c r="F125" s="130" t="str">
        <f>'DATA consolidated-leasing'!O458</f>
        <v/>
      </c>
      <c r="G125" s="130" t="str">
        <f>'DATA consolidated-leasing'!P458</f>
        <v/>
      </c>
      <c r="H125" s="130" t="str">
        <f>'DATA consolidated-leasing'!Q458</f>
        <v/>
      </c>
      <c r="I125" s="130" t="str">
        <f>'DATA consolidated-leasing'!R458</f>
        <v/>
      </c>
      <c r="J125" s="130" t="str">
        <f>'DATA consolidated-leasing'!S458</f>
        <v/>
      </c>
      <c r="K125" s="132" t="str">
        <f>'DATA consolidated-leasing'!X458</f>
        <v>NA</v>
      </c>
      <c r="L125" s="132" t="str">
        <f>'DATA consolidated-leasing'!Z458</f>
        <v>NA</v>
      </c>
    </row>
    <row r="126" spans="1:12">
      <c r="A126" s="128" t="str">
        <f>'DATA consolidated-leasing'!F459</f>
        <v>Tampa</v>
      </c>
      <c r="B126" s="129">
        <f>'DATA consolidated-leasing'!H459</f>
        <v>0</v>
      </c>
      <c r="C126" s="130" t="str">
        <f>'DATA consolidated-leasing'!I459</f>
        <v/>
      </c>
      <c r="D126" s="131">
        <f>'DATA consolidated-leasing'!J459</f>
        <v>0</v>
      </c>
      <c r="E126" s="130" t="str">
        <f>'DATA consolidated-leasing'!N459</f>
        <v/>
      </c>
      <c r="F126" s="130" t="str">
        <f>'DATA consolidated-leasing'!O459</f>
        <v/>
      </c>
      <c r="G126" s="130" t="str">
        <f>'DATA consolidated-leasing'!P459</f>
        <v/>
      </c>
      <c r="H126" s="130" t="str">
        <f>'DATA consolidated-leasing'!Q459</f>
        <v/>
      </c>
      <c r="I126" s="130" t="str">
        <f>'DATA consolidated-leasing'!R459</f>
        <v/>
      </c>
      <c r="J126" s="130" t="str">
        <f>'DATA consolidated-leasing'!S459</f>
        <v/>
      </c>
      <c r="K126" s="132" t="str">
        <f>'DATA consolidated-leasing'!X459</f>
        <v>NA</v>
      </c>
      <c r="L126" s="132" t="str">
        <f>'DATA consolidated-leasing'!Z459</f>
        <v>NA</v>
      </c>
    </row>
    <row r="127" spans="1:12">
      <c r="A127" s="133" t="str">
        <f>'DATA consolidated-leasing'!F460</f>
        <v>Total</v>
      </c>
      <c r="B127" s="134">
        <f>'DATA consolidated-leasing'!H460</f>
        <v>9</v>
      </c>
      <c r="C127" s="135">
        <f>'DATA consolidated-leasing'!I460</f>
        <v>3.6842039340031842</v>
      </c>
      <c r="D127" s="136">
        <f>'DATA consolidated-leasing'!J460</f>
        <v>194272</v>
      </c>
      <c r="E127" s="135">
        <f>'DATA consolidated-leasing'!N460</f>
        <v>6.7239122382337184</v>
      </c>
      <c r="F127" s="135">
        <f>'DATA consolidated-leasing'!O460</f>
        <v>9.1908177194860805</v>
      </c>
      <c r="G127" s="135">
        <f>'DATA consolidated-leasing'!P460</f>
        <v>9.6512946281502217</v>
      </c>
      <c r="H127" s="135">
        <f>'DATA consolidated-leasing'!Q460</f>
        <v>9.5453053450831824</v>
      </c>
      <c r="I127" s="135">
        <f>'DATA consolidated-leasing'!R460</f>
        <v>3.4523045320323531</v>
      </c>
      <c r="J127" s="135">
        <f>'DATA consolidated-leasing'!S460</f>
        <v>3.7434318893098335</v>
      </c>
      <c r="K127" s="137">
        <f>'DATA consolidated-leasing'!X460</f>
        <v>0.45015136583543947</v>
      </c>
      <c r="L127" s="137">
        <f>'DATA consolidated-leasing'!Z460</f>
        <v>3.8569759124427838E-2</v>
      </c>
    </row>
    <row r="128" spans="1:12">
      <c r="A128" s="138" t="s">
        <v>52</v>
      </c>
    </row>
    <row r="129" spans="1:7">
      <c r="A129" s="138" t="s">
        <v>61</v>
      </c>
    </row>
    <row r="130" spans="1:7">
      <c r="A130" s="138" t="s">
        <v>62</v>
      </c>
    </row>
    <row r="141" spans="1:7">
      <c r="G141" s="158"/>
    </row>
    <row r="142" spans="1:7">
      <c r="G142" s="158"/>
    </row>
    <row r="143" spans="1:7">
      <c r="G143" s="158"/>
    </row>
    <row r="144" spans="1:7" ht="13.9">
      <c r="E144" s="322"/>
      <c r="F144" s="323"/>
    </row>
    <row r="145" spans="5:7" ht="13.9">
      <c r="E145" s="322"/>
      <c r="F145" s="323"/>
    </row>
    <row r="146" spans="5:7" ht="13.9">
      <c r="E146" s="322"/>
      <c r="F146" s="323"/>
    </row>
    <row r="147" spans="5:7" ht="13.9">
      <c r="E147" s="322"/>
      <c r="F147" s="323"/>
    </row>
    <row r="148" spans="5:7" ht="13.9">
      <c r="E148" s="322"/>
      <c r="F148" s="323"/>
      <c r="G148" s="157"/>
    </row>
    <row r="149" spans="5:7" ht="13.9">
      <c r="E149" s="322"/>
      <c r="F149" s="323"/>
    </row>
    <row r="150" spans="5:7" ht="13.9">
      <c r="E150" s="322"/>
      <c r="F150" s="323"/>
    </row>
    <row r="151" spans="5:7" ht="13.9">
      <c r="E151" s="322"/>
      <c r="F151" s="323"/>
    </row>
    <row r="152" spans="5:7" ht="13.9">
      <c r="E152" s="322"/>
      <c r="F152" s="323"/>
    </row>
    <row r="153" spans="5:7" ht="13.9">
      <c r="E153" s="322"/>
      <c r="F153" s="323"/>
    </row>
    <row r="154" spans="5:7" ht="13.9">
      <c r="E154" s="322"/>
      <c r="F154" s="323"/>
    </row>
    <row r="155" spans="5:7" ht="13.9">
      <c r="E155" s="322"/>
      <c r="F155" s="323"/>
    </row>
    <row r="156" spans="5:7" ht="13.9">
      <c r="E156" s="324"/>
      <c r="F156" s="325"/>
    </row>
    <row r="157" spans="5:7" ht="13.9">
      <c r="E157" s="324"/>
      <c r="F157" s="325"/>
    </row>
  </sheetData>
  <autoFilter ref="A43:K61" xr:uid="{566545C8-E4C3-4ADB-8DBC-19A97F6F0FBC}">
    <filterColumn colId="1">
      <filters blank="1">
        <filter val="17"/>
        <filter val="2"/>
        <filter val="3"/>
        <filter val="6"/>
        <filter val="67"/>
        <filter val="7"/>
        <filter val="8"/>
        <filter val="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88F7B-D885-4FB9-B72B-33BDE3718EEE}">
  <sheetPr>
    <tabColor rgb="FFFF00FF"/>
  </sheetPr>
  <dimension ref="A1:J142"/>
  <sheetViews>
    <sheetView topLeftCell="A108" zoomScale="130" zoomScaleNormal="130" workbookViewId="0"/>
  </sheetViews>
  <sheetFormatPr defaultColWidth="8.875" defaultRowHeight="13.9"/>
  <cols>
    <col min="4" max="4" width="9.125" bestFit="1" customWidth="1"/>
    <col min="5" max="5" width="29.625" customWidth="1"/>
  </cols>
  <sheetData>
    <row r="1" spans="1:5">
      <c r="A1" t="s">
        <v>64</v>
      </c>
      <c r="B1" t="s">
        <v>65</v>
      </c>
      <c r="C1" t="s">
        <v>66</v>
      </c>
      <c r="D1" t="s">
        <v>67</v>
      </c>
      <c r="E1" t="s">
        <v>68</v>
      </c>
    </row>
    <row r="2" spans="1:5">
      <c r="A2" s="177">
        <v>9</v>
      </c>
      <c r="B2" s="177">
        <v>6</v>
      </c>
      <c r="C2" s="182" t="s">
        <v>20</v>
      </c>
      <c r="D2" s="179">
        <v>5</v>
      </c>
      <c r="E2">
        <f t="shared" ref="E2:E40" si="0">B2-A2</f>
        <v>-3</v>
      </c>
    </row>
    <row r="3" spans="1:5">
      <c r="A3" s="177">
        <v>9</v>
      </c>
      <c r="B3" s="177">
        <v>9</v>
      </c>
      <c r="C3" s="182" t="s">
        <v>26</v>
      </c>
      <c r="D3" s="179"/>
      <c r="E3">
        <f t="shared" si="0"/>
        <v>0</v>
      </c>
    </row>
    <row r="4" spans="1:5">
      <c r="A4" s="177">
        <v>0</v>
      </c>
      <c r="B4" s="177">
        <v>6</v>
      </c>
      <c r="C4" s="182" t="s">
        <v>26</v>
      </c>
      <c r="D4" s="179"/>
      <c r="E4">
        <f t="shared" si="0"/>
        <v>6</v>
      </c>
    </row>
    <row r="5" spans="1:5">
      <c r="A5" s="177">
        <v>16</v>
      </c>
      <c r="B5" s="177">
        <v>6</v>
      </c>
      <c r="C5" s="182" t="s">
        <v>26</v>
      </c>
      <c r="D5" s="179"/>
      <c r="E5">
        <f t="shared" si="0"/>
        <v>-10</v>
      </c>
    </row>
    <row r="6" spans="1:5">
      <c r="A6" s="177">
        <v>22</v>
      </c>
      <c r="B6" s="177">
        <v>9</v>
      </c>
      <c r="C6" s="182" t="s">
        <v>26</v>
      </c>
      <c r="D6" s="179"/>
      <c r="E6">
        <f t="shared" si="0"/>
        <v>-13</v>
      </c>
    </row>
    <row r="7" spans="1:5">
      <c r="A7" s="177">
        <v>7</v>
      </c>
      <c r="B7" s="177">
        <v>6</v>
      </c>
      <c r="C7" s="182" t="s">
        <v>26</v>
      </c>
      <c r="D7" s="179"/>
      <c r="E7">
        <f t="shared" si="0"/>
        <v>-1</v>
      </c>
    </row>
    <row r="8" spans="1:5">
      <c r="A8" s="177">
        <v>0</v>
      </c>
      <c r="B8" s="177">
        <v>6</v>
      </c>
      <c r="C8" s="182" t="s">
        <v>26</v>
      </c>
      <c r="D8" s="179"/>
      <c r="E8">
        <f t="shared" si="0"/>
        <v>6</v>
      </c>
    </row>
    <row r="9" spans="1:5">
      <c r="A9" s="177">
        <v>4</v>
      </c>
      <c r="B9" s="177">
        <v>12</v>
      </c>
      <c r="C9" s="182" t="s">
        <v>26</v>
      </c>
      <c r="D9" s="179"/>
      <c r="E9">
        <f t="shared" si="0"/>
        <v>8</v>
      </c>
    </row>
    <row r="10" spans="1:5">
      <c r="A10" s="177">
        <v>0</v>
      </c>
      <c r="B10" s="177">
        <v>4</v>
      </c>
      <c r="C10" s="182" t="s">
        <v>25</v>
      </c>
      <c r="D10" s="182"/>
      <c r="E10">
        <f t="shared" si="0"/>
        <v>4</v>
      </c>
    </row>
    <row r="11" spans="1:5">
      <c r="A11" s="177">
        <v>1</v>
      </c>
      <c r="B11" s="177">
        <v>6</v>
      </c>
      <c r="C11" s="182" t="s">
        <v>25</v>
      </c>
      <c r="D11" s="182"/>
      <c r="E11">
        <f t="shared" si="0"/>
        <v>5</v>
      </c>
    </row>
    <row r="12" spans="1:5">
      <c r="A12" s="177">
        <v>3</v>
      </c>
      <c r="B12" s="177">
        <v>0</v>
      </c>
      <c r="C12" s="182" t="s">
        <v>24</v>
      </c>
      <c r="D12" s="179">
        <v>1</v>
      </c>
      <c r="E12">
        <f t="shared" si="0"/>
        <v>-3</v>
      </c>
    </row>
    <row r="13" spans="1:5">
      <c r="A13" s="177">
        <v>16</v>
      </c>
      <c r="B13" s="177">
        <v>9</v>
      </c>
      <c r="C13" s="182" t="s">
        <v>24</v>
      </c>
      <c r="D13" s="179">
        <v>1</v>
      </c>
      <c r="E13">
        <f t="shared" si="0"/>
        <v>-7</v>
      </c>
    </row>
    <row r="14" spans="1:5">
      <c r="A14" s="177">
        <v>10</v>
      </c>
      <c r="B14" s="177">
        <v>4</v>
      </c>
      <c r="C14" s="182" t="s">
        <v>24</v>
      </c>
      <c r="D14" s="179">
        <v>1</v>
      </c>
      <c r="E14">
        <f t="shared" si="0"/>
        <v>-6</v>
      </c>
    </row>
    <row r="15" spans="1:5">
      <c r="A15" s="177">
        <v>10</v>
      </c>
      <c r="B15" s="177">
        <v>4</v>
      </c>
      <c r="C15" s="182" t="s">
        <v>24</v>
      </c>
      <c r="D15" s="179">
        <v>1</v>
      </c>
      <c r="E15">
        <f t="shared" si="0"/>
        <v>-6</v>
      </c>
    </row>
    <row r="16" spans="1:5">
      <c r="A16" s="177">
        <v>3</v>
      </c>
      <c r="B16" s="177">
        <v>6</v>
      </c>
      <c r="C16" s="182" t="s">
        <v>24</v>
      </c>
      <c r="D16" s="182"/>
      <c r="E16">
        <f t="shared" si="0"/>
        <v>3</v>
      </c>
    </row>
    <row r="17" spans="1:5">
      <c r="A17" s="177">
        <v>8</v>
      </c>
      <c r="B17" s="177">
        <v>9</v>
      </c>
      <c r="C17" s="182" t="s">
        <v>24</v>
      </c>
      <c r="D17" s="182"/>
      <c r="E17">
        <f t="shared" si="0"/>
        <v>1</v>
      </c>
    </row>
    <row r="18" spans="1:5">
      <c r="A18" s="177">
        <v>2</v>
      </c>
      <c r="B18" s="177">
        <v>9</v>
      </c>
      <c r="C18" s="182" t="s">
        <v>24</v>
      </c>
      <c r="D18" s="182"/>
      <c r="E18">
        <f t="shared" si="0"/>
        <v>7</v>
      </c>
    </row>
    <row r="19" spans="1:5">
      <c r="A19" s="177">
        <v>16</v>
      </c>
      <c r="B19" s="177">
        <v>12</v>
      </c>
      <c r="C19" s="182" t="s">
        <v>24</v>
      </c>
      <c r="D19" s="179">
        <v>1</v>
      </c>
      <c r="E19">
        <f t="shared" si="0"/>
        <v>-4</v>
      </c>
    </row>
    <row r="20" spans="1:5">
      <c r="A20" s="177">
        <v>3</v>
      </c>
      <c r="B20" s="177">
        <v>6</v>
      </c>
      <c r="C20" s="182" t="s">
        <v>24</v>
      </c>
      <c r="D20" s="182"/>
      <c r="E20">
        <f t="shared" si="0"/>
        <v>3</v>
      </c>
    </row>
    <row r="21" spans="1:5">
      <c r="A21" s="177">
        <v>1</v>
      </c>
      <c r="B21" s="177">
        <v>9</v>
      </c>
      <c r="C21" s="182" t="s">
        <v>23</v>
      </c>
      <c r="D21" s="182"/>
      <c r="E21">
        <f t="shared" si="0"/>
        <v>8</v>
      </c>
    </row>
    <row r="22" spans="1:5">
      <c r="A22" s="177">
        <v>3</v>
      </c>
      <c r="B22" s="177">
        <v>2</v>
      </c>
      <c r="C22" s="182" t="s">
        <v>23</v>
      </c>
      <c r="D22" s="179">
        <v>2</v>
      </c>
      <c r="E22">
        <f t="shared" si="0"/>
        <v>-1</v>
      </c>
    </row>
    <row r="23" spans="1:5">
      <c r="A23" s="177">
        <v>5</v>
      </c>
      <c r="B23" s="177">
        <v>4</v>
      </c>
      <c r="C23" s="182" t="s">
        <v>23</v>
      </c>
      <c r="D23" s="179">
        <v>2</v>
      </c>
      <c r="E23">
        <f t="shared" si="0"/>
        <v>-1</v>
      </c>
    </row>
    <row r="24" spans="1:5">
      <c r="A24" s="177">
        <v>3.2</v>
      </c>
      <c r="B24" s="177">
        <v>6</v>
      </c>
      <c r="C24" s="182" t="s">
        <v>23</v>
      </c>
      <c r="D24" s="182"/>
      <c r="E24">
        <f t="shared" si="0"/>
        <v>2.8</v>
      </c>
    </row>
    <row r="25" spans="1:5">
      <c r="A25" s="177">
        <v>1</v>
      </c>
      <c r="B25" s="177">
        <v>6</v>
      </c>
      <c r="C25" s="182" t="s">
        <v>23</v>
      </c>
      <c r="D25" s="182"/>
      <c r="E25">
        <f t="shared" si="0"/>
        <v>5</v>
      </c>
    </row>
    <row r="26" spans="1:5">
      <c r="A26" s="177">
        <v>0</v>
      </c>
      <c r="B26" s="177">
        <v>6</v>
      </c>
      <c r="C26" s="182" t="s">
        <v>23</v>
      </c>
      <c r="D26" s="182"/>
      <c r="E26">
        <f t="shared" si="0"/>
        <v>6</v>
      </c>
    </row>
    <row r="27" spans="1:5">
      <c r="A27" s="177">
        <v>0</v>
      </c>
      <c r="B27" s="177">
        <v>6</v>
      </c>
      <c r="C27" s="182" t="s">
        <v>23</v>
      </c>
      <c r="D27" s="182"/>
      <c r="E27">
        <f t="shared" si="0"/>
        <v>6</v>
      </c>
    </row>
    <row r="28" spans="1:5">
      <c r="A28" s="177">
        <v>17</v>
      </c>
      <c r="B28" s="177">
        <v>6</v>
      </c>
      <c r="C28" s="182" t="s">
        <v>23</v>
      </c>
      <c r="D28" s="179">
        <v>2</v>
      </c>
      <c r="E28">
        <f t="shared" si="0"/>
        <v>-11</v>
      </c>
    </row>
    <row r="29" spans="1:5">
      <c r="A29" s="177">
        <v>4</v>
      </c>
      <c r="B29" s="177">
        <v>6</v>
      </c>
      <c r="C29" s="182" t="s">
        <v>23</v>
      </c>
      <c r="D29" s="182"/>
      <c r="E29">
        <f t="shared" si="0"/>
        <v>2</v>
      </c>
    </row>
    <row r="30" spans="1:5">
      <c r="A30" s="177">
        <v>0</v>
      </c>
      <c r="B30" s="177">
        <v>9</v>
      </c>
      <c r="C30" s="182" t="s">
        <v>23</v>
      </c>
      <c r="D30" s="182"/>
      <c r="E30">
        <f t="shared" si="0"/>
        <v>9</v>
      </c>
    </row>
    <row r="31" spans="1:5">
      <c r="A31" s="177">
        <v>15</v>
      </c>
      <c r="B31" s="177">
        <v>0</v>
      </c>
      <c r="C31" s="182" t="s">
        <v>23</v>
      </c>
      <c r="D31" s="179">
        <v>2</v>
      </c>
      <c r="E31">
        <f t="shared" si="0"/>
        <v>-15</v>
      </c>
    </row>
    <row r="32" spans="1:5">
      <c r="A32" s="177">
        <v>18</v>
      </c>
      <c r="B32" s="177">
        <v>6</v>
      </c>
      <c r="C32" s="182" t="s">
        <v>22</v>
      </c>
      <c r="D32" s="179">
        <v>3</v>
      </c>
      <c r="E32">
        <f t="shared" si="0"/>
        <v>-12</v>
      </c>
    </row>
    <row r="33" spans="1:10">
      <c r="A33" s="177">
        <v>15</v>
      </c>
      <c r="B33" s="177">
        <v>6</v>
      </c>
      <c r="C33" s="182" t="s">
        <v>22</v>
      </c>
      <c r="D33" s="179">
        <v>3</v>
      </c>
      <c r="E33">
        <f t="shared" si="0"/>
        <v>-9</v>
      </c>
    </row>
    <row r="34" spans="1:10">
      <c r="A34" s="177">
        <v>1</v>
      </c>
      <c r="B34" s="177">
        <v>6</v>
      </c>
      <c r="C34" s="182" t="s">
        <v>22</v>
      </c>
      <c r="D34" s="182"/>
      <c r="E34">
        <f t="shared" si="0"/>
        <v>5</v>
      </c>
    </row>
    <row r="35" spans="1:10">
      <c r="A35" s="177">
        <v>15</v>
      </c>
      <c r="B35" s="177">
        <v>12</v>
      </c>
      <c r="C35" s="182" t="s">
        <v>22</v>
      </c>
      <c r="D35" s="179">
        <v>3</v>
      </c>
      <c r="E35">
        <f t="shared" si="0"/>
        <v>-3</v>
      </c>
      <c r="I35">
        <v>59</v>
      </c>
      <c r="J35">
        <f>SUM(I35:I36)/I41</f>
        <v>0.7678571428571429</v>
      </c>
    </row>
    <row r="36" spans="1:10">
      <c r="A36" s="177">
        <v>6</v>
      </c>
      <c r="B36" s="177">
        <v>12</v>
      </c>
      <c r="C36" s="182" t="s">
        <v>22</v>
      </c>
      <c r="D36" s="182"/>
      <c r="E36">
        <f t="shared" si="0"/>
        <v>6</v>
      </c>
      <c r="I36">
        <v>27</v>
      </c>
    </row>
    <row r="37" spans="1:10">
      <c r="A37" s="177">
        <v>1</v>
      </c>
      <c r="B37" s="177">
        <v>9</v>
      </c>
      <c r="C37" s="182" t="s">
        <v>22</v>
      </c>
      <c r="D37" s="182"/>
      <c r="E37">
        <f t="shared" si="0"/>
        <v>8</v>
      </c>
      <c r="I37">
        <v>11</v>
      </c>
    </row>
    <row r="38" spans="1:10">
      <c r="A38" s="177">
        <v>13</v>
      </c>
      <c r="B38" s="177">
        <v>6</v>
      </c>
      <c r="C38" s="182" t="s">
        <v>22</v>
      </c>
      <c r="D38" s="179">
        <v>3</v>
      </c>
      <c r="E38">
        <f t="shared" si="0"/>
        <v>-7</v>
      </c>
      <c r="I38">
        <v>3</v>
      </c>
    </row>
    <row r="39" spans="1:10">
      <c r="A39" s="177">
        <v>6</v>
      </c>
      <c r="B39" s="177">
        <v>6</v>
      </c>
      <c r="C39" s="182" t="s">
        <v>22</v>
      </c>
      <c r="D39" s="182"/>
      <c r="E39">
        <f t="shared" si="0"/>
        <v>0</v>
      </c>
      <c r="I39">
        <v>5</v>
      </c>
    </row>
    <row r="40" spans="1:10">
      <c r="A40" s="177">
        <v>5</v>
      </c>
      <c r="B40" s="177">
        <v>6</v>
      </c>
      <c r="C40" s="182" t="s">
        <v>22</v>
      </c>
      <c r="D40" s="182"/>
      <c r="E40">
        <f t="shared" si="0"/>
        <v>1</v>
      </c>
      <c r="I40">
        <v>7</v>
      </c>
    </row>
    <row r="41" spans="1:10">
      <c r="A41" s="177">
        <v>1</v>
      </c>
      <c r="B41" s="177">
        <v>6</v>
      </c>
      <c r="C41" s="182" t="s">
        <v>22</v>
      </c>
      <c r="D41" s="182"/>
      <c r="E41">
        <f t="shared" ref="E41:E72" si="1">B41-A41</f>
        <v>5</v>
      </c>
      <c r="I41" s="6">
        <f>SUM(I35:I40)</f>
        <v>112</v>
      </c>
    </row>
    <row r="42" spans="1:10">
      <c r="A42" s="177">
        <v>3</v>
      </c>
      <c r="B42" s="177">
        <v>9</v>
      </c>
      <c r="C42" s="182" t="s">
        <v>22</v>
      </c>
      <c r="D42" s="182"/>
      <c r="E42">
        <f t="shared" si="1"/>
        <v>6</v>
      </c>
    </row>
    <row r="43" spans="1:10">
      <c r="A43" s="177">
        <v>5</v>
      </c>
      <c r="B43" s="177">
        <v>12</v>
      </c>
      <c r="C43" s="182" t="s">
        <v>21</v>
      </c>
      <c r="D43" s="182"/>
      <c r="E43">
        <f t="shared" si="1"/>
        <v>7</v>
      </c>
    </row>
    <row r="44" spans="1:10">
      <c r="A44" s="177">
        <v>0</v>
      </c>
      <c r="B44" s="177">
        <v>0</v>
      </c>
      <c r="C44" s="182" t="s">
        <v>21</v>
      </c>
      <c r="D44" s="182"/>
      <c r="E44">
        <f t="shared" si="1"/>
        <v>0</v>
      </c>
    </row>
    <row r="45" spans="1:10">
      <c r="A45" s="177">
        <v>2</v>
      </c>
      <c r="B45" s="177">
        <v>0</v>
      </c>
      <c r="C45" s="182" t="s">
        <v>21</v>
      </c>
      <c r="D45" s="179">
        <v>4</v>
      </c>
      <c r="E45">
        <f t="shared" si="1"/>
        <v>-2</v>
      </c>
    </row>
    <row r="46" spans="1:10">
      <c r="A46" s="177">
        <v>4</v>
      </c>
      <c r="B46" s="177">
        <v>6</v>
      </c>
      <c r="C46" s="182" t="s">
        <v>21</v>
      </c>
      <c r="D46" s="182"/>
      <c r="E46">
        <f t="shared" si="1"/>
        <v>2</v>
      </c>
    </row>
    <row r="47" spans="1:10">
      <c r="A47" s="177">
        <v>5</v>
      </c>
      <c r="B47" s="177">
        <v>6</v>
      </c>
      <c r="C47" s="182" t="s">
        <v>21</v>
      </c>
      <c r="D47" s="182"/>
      <c r="E47">
        <f t="shared" si="1"/>
        <v>1</v>
      </c>
    </row>
    <row r="48" spans="1:10">
      <c r="A48" s="177">
        <v>1</v>
      </c>
      <c r="B48" s="177">
        <v>9</v>
      </c>
      <c r="C48" s="182" t="s">
        <v>21</v>
      </c>
      <c r="D48" s="182"/>
      <c r="E48">
        <f t="shared" si="1"/>
        <v>8</v>
      </c>
    </row>
    <row r="49" spans="1:10">
      <c r="A49" s="177">
        <v>4</v>
      </c>
      <c r="B49" s="177">
        <v>9</v>
      </c>
      <c r="C49" s="182" t="s">
        <v>21</v>
      </c>
      <c r="D49" s="182"/>
      <c r="E49">
        <f t="shared" si="1"/>
        <v>5</v>
      </c>
    </row>
    <row r="50" spans="1:10">
      <c r="A50" s="177">
        <v>9</v>
      </c>
      <c r="B50" s="177">
        <v>6</v>
      </c>
      <c r="C50" s="182" t="s">
        <v>21</v>
      </c>
      <c r="D50" s="179">
        <v>4</v>
      </c>
      <c r="E50">
        <f t="shared" si="1"/>
        <v>-3</v>
      </c>
      <c r="J50">
        <f>32-9</f>
        <v>23</v>
      </c>
    </row>
    <row r="51" spans="1:10">
      <c r="A51" s="177">
        <v>1.5</v>
      </c>
      <c r="B51" s="177">
        <v>6</v>
      </c>
      <c r="C51" s="182" t="s">
        <v>21</v>
      </c>
      <c r="D51" s="182"/>
      <c r="E51">
        <f t="shared" si="1"/>
        <v>4.5</v>
      </c>
      <c r="J51">
        <f>J50/I41</f>
        <v>0.20535714285714285</v>
      </c>
    </row>
    <row r="52" spans="1:10">
      <c r="A52" s="177">
        <v>0</v>
      </c>
      <c r="B52" s="177">
        <v>8.09</v>
      </c>
      <c r="C52" s="182" t="s">
        <v>19</v>
      </c>
      <c r="D52" s="182"/>
      <c r="E52">
        <f t="shared" si="1"/>
        <v>8.09</v>
      </c>
    </row>
    <row r="53" spans="1:10">
      <c r="A53" s="177">
        <v>4</v>
      </c>
      <c r="B53" s="177">
        <v>11.09</v>
      </c>
      <c r="C53" s="182" t="s">
        <v>14</v>
      </c>
      <c r="D53" s="182"/>
      <c r="E53">
        <f t="shared" si="1"/>
        <v>7.09</v>
      </c>
    </row>
    <row r="54" spans="1:10">
      <c r="A54" s="177">
        <v>6</v>
      </c>
      <c r="B54" s="177">
        <v>6</v>
      </c>
      <c r="C54" s="182" t="s">
        <v>20</v>
      </c>
      <c r="D54" s="182"/>
      <c r="E54">
        <f t="shared" si="1"/>
        <v>0</v>
      </c>
    </row>
    <row r="55" spans="1:10">
      <c r="A55" s="177">
        <v>2</v>
      </c>
      <c r="B55" s="177">
        <v>1.0899999999999999</v>
      </c>
      <c r="C55" s="182" t="s">
        <v>15</v>
      </c>
      <c r="D55" s="182"/>
      <c r="E55">
        <f t="shared" si="1"/>
        <v>-0.91000000000000014</v>
      </c>
    </row>
    <row r="56" spans="1:10">
      <c r="A56" s="177">
        <v>3</v>
      </c>
      <c r="B56" s="177">
        <v>8.09</v>
      </c>
      <c r="C56" s="182" t="s">
        <v>15</v>
      </c>
      <c r="D56" s="182"/>
      <c r="E56">
        <f t="shared" si="1"/>
        <v>5.09</v>
      </c>
    </row>
    <row r="57" spans="1:10">
      <c r="A57" s="177">
        <v>2</v>
      </c>
      <c r="B57" s="177">
        <v>9</v>
      </c>
      <c r="C57" s="182" t="s">
        <v>18</v>
      </c>
      <c r="D57" s="182"/>
      <c r="E57">
        <f t="shared" si="1"/>
        <v>7</v>
      </c>
    </row>
    <row r="58" spans="1:10">
      <c r="A58" s="177">
        <v>0</v>
      </c>
      <c r="B58" s="177">
        <v>8.9999999999999969E-2</v>
      </c>
      <c r="C58" s="182" t="s">
        <v>18</v>
      </c>
      <c r="D58" s="182"/>
      <c r="E58">
        <f t="shared" si="1"/>
        <v>8.9999999999999969E-2</v>
      </c>
    </row>
    <row r="59" spans="1:10">
      <c r="A59" s="177">
        <v>1.5</v>
      </c>
      <c r="B59" s="177">
        <v>2.09</v>
      </c>
      <c r="C59" s="182" t="s">
        <v>17</v>
      </c>
      <c r="D59" s="182"/>
      <c r="E59">
        <f t="shared" si="1"/>
        <v>0.58999999999999986</v>
      </c>
    </row>
    <row r="60" spans="1:10">
      <c r="A60" s="177">
        <v>2</v>
      </c>
      <c r="B60" s="177">
        <v>4</v>
      </c>
      <c r="C60" s="182" t="s">
        <v>18</v>
      </c>
      <c r="D60" s="182"/>
      <c r="E60">
        <f t="shared" si="1"/>
        <v>2</v>
      </c>
    </row>
    <row r="61" spans="1:10">
      <c r="A61" s="177">
        <v>6</v>
      </c>
      <c r="B61" s="177">
        <v>5.09</v>
      </c>
      <c r="C61" s="182" t="s">
        <v>18</v>
      </c>
      <c r="D61" s="182"/>
      <c r="E61">
        <f t="shared" si="1"/>
        <v>-0.91000000000000014</v>
      </c>
    </row>
    <row r="62" spans="1:10">
      <c r="A62" s="177">
        <v>3</v>
      </c>
      <c r="B62" s="177">
        <v>9</v>
      </c>
      <c r="C62" s="182" t="s">
        <v>17</v>
      </c>
      <c r="D62" s="182"/>
      <c r="E62">
        <f t="shared" si="1"/>
        <v>6</v>
      </c>
    </row>
    <row r="63" spans="1:10">
      <c r="A63" s="177">
        <v>0</v>
      </c>
      <c r="B63" s="177">
        <v>5.09</v>
      </c>
      <c r="C63" s="182" t="s">
        <v>11</v>
      </c>
      <c r="D63" s="182"/>
      <c r="E63">
        <f t="shared" si="1"/>
        <v>5.09</v>
      </c>
    </row>
    <row r="64" spans="1:10">
      <c r="A64" s="177">
        <v>10</v>
      </c>
      <c r="B64" s="177">
        <v>8.09</v>
      </c>
      <c r="C64" s="182" t="s">
        <v>17</v>
      </c>
      <c r="D64" s="179">
        <v>8</v>
      </c>
      <c r="E64">
        <f t="shared" si="1"/>
        <v>-1.9100000000000001</v>
      </c>
    </row>
    <row r="65" spans="1:5">
      <c r="A65" s="177">
        <v>2</v>
      </c>
      <c r="B65" s="177">
        <v>0</v>
      </c>
      <c r="C65" s="182" t="s">
        <v>18</v>
      </c>
      <c r="D65" s="179">
        <v>7</v>
      </c>
      <c r="E65">
        <f t="shared" si="1"/>
        <v>-2</v>
      </c>
    </row>
    <row r="66" spans="1:5">
      <c r="A66" s="177">
        <v>0</v>
      </c>
      <c r="B66" s="177">
        <v>8.09</v>
      </c>
      <c r="C66" s="182" t="s">
        <v>14</v>
      </c>
      <c r="D66" s="182"/>
      <c r="E66">
        <f t="shared" si="1"/>
        <v>8.09</v>
      </c>
    </row>
    <row r="67" spans="1:5">
      <c r="A67" s="177">
        <v>0</v>
      </c>
      <c r="B67" s="177">
        <v>1.0899999999999999</v>
      </c>
      <c r="C67" s="182" t="s">
        <v>19</v>
      </c>
      <c r="D67" s="182"/>
      <c r="E67">
        <f t="shared" si="1"/>
        <v>1.0899999999999999</v>
      </c>
    </row>
    <row r="68" spans="1:5">
      <c r="A68" s="177">
        <v>9</v>
      </c>
      <c r="B68" s="177">
        <v>1.0899999999999999</v>
      </c>
      <c r="C68" s="182" t="s">
        <v>19</v>
      </c>
      <c r="D68" s="179">
        <v>6</v>
      </c>
      <c r="E68">
        <f t="shared" si="1"/>
        <v>-7.91</v>
      </c>
    </row>
    <row r="69" spans="1:5">
      <c r="A69" s="177">
        <v>0</v>
      </c>
      <c r="B69" s="177">
        <v>5.09</v>
      </c>
      <c r="C69" s="182" t="s">
        <v>19</v>
      </c>
      <c r="D69" s="182"/>
      <c r="E69">
        <f t="shared" si="1"/>
        <v>5.09</v>
      </c>
    </row>
    <row r="70" spans="1:5">
      <c r="A70" s="177">
        <v>5</v>
      </c>
      <c r="B70" s="177">
        <v>11.09</v>
      </c>
      <c r="C70" s="182" t="s">
        <v>15</v>
      </c>
      <c r="D70" s="182"/>
      <c r="E70">
        <f t="shared" si="1"/>
        <v>6.09</v>
      </c>
    </row>
    <row r="71" spans="1:5">
      <c r="A71" s="177">
        <v>9</v>
      </c>
      <c r="B71" s="177">
        <v>8.09</v>
      </c>
      <c r="C71" s="182" t="s">
        <v>15</v>
      </c>
      <c r="D71" s="182"/>
      <c r="E71">
        <f t="shared" si="1"/>
        <v>-0.91000000000000014</v>
      </c>
    </row>
    <row r="72" spans="1:5">
      <c r="A72" s="177">
        <v>6</v>
      </c>
      <c r="B72" s="177">
        <v>6</v>
      </c>
      <c r="C72" s="182" t="s">
        <v>19</v>
      </c>
      <c r="D72" s="182"/>
      <c r="E72">
        <f t="shared" si="1"/>
        <v>0</v>
      </c>
    </row>
    <row r="73" spans="1:5">
      <c r="A73" s="177">
        <v>9</v>
      </c>
      <c r="B73" s="177">
        <v>8.09</v>
      </c>
      <c r="C73" s="182" t="s">
        <v>15</v>
      </c>
      <c r="D73" s="182"/>
      <c r="E73">
        <f t="shared" ref="E73:E113" si="2">B73-A73</f>
        <v>-0.91000000000000014</v>
      </c>
    </row>
    <row r="74" spans="1:5">
      <c r="A74" s="177">
        <v>3</v>
      </c>
      <c r="B74" s="177">
        <v>8.09</v>
      </c>
      <c r="C74" s="182" t="s">
        <v>15</v>
      </c>
      <c r="D74" s="182"/>
      <c r="E74">
        <f t="shared" si="2"/>
        <v>5.09</v>
      </c>
    </row>
    <row r="75" spans="1:5">
      <c r="A75" s="177">
        <v>5</v>
      </c>
      <c r="B75" s="177">
        <v>5.09</v>
      </c>
      <c r="C75" s="182" t="s">
        <v>15</v>
      </c>
      <c r="D75" s="182"/>
      <c r="E75">
        <f t="shared" si="2"/>
        <v>8.9999999999999858E-2</v>
      </c>
    </row>
    <row r="76" spans="1:5">
      <c r="A76" s="177">
        <v>1</v>
      </c>
      <c r="B76" s="177">
        <v>5.09</v>
      </c>
      <c r="C76" s="182" t="s">
        <v>15</v>
      </c>
      <c r="D76" s="182"/>
      <c r="E76">
        <f t="shared" si="2"/>
        <v>4.09</v>
      </c>
    </row>
    <row r="77" spans="1:5">
      <c r="A77" s="177">
        <v>0</v>
      </c>
      <c r="B77" s="177">
        <v>8.09</v>
      </c>
      <c r="C77" s="182" t="s">
        <v>20</v>
      </c>
      <c r="D77" s="182"/>
      <c r="E77">
        <f t="shared" si="2"/>
        <v>8.09</v>
      </c>
    </row>
    <row r="78" spans="1:5">
      <c r="A78" s="177">
        <v>3</v>
      </c>
      <c r="B78" s="177">
        <v>5.09</v>
      </c>
      <c r="C78" s="182" t="s">
        <v>20</v>
      </c>
      <c r="D78" s="182"/>
      <c r="E78">
        <f t="shared" si="2"/>
        <v>2.09</v>
      </c>
    </row>
    <row r="79" spans="1:5">
      <c r="A79" s="177">
        <v>3.4</v>
      </c>
      <c r="B79" s="177">
        <v>8.09</v>
      </c>
      <c r="C79" s="182" t="s">
        <v>20</v>
      </c>
      <c r="D79" s="182"/>
      <c r="E79">
        <f t="shared" si="2"/>
        <v>4.6899999999999995</v>
      </c>
    </row>
    <row r="80" spans="1:5">
      <c r="A80" s="177">
        <v>6</v>
      </c>
      <c r="B80" s="177">
        <v>5.09</v>
      </c>
      <c r="C80" s="182" t="s">
        <v>20</v>
      </c>
      <c r="D80" s="182"/>
      <c r="E80">
        <f t="shared" si="2"/>
        <v>-0.91000000000000014</v>
      </c>
    </row>
    <row r="81" spans="1:5">
      <c r="A81" s="177">
        <v>0</v>
      </c>
      <c r="B81" s="177">
        <v>5.09</v>
      </c>
      <c r="C81" s="182" t="s">
        <v>20</v>
      </c>
      <c r="D81" s="182"/>
      <c r="E81">
        <f t="shared" si="2"/>
        <v>5.09</v>
      </c>
    </row>
    <row r="82" spans="1:5">
      <c r="A82" s="177">
        <v>2</v>
      </c>
      <c r="B82" s="177">
        <v>1.0899999999999999</v>
      </c>
      <c r="C82" s="182" t="s">
        <v>17</v>
      </c>
      <c r="D82" s="182"/>
      <c r="E82">
        <f t="shared" si="2"/>
        <v>-0.91000000000000014</v>
      </c>
    </row>
    <row r="83" spans="1:5">
      <c r="A83" s="177">
        <v>6</v>
      </c>
      <c r="B83" s="177">
        <v>5.09</v>
      </c>
      <c r="C83" s="182" t="s">
        <v>17</v>
      </c>
      <c r="D83" s="182"/>
      <c r="E83">
        <f t="shared" si="2"/>
        <v>-0.91000000000000014</v>
      </c>
    </row>
    <row r="84" spans="1:5">
      <c r="A84" s="177">
        <v>1</v>
      </c>
      <c r="B84" s="177">
        <v>8.09</v>
      </c>
      <c r="C84" s="182" t="s">
        <v>17</v>
      </c>
      <c r="D84" s="182"/>
      <c r="E84">
        <f t="shared" si="2"/>
        <v>7.09</v>
      </c>
    </row>
    <row r="85" spans="1:5">
      <c r="A85" s="177">
        <v>8</v>
      </c>
      <c r="B85" s="177">
        <v>5.09</v>
      </c>
      <c r="C85" s="182" t="s">
        <v>17</v>
      </c>
      <c r="D85" s="179">
        <v>8</v>
      </c>
      <c r="E85">
        <f t="shared" si="2"/>
        <v>-2.91</v>
      </c>
    </row>
    <row r="86" spans="1:5">
      <c r="A86" s="177">
        <v>0</v>
      </c>
      <c r="B86" s="177">
        <v>11.09</v>
      </c>
      <c r="C86" s="182" t="s">
        <v>18</v>
      </c>
      <c r="D86" s="182"/>
      <c r="E86">
        <f t="shared" si="2"/>
        <v>11.09</v>
      </c>
    </row>
    <row r="87" spans="1:5">
      <c r="A87" s="177">
        <v>6</v>
      </c>
      <c r="B87" s="177">
        <v>6</v>
      </c>
      <c r="C87" s="182" t="s">
        <v>20</v>
      </c>
      <c r="D87" s="182"/>
      <c r="E87">
        <f t="shared" si="2"/>
        <v>0</v>
      </c>
    </row>
    <row r="88" spans="1:5">
      <c r="A88" s="177">
        <v>14</v>
      </c>
      <c r="B88" s="177">
        <v>8.09</v>
      </c>
      <c r="C88" s="182" t="s">
        <v>18</v>
      </c>
      <c r="D88" s="179">
        <v>7</v>
      </c>
      <c r="E88">
        <f t="shared" si="2"/>
        <v>-5.91</v>
      </c>
    </row>
    <row r="89" spans="1:5">
      <c r="A89" s="177">
        <v>1</v>
      </c>
      <c r="B89" s="177">
        <v>5.09</v>
      </c>
      <c r="C89" s="182" t="s">
        <v>18</v>
      </c>
      <c r="D89" s="182"/>
      <c r="E89">
        <f t="shared" si="2"/>
        <v>4.09</v>
      </c>
    </row>
    <row r="90" spans="1:5">
      <c r="A90" s="177">
        <v>9</v>
      </c>
      <c r="B90" s="177">
        <v>1.5899999999999999</v>
      </c>
      <c r="C90" s="182" t="s">
        <v>19</v>
      </c>
      <c r="D90" s="179">
        <v>6</v>
      </c>
      <c r="E90">
        <f t="shared" si="2"/>
        <v>-7.41</v>
      </c>
    </row>
    <row r="91" spans="1:5">
      <c r="A91" s="177">
        <v>6</v>
      </c>
      <c r="B91" s="177">
        <v>8.09</v>
      </c>
      <c r="C91" s="182" t="s">
        <v>19</v>
      </c>
      <c r="D91" s="182"/>
      <c r="E91">
        <f t="shared" si="2"/>
        <v>2.09</v>
      </c>
    </row>
    <row r="92" spans="1:5">
      <c r="A92" s="177">
        <v>3</v>
      </c>
      <c r="B92" s="177">
        <v>5.09</v>
      </c>
      <c r="C92" s="182" t="s">
        <v>19</v>
      </c>
      <c r="D92" s="182"/>
      <c r="E92">
        <f t="shared" si="2"/>
        <v>2.09</v>
      </c>
    </row>
    <row r="93" spans="1:5">
      <c r="A93" s="177">
        <v>4</v>
      </c>
      <c r="B93" s="177">
        <v>5.09</v>
      </c>
      <c r="C93" s="182" t="s">
        <v>19</v>
      </c>
      <c r="D93" s="182"/>
      <c r="E93">
        <f t="shared" si="2"/>
        <v>1.0899999999999999</v>
      </c>
    </row>
    <row r="94" spans="1:5">
      <c r="A94" s="177">
        <v>0</v>
      </c>
      <c r="B94" s="177">
        <v>9</v>
      </c>
      <c r="C94" s="182" t="s">
        <v>18</v>
      </c>
      <c r="D94" s="182"/>
      <c r="E94">
        <f t="shared" si="2"/>
        <v>9</v>
      </c>
    </row>
    <row r="95" spans="1:5">
      <c r="A95" s="177">
        <v>9</v>
      </c>
      <c r="B95" s="177">
        <v>8.09</v>
      </c>
      <c r="C95" s="182" t="s">
        <v>15</v>
      </c>
      <c r="D95" s="182"/>
      <c r="E95">
        <f t="shared" si="2"/>
        <v>-0.91000000000000014</v>
      </c>
    </row>
    <row r="96" spans="1:5">
      <c r="A96" s="177">
        <v>0</v>
      </c>
      <c r="B96" s="177">
        <v>5.09</v>
      </c>
      <c r="C96" s="182" t="s">
        <v>17</v>
      </c>
      <c r="D96" s="182"/>
      <c r="E96">
        <f t="shared" si="2"/>
        <v>5.09</v>
      </c>
    </row>
    <row r="97" spans="1:5">
      <c r="A97" s="177">
        <v>5.5</v>
      </c>
      <c r="B97" s="177">
        <v>8.09</v>
      </c>
      <c r="C97" s="182" t="s">
        <v>14</v>
      </c>
      <c r="D97" s="182"/>
      <c r="E97">
        <f t="shared" si="2"/>
        <v>2.59</v>
      </c>
    </row>
    <row r="98" spans="1:5">
      <c r="A98" s="177">
        <v>5</v>
      </c>
      <c r="B98" s="177">
        <v>5.09</v>
      </c>
      <c r="C98" s="182" t="s">
        <v>14</v>
      </c>
      <c r="D98" s="182"/>
      <c r="E98">
        <f t="shared" si="2"/>
        <v>8.9999999999999858E-2</v>
      </c>
    </row>
    <row r="99" spans="1:5">
      <c r="A99" s="177">
        <v>0</v>
      </c>
      <c r="B99" s="177">
        <v>11.09</v>
      </c>
      <c r="C99" s="182" t="s">
        <v>14</v>
      </c>
      <c r="D99" s="182"/>
      <c r="E99">
        <f t="shared" si="2"/>
        <v>11.09</v>
      </c>
    </row>
    <row r="100" spans="1:5">
      <c r="A100" s="177">
        <v>3</v>
      </c>
      <c r="B100" s="177">
        <v>5.09</v>
      </c>
      <c r="C100" s="182" t="s">
        <v>19</v>
      </c>
      <c r="D100" s="182"/>
      <c r="E100">
        <f t="shared" si="2"/>
        <v>2.09</v>
      </c>
    </row>
    <row r="101" spans="1:5">
      <c r="A101" s="177">
        <v>0</v>
      </c>
      <c r="B101" s="177">
        <v>5.09</v>
      </c>
      <c r="C101" s="182" t="s">
        <v>15</v>
      </c>
      <c r="D101" s="182"/>
      <c r="E101">
        <f t="shared" si="2"/>
        <v>5.09</v>
      </c>
    </row>
    <row r="102" spans="1:5">
      <c r="A102" s="177">
        <v>0</v>
      </c>
      <c r="B102" s="177">
        <v>5.09</v>
      </c>
      <c r="C102" s="182" t="s">
        <v>15</v>
      </c>
      <c r="D102" s="182"/>
      <c r="E102">
        <f t="shared" si="2"/>
        <v>5.09</v>
      </c>
    </row>
    <row r="103" spans="1:5">
      <c r="A103" s="177">
        <v>0</v>
      </c>
      <c r="B103" s="177">
        <v>0</v>
      </c>
      <c r="C103" s="182" t="s">
        <v>12</v>
      </c>
      <c r="D103" s="182"/>
      <c r="E103">
        <f t="shared" si="2"/>
        <v>0</v>
      </c>
    </row>
    <row r="104" spans="1:5">
      <c r="A104" s="177">
        <v>16</v>
      </c>
      <c r="B104" s="177">
        <v>11.09</v>
      </c>
      <c r="C104" s="182" t="s">
        <v>17</v>
      </c>
      <c r="D104" s="179">
        <v>8</v>
      </c>
      <c r="E104">
        <f t="shared" si="2"/>
        <v>-4.91</v>
      </c>
    </row>
    <row r="105" spans="1:5">
      <c r="A105" s="177">
        <v>3</v>
      </c>
      <c r="B105" s="177">
        <v>5.09</v>
      </c>
      <c r="C105" s="182" t="s">
        <v>13</v>
      </c>
      <c r="D105" s="182"/>
      <c r="E105">
        <f t="shared" si="2"/>
        <v>2.09</v>
      </c>
    </row>
    <row r="106" spans="1:5">
      <c r="A106" s="177">
        <v>6</v>
      </c>
      <c r="B106" s="177">
        <v>5.09</v>
      </c>
      <c r="C106" s="182" t="s">
        <v>13</v>
      </c>
      <c r="D106" s="182"/>
      <c r="E106">
        <f t="shared" si="2"/>
        <v>-0.91000000000000014</v>
      </c>
    </row>
    <row r="107" spans="1:5">
      <c r="A107" s="177">
        <v>6</v>
      </c>
      <c r="B107" s="177">
        <v>11.09</v>
      </c>
      <c r="C107" s="182" t="s">
        <v>13</v>
      </c>
      <c r="D107" s="182"/>
      <c r="E107">
        <f t="shared" si="2"/>
        <v>5.09</v>
      </c>
    </row>
    <row r="108" spans="1:5">
      <c r="A108" s="177">
        <v>2</v>
      </c>
      <c r="B108" s="177">
        <v>5.09</v>
      </c>
      <c r="C108" s="182" t="s">
        <v>13</v>
      </c>
      <c r="D108" s="182"/>
      <c r="E108">
        <f t="shared" si="2"/>
        <v>3.09</v>
      </c>
    </row>
    <row r="109" spans="1:5">
      <c r="A109" s="177">
        <v>0</v>
      </c>
      <c r="B109" s="177">
        <v>5.09</v>
      </c>
      <c r="C109" s="182" t="s">
        <v>18</v>
      </c>
      <c r="D109" s="182"/>
      <c r="E109">
        <f t="shared" si="2"/>
        <v>5.09</v>
      </c>
    </row>
    <row r="110" spans="1:5">
      <c r="A110" s="177">
        <v>0</v>
      </c>
      <c r="B110" s="177">
        <v>8.09</v>
      </c>
      <c r="C110" s="182" t="s">
        <v>14</v>
      </c>
      <c r="D110" s="182"/>
      <c r="E110">
        <f t="shared" si="2"/>
        <v>8.09</v>
      </c>
    </row>
    <row r="111" spans="1:5">
      <c r="A111" s="177">
        <v>0</v>
      </c>
      <c r="B111" s="177">
        <v>8.09</v>
      </c>
      <c r="C111" s="182" t="s">
        <v>11</v>
      </c>
      <c r="D111" s="182"/>
      <c r="E111">
        <f t="shared" si="2"/>
        <v>8.09</v>
      </c>
    </row>
    <row r="112" spans="1:5">
      <c r="A112" s="177">
        <v>0.5</v>
      </c>
      <c r="B112" s="177">
        <v>5.09</v>
      </c>
      <c r="C112" s="182" t="s">
        <v>15</v>
      </c>
      <c r="D112" s="182"/>
      <c r="E112">
        <f t="shared" si="2"/>
        <v>4.59</v>
      </c>
    </row>
    <row r="113" spans="1:6">
      <c r="A113" s="177">
        <v>0</v>
      </c>
      <c r="B113" s="177">
        <v>0</v>
      </c>
      <c r="C113" s="182" t="s">
        <v>18</v>
      </c>
      <c r="D113" s="182"/>
      <c r="E113">
        <f t="shared" si="2"/>
        <v>0</v>
      </c>
    </row>
    <row r="118" spans="1:6">
      <c r="C118" s="182"/>
      <c r="D118" s="179"/>
    </row>
    <row r="119" spans="1:6">
      <c r="C119" s="182"/>
      <c r="D119" s="179"/>
    </row>
    <row r="120" spans="1:6">
      <c r="C120" s="182" t="s">
        <v>20</v>
      </c>
      <c r="D120" s="179"/>
    </row>
    <row r="121" spans="1:6">
      <c r="C121" s="182" t="s">
        <v>24</v>
      </c>
      <c r="D121" s="179"/>
    </row>
    <row r="122" spans="1:6">
      <c r="C122" s="182" t="s">
        <v>24</v>
      </c>
      <c r="D122" s="179"/>
    </row>
    <row r="123" spans="1:6">
      <c r="C123" s="182" t="s">
        <v>24</v>
      </c>
      <c r="D123" s="179"/>
    </row>
    <row r="124" spans="1:6">
      <c r="C124" s="182" t="s">
        <v>24</v>
      </c>
      <c r="D124" s="179"/>
    </row>
    <row r="125" spans="1:6">
      <c r="C125" s="182" t="s">
        <v>24</v>
      </c>
      <c r="D125" s="179"/>
    </row>
    <row r="126" spans="1:6">
      <c r="C126" s="182" t="s">
        <v>23</v>
      </c>
      <c r="D126" s="179"/>
    </row>
    <row r="127" spans="1:6">
      <c r="C127" s="182" t="s">
        <v>23</v>
      </c>
      <c r="D127" s="179"/>
      <c r="E127" t="s">
        <v>69</v>
      </c>
    </row>
    <row r="128" spans="1:6">
      <c r="C128" s="182" t="s">
        <v>23</v>
      </c>
      <c r="D128" s="179"/>
      <c r="E128" t="s">
        <v>14</v>
      </c>
      <c r="F128">
        <f t="shared" ref="F128" si="3">COUNTIF($C$120:$C$142,E128)</f>
        <v>0</v>
      </c>
    </row>
    <row r="129" spans="3:6">
      <c r="C129" s="182" t="s">
        <v>23</v>
      </c>
      <c r="D129" s="179"/>
      <c r="E129" t="s">
        <v>17</v>
      </c>
      <c r="F129">
        <v>2</v>
      </c>
    </row>
    <row r="130" spans="3:6">
      <c r="C130" s="182" t="s">
        <v>22</v>
      </c>
      <c r="D130" s="179"/>
      <c r="E130" t="s">
        <v>18</v>
      </c>
      <c r="F130">
        <f t="shared" ref="F130:F136" si="4">COUNTIF($C$120:$C$142,E130)</f>
        <v>2</v>
      </c>
    </row>
    <row r="131" spans="3:6">
      <c r="C131" s="182" t="s">
        <v>22</v>
      </c>
      <c r="D131" s="179"/>
      <c r="E131" t="s">
        <v>19</v>
      </c>
      <c r="F131">
        <f t="shared" si="4"/>
        <v>2</v>
      </c>
    </row>
    <row r="132" spans="3:6">
      <c r="C132" s="182" t="s">
        <v>22</v>
      </c>
      <c r="D132" s="179"/>
      <c r="E132" t="s">
        <v>20</v>
      </c>
      <c r="F132">
        <f t="shared" si="4"/>
        <v>1</v>
      </c>
    </row>
    <row r="133" spans="3:6">
      <c r="C133" s="182" t="s">
        <v>22</v>
      </c>
      <c r="D133" s="179"/>
      <c r="E133" t="s">
        <v>21</v>
      </c>
      <c r="F133">
        <f t="shared" si="4"/>
        <v>2</v>
      </c>
    </row>
    <row r="134" spans="3:6">
      <c r="C134" s="182" t="s">
        <v>21</v>
      </c>
      <c r="D134" s="179"/>
      <c r="E134" t="s">
        <v>22</v>
      </c>
      <c r="F134">
        <f t="shared" si="4"/>
        <v>4</v>
      </c>
    </row>
    <row r="135" spans="3:6">
      <c r="C135" s="182" t="s">
        <v>21</v>
      </c>
      <c r="D135" s="179"/>
      <c r="E135" t="s">
        <v>23</v>
      </c>
      <c r="F135">
        <f t="shared" si="4"/>
        <v>4</v>
      </c>
    </row>
    <row r="136" spans="3:6">
      <c r="C136" s="182" t="s">
        <v>17</v>
      </c>
      <c r="D136" s="179"/>
      <c r="E136" t="s">
        <v>24</v>
      </c>
      <c r="F136">
        <f t="shared" si="4"/>
        <v>5</v>
      </c>
    </row>
    <row r="137" spans="3:6">
      <c r="C137" s="182" t="s">
        <v>18</v>
      </c>
      <c r="D137" s="179"/>
      <c r="E137" t="s">
        <v>25</v>
      </c>
      <c r="F137">
        <v>0</v>
      </c>
    </row>
    <row r="138" spans="3:6">
      <c r="C138" s="182" t="s">
        <v>19</v>
      </c>
      <c r="D138" s="179"/>
      <c r="E138" t="s">
        <v>26</v>
      </c>
      <c r="F138">
        <v>3</v>
      </c>
    </row>
    <row r="139" spans="3:6">
      <c r="C139" s="182" t="s">
        <v>17</v>
      </c>
      <c r="D139" s="179"/>
      <c r="E139" t="s">
        <v>70</v>
      </c>
      <c r="F139">
        <f>SUM(F128:F138)</f>
        <v>25</v>
      </c>
    </row>
    <row r="140" spans="3:6">
      <c r="C140" s="182" t="s">
        <v>18</v>
      </c>
      <c r="D140" s="179"/>
      <c r="E140" t="s">
        <v>71</v>
      </c>
      <c r="F140">
        <f>SUM(F135:F138)</f>
        <v>12</v>
      </c>
    </row>
    <row r="141" spans="3:6">
      <c r="C141" s="182" t="s">
        <v>19</v>
      </c>
      <c r="E141" t="s">
        <v>72</v>
      </c>
      <c r="F141">
        <f>F140/F139</f>
        <v>0.48</v>
      </c>
    </row>
    <row r="142" spans="3:6">
      <c r="C142" s="182" t="s">
        <v>17</v>
      </c>
    </row>
  </sheetData>
  <autoFilter ref="A1:E113" xr:uid="{66D88F7B-D885-4FB9-B72B-33BDE3718EEE}"/>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tabColor theme="1"/>
  </sheetPr>
  <dimension ref="A1:BP520"/>
  <sheetViews>
    <sheetView tabSelected="1" showOutlineSymbols="0" showWhiteSpace="0" zoomScaleNormal="100" workbookViewId="0">
      <pane xSplit="6" topLeftCell="O1" activePane="topRight" state="frozen"/>
      <selection pane="topRight" activeCell="X427" sqref="X427"/>
      <selection activeCell="A64" sqref="A64"/>
    </sheetView>
  </sheetViews>
  <sheetFormatPr defaultColWidth="8.625" defaultRowHeight="13.9" outlineLevelRow="7" outlineLevelCol="6"/>
  <cols>
    <col min="1" max="1" width="24.125" style="184" customWidth="1"/>
    <col min="2" max="2" width="18.5" style="184" bestFit="1" customWidth="1"/>
    <col min="3" max="3" width="14.75" style="184" bestFit="1" customWidth="1"/>
    <col min="4" max="4" width="10.625" style="184" bestFit="1" customWidth="1"/>
    <col min="5" max="5" width="15.875" style="184" bestFit="1" customWidth="1"/>
    <col min="6" max="6" width="15.125" style="184" bestFit="1" customWidth="1"/>
    <col min="7" max="7" width="15.875" style="184" customWidth="1"/>
    <col min="8" max="8" width="30.125" style="184" customWidth="1"/>
    <col min="9" max="9" width="16" style="186" bestFit="1" customWidth="1"/>
    <col min="10" max="10" width="11.875" style="249" customWidth="1"/>
    <col min="11" max="11" width="18.625" style="249" customWidth="1"/>
    <col min="12" max="12" width="13.625" style="249" bestFit="1" customWidth="1"/>
    <col min="13" max="13" width="8.375" style="249" bestFit="1" customWidth="1"/>
    <col min="14" max="14" width="16.625" style="186" bestFit="1" customWidth="1"/>
    <col min="15" max="15" width="8.625" style="186" customWidth="1"/>
    <col min="16" max="16" width="13.125" style="186" customWidth="1"/>
    <col min="17" max="17" width="16.625" style="186" customWidth="1"/>
    <col min="18" max="18" width="14.125" style="222" customWidth="1"/>
    <col min="19" max="19" width="12.625" style="222" customWidth="1"/>
    <col min="20" max="20" width="18.125" style="186" customWidth="1"/>
    <col min="21" max="22" width="14.625" style="186" customWidth="1"/>
    <col min="23" max="23" width="13.625" style="186" customWidth="1"/>
    <col min="24" max="25" width="24.625" style="186" customWidth="1"/>
    <col min="26" max="26" width="22" style="186" customWidth="1"/>
    <col min="27" max="27" width="17.625" style="186" customWidth="1"/>
    <col min="28" max="28" width="22" style="186" customWidth="1"/>
    <col min="29" max="29" width="24.625" style="186" customWidth="1"/>
    <col min="30" max="30" width="19.125" style="238" customWidth="1"/>
    <col min="31" max="31" width="29.5" style="186" customWidth="1"/>
    <col min="32" max="32" width="33" style="186" bestFit="1" customWidth="1"/>
    <col min="33" max="33" width="18.125" style="186" hidden="1" customWidth="1" outlineLevel="1"/>
    <col min="34" max="36" width="16.5" style="186" hidden="1" customWidth="1" outlineLevel="1"/>
    <col min="37" max="37" width="15.125" style="186" bestFit="1" customWidth="1" collapsed="1"/>
    <col min="38" max="39" width="15.125" style="186" customWidth="1"/>
    <col min="40" max="40" width="26.125" style="186" bestFit="1" customWidth="1"/>
    <col min="41" max="41" width="47.625" style="186" customWidth="1"/>
    <col min="42" max="43" width="36.125" style="186" hidden="1" customWidth="1" outlineLevel="3"/>
    <col min="44" max="44" width="22" style="186" bestFit="1" customWidth="1" outlineLevel="3"/>
    <col min="45" max="46" width="51.625" style="186" customWidth="1" outlineLevel="3"/>
    <col min="47" max="47" width="15.5" style="186" customWidth="1" outlineLevel="3"/>
    <col min="48" max="48" width="16.5" style="186" customWidth="1" outlineLevel="6"/>
    <col min="49" max="54" width="26.125" style="186" customWidth="1" outlineLevel="6"/>
    <col min="55" max="55" width="24.125" style="186" customWidth="1" outlineLevel="6"/>
    <col min="56" max="64" width="15.125" style="186" customWidth="1" outlineLevel="6"/>
    <col min="65" max="66" width="11" style="186" customWidth="1" outlineLevel="6"/>
    <col min="67" max="16384" width="8.625" style="186"/>
  </cols>
  <sheetData>
    <row r="1" spans="1:66" ht="40.35" customHeight="1">
      <c r="A1" s="202" t="s">
        <v>73</v>
      </c>
      <c r="B1" s="456" t="s">
        <v>74</v>
      </c>
      <c r="F1" s="203"/>
      <c r="G1" s="203"/>
      <c r="J1" s="204"/>
      <c r="K1" s="216"/>
      <c r="L1" s="204"/>
      <c r="M1" s="204"/>
      <c r="N1" s="204"/>
      <c r="O1" s="320"/>
      <c r="P1" s="317"/>
      <c r="Q1" s="317"/>
      <c r="R1" s="206"/>
      <c r="S1" s="207"/>
      <c r="V1" s="208"/>
      <c r="X1" s="186">
        <f>4143-3757</f>
        <v>386</v>
      </c>
      <c r="Z1" s="209">
        <f>X1*6</f>
        <v>2316</v>
      </c>
      <c r="AA1" s="204"/>
      <c r="AB1" s="210" t="s">
        <v>75</v>
      </c>
      <c r="AC1" s="211">
        <v>0.33</v>
      </c>
      <c r="AD1" s="212">
        <f>PERCENTILE(AD5:AD220,AC1)</f>
        <v>430118.39520000003</v>
      </c>
      <c r="AE1" s="181">
        <f>AVERAGE($AD$5:$AD$220)</f>
        <v>1310823.2668075119</v>
      </c>
      <c r="AF1" s="181">
        <f>SUM($AD$5:$AD$220)</f>
        <v>279205355.83000004</v>
      </c>
    </row>
    <row r="2" spans="1:66" ht="20.100000000000001" customHeight="1">
      <c r="A2" s="213" t="s">
        <v>76</v>
      </c>
      <c r="J2" s="204"/>
      <c r="K2" s="204"/>
      <c r="L2" s="204"/>
      <c r="M2" s="216">
        <f>SUMPRODUCT(M5:M21,K5:K21)/SUM(K5:K21)</f>
        <v>0.1008697180453062</v>
      </c>
      <c r="P2" s="206"/>
      <c r="Q2" s="204"/>
      <c r="R2" s="214"/>
      <c r="S2" s="215"/>
      <c r="X2" s="216"/>
      <c r="Y2" s="216"/>
      <c r="AA2" s="187"/>
      <c r="AB2" s="217" t="s">
        <v>77</v>
      </c>
      <c r="AC2" s="218">
        <v>0.5</v>
      </c>
      <c r="AD2" s="219">
        <f>MEDIAN(AD5:AD220)</f>
        <v>645507</v>
      </c>
      <c r="AE2" s="186" t="s">
        <v>78</v>
      </c>
      <c r="AF2" s="186" t="s">
        <v>79</v>
      </c>
    </row>
    <row r="3" spans="1:66" ht="20.100000000000001" customHeight="1">
      <c r="A3" s="213"/>
      <c r="J3" s="220"/>
      <c r="K3" s="220"/>
      <c r="L3" s="220"/>
      <c r="M3" s="220"/>
      <c r="O3" s="205"/>
      <c r="P3" s="221"/>
      <c r="W3" s="223">
        <v>0.91</v>
      </c>
      <c r="Z3" s="204"/>
      <c r="AB3" s="224" t="s">
        <v>80</v>
      </c>
      <c r="AC3" s="225"/>
      <c r="AD3" s="226">
        <f>PERCENTRANK(AD5:AD220,1000000)</f>
        <v>0.63600000000000001</v>
      </c>
      <c r="AP3" s="227"/>
      <c r="AQ3" s="227"/>
      <c r="AR3" s="227"/>
      <c r="AS3" s="227"/>
      <c r="AT3" s="227"/>
      <c r="AU3" s="227"/>
      <c r="AV3" s="227"/>
      <c r="AW3" s="227"/>
      <c r="AX3" s="227"/>
      <c r="AY3" s="227"/>
      <c r="AZ3" s="227"/>
      <c r="BA3" s="227"/>
      <c r="BB3" s="227"/>
      <c r="BC3" s="227"/>
      <c r="BD3" s="227"/>
      <c r="BE3" s="227"/>
      <c r="BF3" s="227"/>
      <c r="BG3" s="227"/>
      <c r="BH3" s="227"/>
      <c r="BI3" s="227"/>
      <c r="BJ3" s="227"/>
      <c r="BK3" s="227"/>
      <c r="BL3" s="227"/>
      <c r="BM3" s="227"/>
      <c r="BN3" s="227"/>
    </row>
    <row r="4" spans="1:66" s="198" customFormat="1">
      <c r="A4" s="228" t="s">
        <v>81</v>
      </c>
      <c r="B4" s="228" t="s">
        <v>82</v>
      </c>
      <c r="C4" s="228" t="s">
        <v>83</v>
      </c>
      <c r="D4" s="228" t="s">
        <v>84</v>
      </c>
      <c r="E4" s="228" t="s">
        <v>85</v>
      </c>
      <c r="F4" s="228" t="s">
        <v>86</v>
      </c>
      <c r="G4" s="228" t="s">
        <v>87</v>
      </c>
      <c r="H4" s="228" t="s">
        <v>88</v>
      </c>
      <c r="I4" s="229" t="s">
        <v>89</v>
      </c>
      <c r="J4" s="229" t="s">
        <v>90</v>
      </c>
      <c r="K4" s="228" t="s">
        <v>91</v>
      </c>
      <c r="L4" s="229" t="s">
        <v>92</v>
      </c>
      <c r="M4" s="229" t="s">
        <v>93</v>
      </c>
      <c r="N4" s="229" t="s">
        <v>94</v>
      </c>
      <c r="O4" s="229" t="s">
        <v>95</v>
      </c>
      <c r="P4" s="229" t="s">
        <v>58</v>
      </c>
      <c r="Q4" s="229" t="s">
        <v>96</v>
      </c>
      <c r="R4" s="230" t="s">
        <v>97</v>
      </c>
      <c r="S4" s="230" t="s">
        <v>98</v>
      </c>
      <c r="T4" s="229" t="s">
        <v>99</v>
      </c>
      <c r="U4" s="229" t="s">
        <v>100</v>
      </c>
      <c r="V4" s="229" t="s">
        <v>9</v>
      </c>
      <c r="W4" s="229" t="s">
        <v>101</v>
      </c>
      <c r="X4" s="229" t="s">
        <v>102</v>
      </c>
      <c r="Y4" s="229" t="s">
        <v>103</v>
      </c>
      <c r="Z4" s="229" t="s">
        <v>104</v>
      </c>
      <c r="AA4" s="229" t="s">
        <v>105</v>
      </c>
      <c r="AB4" s="229" t="s">
        <v>106</v>
      </c>
      <c r="AC4" s="229" t="s">
        <v>107</v>
      </c>
      <c r="AD4" s="229" t="s">
        <v>108</v>
      </c>
      <c r="AE4" s="229" t="s">
        <v>109</v>
      </c>
      <c r="AF4" s="229" t="s">
        <v>110</v>
      </c>
      <c r="AG4" s="229" t="s">
        <v>111</v>
      </c>
      <c r="AH4" s="229" t="s">
        <v>112</v>
      </c>
      <c r="AI4" s="229" t="s">
        <v>113</v>
      </c>
      <c r="AJ4" s="229" t="s">
        <v>114</v>
      </c>
      <c r="AK4" s="229" t="s">
        <v>115</v>
      </c>
      <c r="AL4" s="229" t="s">
        <v>116</v>
      </c>
      <c r="AM4" s="229" t="s">
        <v>117</v>
      </c>
      <c r="AN4" s="229" t="s">
        <v>118</v>
      </c>
      <c r="AO4" s="231" t="s">
        <v>119</v>
      </c>
      <c r="AP4" s="232" t="s">
        <v>120</v>
      </c>
      <c r="AQ4" s="232" t="s">
        <v>121</v>
      </c>
      <c r="AR4" s="232" t="s">
        <v>122</v>
      </c>
      <c r="AS4" s="232" t="s">
        <v>66</v>
      </c>
      <c r="AT4" s="232" t="s">
        <v>123</v>
      </c>
      <c r="AU4" s="232" t="s">
        <v>124</v>
      </c>
      <c r="AV4" s="232" t="s">
        <v>125</v>
      </c>
      <c r="AW4" s="232" t="s">
        <v>126</v>
      </c>
      <c r="AX4" s="232" t="s">
        <v>127</v>
      </c>
      <c r="AY4" s="232" t="s">
        <v>128</v>
      </c>
      <c r="AZ4" s="232" t="s">
        <v>129</v>
      </c>
      <c r="BA4" s="232" t="s">
        <v>130</v>
      </c>
      <c r="BB4" s="232" t="s">
        <v>131</v>
      </c>
      <c r="BC4" s="232" t="s">
        <v>132</v>
      </c>
      <c r="BD4" s="232" t="s">
        <v>133</v>
      </c>
      <c r="BE4" s="232" t="s">
        <v>134</v>
      </c>
      <c r="BF4" s="232" t="s">
        <v>135</v>
      </c>
      <c r="BG4" s="232" t="s">
        <v>136</v>
      </c>
      <c r="BH4" s="232" t="s">
        <v>137</v>
      </c>
      <c r="BI4" s="232" t="s">
        <v>138</v>
      </c>
      <c r="BJ4" s="232" t="s">
        <v>139</v>
      </c>
      <c r="BK4" s="232" t="s">
        <v>99</v>
      </c>
      <c r="BL4" s="232" t="s">
        <v>100</v>
      </c>
      <c r="BM4" s="232" t="s">
        <v>140</v>
      </c>
      <c r="BN4" s="232" t="s">
        <v>141</v>
      </c>
    </row>
    <row r="5" spans="1:66" s="198" customFormat="1" hidden="1" outlineLevel="1">
      <c r="A5" s="176" t="s">
        <v>142</v>
      </c>
      <c r="B5" s="176" t="s">
        <v>143</v>
      </c>
      <c r="C5" s="176"/>
      <c r="D5" s="176"/>
      <c r="E5" s="176"/>
      <c r="F5" s="165" t="s">
        <v>144</v>
      </c>
      <c r="G5" s="438">
        <v>0</v>
      </c>
      <c r="H5" s="176" t="s">
        <v>145</v>
      </c>
      <c r="I5" s="177">
        <v>88</v>
      </c>
      <c r="J5" s="178">
        <v>21741</v>
      </c>
      <c r="K5" s="178">
        <f>_xlfn.XLOOKUP(AN5,'[1]Performance Table'!$B:$B,'[1]Performance Table'!$BE:$BE,0)</f>
        <v>4954431.6552054798</v>
      </c>
      <c r="L5" s="440">
        <v>63196</v>
      </c>
      <c r="M5" s="190">
        <f t="shared" ref="M5:M20" si="0">Q5/(K5/L5)</f>
        <v>0.10395690885327975</v>
      </c>
      <c r="N5" s="177">
        <v>6.9</v>
      </c>
      <c r="O5" s="442">
        <v>6.03</v>
      </c>
      <c r="P5" s="442">
        <v>8</v>
      </c>
      <c r="Q5" s="442">
        <v>8.15</v>
      </c>
      <c r="R5" s="177">
        <v>3.5</v>
      </c>
      <c r="S5" s="177">
        <v>3</v>
      </c>
      <c r="T5" s="179"/>
      <c r="U5" s="177"/>
      <c r="V5" s="177">
        <v>0</v>
      </c>
      <c r="W5" s="177">
        <v>6</v>
      </c>
      <c r="X5" s="188">
        <v>0</v>
      </c>
      <c r="Y5" s="180">
        <f>Z5/J5</f>
        <v>2.4599604434018674</v>
      </c>
      <c r="Z5" s="441">
        <v>53482</v>
      </c>
      <c r="AA5" s="180"/>
      <c r="AB5" s="180">
        <v>59063.77</v>
      </c>
      <c r="AC5" s="180">
        <f t="shared" ref="AC5:AC20" si="1">SUM(X5:AB5)</f>
        <v>112548.22996044339</v>
      </c>
      <c r="AD5" s="443" t="s">
        <v>146</v>
      </c>
      <c r="AE5" s="177" t="s">
        <v>147</v>
      </c>
      <c r="AF5" s="182">
        <v>45646</v>
      </c>
      <c r="AG5" s="249"/>
      <c r="AH5" s="249"/>
      <c r="AI5" s="249"/>
      <c r="AJ5" s="177"/>
      <c r="AK5" s="177" t="s">
        <v>148</v>
      </c>
      <c r="AL5" s="182" t="s">
        <v>149</v>
      </c>
      <c r="AM5" s="444" t="s">
        <v>150</v>
      </c>
      <c r="AN5" s="249" t="s">
        <v>151</v>
      </c>
      <c r="AO5" s="249"/>
      <c r="AP5" s="177"/>
      <c r="AQ5" s="183"/>
      <c r="AR5" s="177" t="str">
        <f t="shared" ref="AR5:AR36" si="2">IF(B5="Expansion","New Lease",IF(B5="Early Renewal","Renewal",IF(B5="Renewal per Option","Renewal",IF(B5="Renewal","Renewal",B5))))</f>
        <v>New Lease</v>
      </c>
      <c r="AS5" s="182" t="str">
        <f t="shared" ref="AS5:AS36" si="3">"Q"&amp;ROUNDUP(MONTH(AF5)/3,0)&amp;" "&amp;YEAR(AF5)</f>
        <v>Q4 2024</v>
      </c>
      <c r="AT5" s="182" t="str">
        <f t="shared" ref="AT5:AT36" si="4">(MONTH(AF5)&gt;6)+1&amp;"H"&amp;YEAR(AF5)</f>
        <v>2H2024</v>
      </c>
      <c r="AU5" s="184" t="str">
        <f t="shared" ref="AU5:AU36" si="5">IF(J5&lt;$A$223,$A$228,IF(J5&lt;$A$224,$A$229,IF(J5&lt;$A$225,$A$230,IF(J5&gt;$A$225,$A$231))))</f>
        <v>20-50K</v>
      </c>
      <c r="AV5" s="179">
        <f t="shared" ref="AV5:AV30" si="6">IF(N5="","",J5)</f>
        <v>21741</v>
      </c>
      <c r="AW5" s="233">
        <f t="shared" ref="AW5:AW36" si="7">IFERROR(N5*AV5,"")</f>
        <v>150012.9</v>
      </c>
      <c r="AX5" s="233">
        <f t="shared" ref="AX5:AX36" si="8">J5*O5</f>
        <v>131098.23000000001</v>
      </c>
      <c r="AY5" s="198">
        <f t="shared" ref="AY5:AY27" si="9">IF(P5="","",J5*P5)</f>
        <v>173928</v>
      </c>
      <c r="AZ5" s="233">
        <f t="shared" ref="AZ5:AZ21" si="10">IFERROR(Q5*AV5,"")</f>
        <v>177189.15</v>
      </c>
      <c r="BA5" s="233">
        <f t="shared" ref="BA5:BA36" si="11">J5*Q5</f>
        <v>177189.15</v>
      </c>
      <c r="BB5" s="233">
        <f t="shared" ref="BB5:BB36" si="12">IF(N5&gt;0,Q5*J5,"")</f>
        <v>177189.15</v>
      </c>
      <c r="BC5" s="233">
        <f t="shared" ref="BC5:BC36" si="13">AG5*J5</f>
        <v>0</v>
      </c>
      <c r="BD5" s="233">
        <f t="shared" ref="BD5:BD30" si="14">AH5*J5</f>
        <v>0</v>
      </c>
      <c r="BE5" s="233">
        <f t="shared" ref="BE5:BE36" si="15">V5*J5</f>
        <v>0</v>
      </c>
      <c r="BF5" s="233">
        <f t="shared" ref="BF5:BF36" si="16">IF(AR5="New Lease",J5,0)</f>
        <v>21741</v>
      </c>
      <c r="BG5" s="233">
        <f t="shared" ref="BG5:BG36" si="17">W5*J5</f>
        <v>130446</v>
      </c>
      <c r="BH5" s="186">
        <f t="shared" ref="BH5:BH36" si="18">IF(BI5&gt;0,Q5*J5,"")</f>
        <v>177189.15</v>
      </c>
      <c r="BI5" s="233">
        <f t="shared" ref="BI5:BI36" si="19">AB5/((J5*Q5)/12)</f>
        <v>4.000048761450687</v>
      </c>
      <c r="BJ5" s="233">
        <f t="shared" ref="BJ5:BJ36" si="20">BI5*J5*Q5</f>
        <v>708765.24000000011</v>
      </c>
      <c r="BK5" s="233">
        <f t="shared" ref="BK5:BK36" si="21">J5*T5</f>
        <v>0</v>
      </c>
      <c r="BL5" s="233">
        <f t="shared" ref="BL5:BL36" si="22">J5*U5</f>
        <v>0</v>
      </c>
      <c r="BM5" s="233">
        <f t="shared" ref="BM5:BM36" si="23">J5*R5</f>
        <v>76093.5</v>
      </c>
      <c r="BN5" s="233">
        <f t="shared" ref="BN5:BN36" si="24">J5*S5</f>
        <v>65223</v>
      </c>
    </row>
    <row r="6" spans="1:66" s="198" customFormat="1" hidden="1" outlineLevel="1">
      <c r="A6" s="176" t="s">
        <v>152</v>
      </c>
      <c r="B6" s="176" t="s">
        <v>143</v>
      </c>
      <c r="C6" s="176"/>
      <c r="D6" s="176"/>
      <c r="E6" s="176"/>
      <c r="F6" s="176" t="s">
        <v>153</v>
      </c>
      <c r="G6" s="438">
        <v>0</v>
      </c>
      <c r="H6" s="176" t="s">
        <v>154</v>
      </c>
      <c r="I6" s="177">
        <v>36</v>
      </c>
      <c r="J6" s="178">
        <v>12040</v>
      </c>
      <c r="K6" s="178">
        <f>_xlfn.XLOOKUP(AN6,'[1]Performance Table'!$B:$B,'[1]Performance Table'!$BE:$BE,0)</f>
        <v>8190190.9100000001</v>
      </c>
      <c r="L6" s="437">
        <v>104105</v>
      </c>
      <c r="M6" s="190">
        <f t="shared" si="0"/>
        <v>8.8976558423105173E-2</v>
      </c>
      <c r="N6" s="177">
        <v>5.18</v>
      </c>
      <c r="O6" s="442">
        <v>6.54</v>
      </c>
      <c r="P6" s="442">
        <v>6.9</v>
      </c>
      <c r="Q6" s="442">
        <v>7</v>
      </c>
      <c r="R6" s="177">
        <v>4</v>
      </c>
      <c r="S6" s="177">
        <v>3</v>
      </c>
      <c r="T6" s="179"/>
      <c r="U6" s="177"/>
      <c r="V6" s="177">
        <v>0</v>
      </c>
      <c r="W6" s="177">
        <v>6</v>
      </c>
      <c r="X6" s="180">
        <v>17265.939999999999</v>
      </c>
      <c r="Y6" s="180"/>
      <c r="Z6" s="180">
        <v>0</v>
      </c>
      <c r="AA6" s="180"/>
      <c r="AB6" s="180">
        <v>0</v>
      </c>
      <c r="AC6" s="180">
        <f t="shared" si="1"/>
        <v>17265.939999999999</v>
      </c>
      <c r="AD6" s="443">
        <v>263088.45</v>
      </c>
      <c r="AE6" s="177" t="s">
        <v>147</v>
      </c>
      <c r="AF6" s="182">
        <v>45594</v>
      </c>
      <c r="AG6" s="177"/>
      <c r="AH6" s="177"/>
      <c r="AI6" s="183"/>
      <c r="AJ6" s="183"/>
      <c r="AK6" s="249">
        <v>4</v>
      </c>
      <c r="AL6" s="249" t="s">
        <v>149</v>
      </c>
      <c r="AM6" s="444">
        <v>6.31</v>
      </c>
      <c r="AN6" s="177" t="s">
        <v>155</v>
      </c>
      <c r="AO6" s="177"/>
      <c r="AP6" s="183"/>
      <c r="AQ6" s="183"/>
      <c r="AR6" s="177" t="str">
        <f t="shared" si="2"/>
        <v>New Lease</v>
      </c>
      <c r="AS6" s="182" t="str">
        <f t="shared" si="3"/>
        <v>Q4 2024</v>
      </c>
      <c r="AT6" s="182" t="str">
        <f t="shared" si="4"/>
        <v>2H2024</v>
      </c>
      <c r="AU6" s="184" t="str">
        <f t="shared" si="5"/>
        <v>&lt; 20K</v>
      </c>
      <c r="AV6" s="179">
        <f t="shared" si="6"/>
        <v>12040</v>
      </c>
      <c r="AW6" s="233">
        <f t="shared" si="7"/>
        <v>62367.199999999997</v>
      </c>
      <c r="AX6" s="233">
        <f t="shared" si="8"/>
        <v>78741.600000000006</v>
      </c>
      <c r="AY6" s="198">
        <f t="shared" si="9"/>
        <v>83076</v>
      </c>
      <c r="AZ6" s="233">
        <f t="shared" si="10"/>
        <v>84280</v>
      </c>
      <c r="BA6" s="233">
        <f t="shared" si="11"/>
        <v>84280</v>
      </c>
      <c r="BB6" s="233">
        <f t="shared" si="12"/>
        <v>84280</v>
      </c>
      <c r="BC6" s="233">
        <f t="shared" si="13"/>
        <v>0</v>
      </c>
      <c r="BD6" s="233">
        <f t="shared" si="14"/>
        <v>0</v>
      </c>
      <c r="BE6" s="233">
        <f t="shared" si="15"/>
        <v>0</v>
      </c>
      <c r="BF6" s="233">
        <f t="shared" si="16"/>
        <v>12040</v>
      </c>
      <c r="BG6" s="233">
        <f t="shared" si="17"/>
        <v>72240</v>
      </c>
      <c r="BH6" s="186" t="str">
        <f t="shared" si="18"/>
        <v/>
      </c>
      <c r="BI6" s="233">
        <f t="shared" si="19"/>
        <v>0</v>
      </c>
      <c r="BJ6" s="233">
        <f t="shared" si="20"/>
        <v>0</v>
      </c>
      <c r="BK6" s="233">
        <f t="shared" si="21"/>
        <v>0</v>
      </c>
      <c r="BL6" s="233">
        <f t="shared" si="22"/>
        <v>0</v>
      </c>
      <c r="BM6" s="233">
        <f t="shared" si="23"/>
        <v>48160</v>
      </c>
      <c r="BN6" s="233">
        <f t="shared" si="24"/>
        <v>36120</v>
      </c>
    </row>
    <row r="7" spans="1:66" s="198" customFormat="1" hidden="1" outlineLevel="1">
      <c r="A7" s="176" t="s">
        <v>156</v>
      </c>
      <c r="B7" s="176" t="s">
        <v>157</v>
      </c>
      <c r="C7" s="176"/>
      <c r="D7" s="176"/>
      <c r="E7" s="176"/>
      <c r="F7" s="165" t="s">
        <v>158</v>
      </c>
      <c r="G7" s="438">
        <v>0</v>
      </c>
      <c r="H7" s="176" t="s">
        <v>159</v>
      </c>
      <c r="I7" s="177">
        <v>61</v>
      </c>
      <c r="J7" s="178">
        <v>12000</v>
      </c>
      <c r="K7" s="178">
        <f>_xlfn.XLOOKUP(AN7,'[1]Performance Table'!$B:$B,'[1]Performance Table'!$BE:$BE,0)</f>
        <v>9702266.7181319911</v>
      </c>
      <c r="L7" s="437">
        <v>168000</v>
      </c>
      <c r="M7" s="190">
        <f t="shared" si="0"/>
        <v>8.2248821144925349E-2</v>
      </c>
      <c r="N7" s="177">
        <v>3.85</v>
      </c>
      <c r="O7" s="442">
        <v>4.72</v>
      </c>
      <c r="P7" s="442">
        <v>4.75</v>
      </c>
      <c r="Q7" s="442">
        <v>4.75</v>
      </c>
      <c r="R7" s="177">
        <v>3.5</v>
      </c>
      <c r="S7" s="177">
        <v>3</v>
      </c>
      <c r="T7" s="179"/>
      <c r="U7" s="177"/>
      <c r="V7" s="177">
        <v>0</v>
      </c>
      <c r="W7" s="177">
        <v>0</v>
      </c>
      <c r="X7" s="180">
        <v>12262.08</v>
      </c>
      <c r="Y7" s="180"/>
      <c r="Z7" s="441">
        <v>17965</v>
      </c>
      <c r="AA7" s="180"/>
      <c r="AB7" s="180">
        <v>4749.6000000000004</v>
      </c>
      <c r="AC7" s="180">
        <f t="shared" si="1"/>
        <v>34976.68</v>
      </c>
      <c r="AD7" s="443" t="s">
        <v>160</v>
      </c>
      <c r="AE7" s="177" t="s">
        <v>161</v>
      </c>
      <c r="AF7" s="182">
        <v>45644</v>
      </c>
      <c r="AG7" s="249"/>
      <c r="AH7" s="249"/>
      <c r="AI7" s="249"/>
      <c r="AJ7" s="177"/>
      <c r="AK7" s="177" t="s">
        <v>162</v>
      </c>
      <c r="AL7" s="182" t="s">
        <v>149</v>
      </c>
      <c r="AM7" s="444" t="s">
        <v>163</v>
      </c>
      <c r="AN7" s="249" t="s">
        <v>164</v>
      </c>
      <c r="AO7" s="249"/>
      <c r="AP7" s="177"/>
      <c r="AQ7" s="183"/>
      <c r="AR7" s="177" t="str">
        <f t="shared" si="2"/>
        <v>Renewal</v>
      </c>
      <c r="AS7" s="182" t="str">
        <f t="shared" si="3"/>
        <v>Q4 2024</v>
      </c>
      <c r="AT7" s="182" t="str">
        <f t="shared" si="4"/>
        <v>2H2024</v>
      </c>
      <c r="AU7" s="184" t="str">
        <f t="shared" si="5"/>
        <v>&lt; 20K</v>
      </c>
      <c r="AV7" s="179">
        <f t="shared" si="6"/>
        <v>12000</v>
      </c>
      <c r="AW7" s="233">
        <f t="shared" si="7"/>
        <v>46200</v>
      </c>
      <c r="AX7" s="233">
        <f t="shared" si="8"/>
        <v>56640</v>
      </c>
      <c r="AY7" s="198">
        <f t="shared" si="9"/>
        <v>57000</v>
      </c>
      <c r="AZ7" s="233">
        <f t="shared" si="10"/>
        <v>57000</v>
      </c>
      <c r="BA7" s="233">
        <f t="shared" si="11"/>
        <v>57000</v>
      </c>
      <c r="BB7" s="233">
        <f t="shared" si="12"/>
        <v>57000</v>
      </c>
      <c r="BC7" s="233">
        <f t="shared" si="13"/>
        <v>0</v>
      </c>
      <c r="BD7" s="233">
        <f t="shared" si="14"/>
        <v>0</v>
      </c>
      <c r="BE7" s="233">
        <f t="shared" si="15"/>
        <v>0</v>
      </c>
      <c r="BF7" s="233">
        <f t="shared" si="16"/>
        <v>0</v>
      </c>
      <c r="BG7" s="233">
        <f t="shared" si="17"/>
        <v>0</v>
      </c>
      <c r="BH7" s="186">
        <f t="shared" si="18"/>
        <v>57000</v>
      </c>
      <c r="BI7" s="233">
        <f t="shared" si="19"/>
        <v>0.99991578947368431</v>
      </c>
      <c r="BJ7" s="233">
        <f t="shared" si="20"/>
        <v>56995.200000000012</v>
      </c>
      <c r="BK7" s="233">
        <f t="shared" si="21"/>
        <v>0</v>
      </c>
      <c r="BL7" s="233">
        <f t="shared" si="22"/>
        <v>0</v>
      </c>
      <c r="BM7" s="233">
        <f t="shared" si="23"/>
        <v>42000</v>
      </c>
      <c r="BN7" s="233">
        <f t="shared" si="24"/>
        <v>36000</v>
      </c>
    </row>
    <row r="8" spans="1:66" s="198" customFormat="1" hidden="1" outlineLevel="1">
      <c r="A8" s="176" t="s">
        <v>165</v>
      </c>
      <c r="B8" s="176" t="s">
        <v>157</v>
      </c>
      <c r="C8" s="176"/>
      <c r="D8" s="176"/>
      <c r="E8" s="176"/>
      <c r="F8" s="165" t="s">
        <v>153</v>
      </c>
      <c r="G8" s="438">
        <v>0</v>
      </c>
      <c r="H8" s="176" t="s">
        <v>166</v>
      </c>
      <c r="I8" s="177">
        <v>60</v>
      </c>
      <c r="J8" s="178">
        <v>12894</v>
      </c>
      <c r="K8" s="178">
        <f>_xlfn.XLOOKUP(AN8,'[1]Performance Table'!$B:$B,'[1]Performance Table'!$BE:$BE,0)</f>
        <v>10939950</v>
      </c>
      <c r="L8" s="437">
        <v>115294</v>
      </c>
      <c r="M8" s="190">
        <f t="shared" si="0"/>
        <v>6.1019681077152998E-2</v>
      </c>
      <c r="N8" s="177">
        <v>5.8</v>
      </c>
      <c r="O8" s="442">
        <v>12.55</v>
      </c>
      <c r="P8" s="442">
        <v>5.94</v>
      </c>
      <c r="Q8" s="442">
        <v>5.79</v>
      </c>
      <c r="R8" s="177">
        <v>2.5</v>
      </c>
      <c r="S8" s="177">
        <v>4</v>
      </c>
      <c r="T8" s="179"/>
      <c r="U8" s="177"/>
      <c r="V8" s="177">
        <v>0</v>
      </c>
      <c r="W8" s="177">
        <v>0</v>
      </c>
      <c r="X8" s="180">
        <v>23545.040000000001</v>
      </c>
      <c r="Y8" s="180"/>
      <c r="Z8" s="180" t="s">
        <v>167</v>
      </c>
      <c r="AA8" s="180"/>
      <c r="AB8" s="180">
        <v>0</v>
      </c>
      <c r="AC8" s="180">
        <f t="shared" si="1"/>
        <v>23545.040000000001</v>
      </c>
      <c r="AD8" s="443" t="s">
        <v>168</v>
      </c>
      <c r="AE8" s="177" t="s">
        <v>161</v>
      </c>
      <c r="AF8" s="182">
        <v>45638</v>
      </c>
      <c r="AG8" s="249"/>
      <c r="AH8" s="249"/>
      <c r="AI8" s="249"/>
      <c r="AJ8" s="177"/>
      <c r="AK8" s="177" t="s">
        <v>169</v>
      </c>
      <c r="AL8" s="182" t="s">
        <v>149</v>
      </c>
      <c r="AM8" s="444" t="s">
        <v>170</v>
      </c>
      <c r="AN8" s="249" t="s">
        <v>171</v>
      </c>
      <c r="AO8" s="249"/>
      <c r="AP8" s="177"/>
      <c r="AQ8" s="183"/>
      <c r="AR8" s="177" t="str">
        <f t="shared" si="2"/>
        <v>Renewal</v>
      </c>
      <c r="AS8" s="182" t="str">
        <f t="shared" si="3"/>
        <v>Q4 2024</v>
      </c>
      <c r="AT8" s="182" t="str">
        <f t="shared" si="4"/>
        <v>2H2024</v>
      </c>
      <c r="AU8" s="184" t="str">
        <f t="shared" si="5"/>
        <v>&lt; 20K</v>
      </c>
      <c r="AV8" s="179">
        <f t="shared" si="6"/>
        <v>12894</v>
      </c>
      <c r="AW8" s="233">
        <f t="shared" si="7"/>
        <v>74785.2</v>
      </c>
      <c r="AX8" s="233">
        <f t="shared" si="8"/>
        <v>161819.70000000001</v>
      </c>
      <c r="AY8" s="198">
        <f t="shared" si="9"/>
        <v>76590.36</v>
      </c>
      <c r="AZ8" s="233">
        <f t="shared" si="10"/>
        <v>74656.259999999995</v>
      </c>
      <c r="BA8" s="233">
        <f t="shared" si="11"/>
        <v>74656.259999999995</v>
      </c>
      <c r="BB8" s="233">
        <f t="shared" si="12"/>
        <v>74656.259999999995</v>
      </c>
      <c r="BC8" s="233">
        <f t="shared" si="13"/>
        <v>0</v>
      </c>
      <c r="BD8" s="233">
        <f t="shared" si="14"/>
        <v>0</v>
      </c>
      <c r="BE8" s="233">
        <f t="shared" si="15"/>
        <v>0</v>
      </c>
      <c r="BF8" s="233">
        <f t="shared" si="16"/>
        <v>0</v>
      </c>
      <c r="BG8" s="233">
        <f t="shared" si="17"/>
        <v>0</v>
      </c>
      <c r="BH8" s="186" t="str">
        <f t="shared" si="18"/>
        <v/>
      </c>
      <c r="BI8" s="233">
        <f t="shared" si="19"/>
        <v>0</v>
      </c>
      <c r="BJ8" s="233">
        <f t="shared" si="20"/>
        <v>0</v>
      </c>
      <c r="BK8" s="233">
        <f t="shared" si="21"/>
        <v>0</v>
      </c>
      <c r="BL8" s="233">
        <f t="shared" si="22"/>
        <v>0</v>
      </c>
      <c r="BM8" s="233">
        <f t="shared" si="23"/>
        <v>32235</v>
      </c>
      <c r="BN8" s="233">
        <f t="shared" si="24"/>
        <v>51576</v>
      </c>
    </row>
    <row r="9" spans="1:66" s="198" customFormat="1" hidden="1" outlineLevel="1">
      <c r="A9" s="176" t="s">
        <v>172</v>
      </c>
      <c r="B9" s="176" t="s">
        <v>157</v>
      </c>
      <c r="C9" s="176"/>
      <c r="D9" s="176"/>
      <c r="E9" s="176"/>
      <c r="F9" s="176" t="s">
        <v>173</v>
      </c>
      <c r="G9" s="438">
        <v>0</v>
      </c>
      <c r="H9" s="176" t="s">
        <v>174</v>
      </c>
      <c r="I9" s="177">
        <v>60</v>
      </c>
      <c r="J9" s="178">
        <v>32264</v>
      </c>
      <c r="K9" s="178">
        <f>_xlfn.XLOOKUP(AN9,'[1]Performance Table'!$B:$B,'[1]Performance Table'!$BE:$BE,0)</f>
        <v>10652968.25</v>
      </c>
      <c r="L9" s="437">
        <v>67400</v>
      </c>
      <c r="M9" s="190">
        <f t="shared" si="0"/>
        <v>9.4903127116707592E-2</v>
      </c>
      <c r="N9" s="177">
        <v>12.22</v>
      </c>
      <c r="O9" s="442">
        <v>13.77</v>
      </c>
      <c r="P9" s="442">
        <v>15</v>
      </c>
      <c r="Q9" s="442">
        <v>15</v>
      </c>
      <c r="R9" s="177">
        <v>3</v>
      </c>
      <c r="S9" s="177">
        <v>3.5</v>
      </c>
      <c r="T9" s="179"/>
      <c r="U9" s="177"/>
      <c r="V9" s="177">
        <v>0</v>
      </c>
      <c r="W9" s="177">
        <v>0</v>
      </c>
      <c r="X9" s="180">
        <f>Z9+AA9</f>
        <v>50000</v>
      </c>
      <c r="Y9" s="180"/>
      <c r="Z9" s="180">
        <v>50000</v>
      </c>
      <c r="AA9" s="180"/>
      <c r="AB9" s="180">
        <v>0</v>
      </c>
      <c r="AC9" s="180">
        <f t="shared" si="1"/>
        <v>100000</v>
      </c>
      <c r="AD9" s="443">
        <v>2569408.17</v>
      </c>
      <c r="AE9" s="177" t="s">
        <v>161</v>
      </c>
      <c r="AF9" s="182">
        <v>45635</v>
      </c>
      <c r="AG9" s="177"/>
      <c r="AH9" s="177"/>
      <c r="AI9" s="183"/>
      <c r="AJ9" s="183"/>
      <c r="AK9" s="249" t="s">
        <v>169</v>
      </c>
      <c r="AL9" s="249" t="s">
        <v>149</v>
      </c>
      <c r="AM9" s="444">
        <v>12.41</v>
      </c>
      <c r="AN9" s="177" t="s">
        <v>175</v>
      </c>
      <c r="AO9" s="177"/>
      <c r="AP9" s="183"/>
      <c r="AQ9" s="183"/>
      <c r="AR9" s="177" t="str">
        <f t="shared" si="2"/>
        <v>Renewal</v>
      </c>
      <c r="AS9" s="182" t="str">
        <f t="shared" si="3"/>
        <v>Q4 2024</v>
      </c>
      <c r="AT9" s="182" t="str">
        <f t="shared" si="4"/>
        <v>2H2024</v>
      </c>
      <c r="AU9" s="184" t="str">
        <f t="shared" si="5"/>
        <v>20-50K</v>
      </c>
      <c r="AV9" s="179">
        <f t="shared" si="6"/>
        <v>32264</v>
      </c>
      <c r="AW9" s="233">
        <f t="shared" si="7"/>
        <v>394266.08</v>
      </c>
      <c r="AX9" s="233">
        <f t="shared" si="8"/>
        <v>444275.27999999997</v>
      </c>
      <c r="AY9" s="198">
        <f t="shared" si="9"/>
        <v>483960</v>
      </c>
      <c r="AZ9" s="233">
        <f t="shared" si="10"/>
        <v>483960</v>
      </c>
      <c r="BA9" s="233">
        <f t="shared" si="11"/>
        <v>483960</v>
      </c>
      <c r="BB9" s="233">
        <f t="shared" si="12"/>
        <v>483960</v>
      </c>
      <c r="BC9" s="233">
        <f t="shared" si="13"/>
        <v>0</v>
      </c>
      <c r="BD9" s="233">
        <f t="shared" si="14"/>
        <v>0</v>
      </c>
      <c r="BE9" s="233">
        <f t="shared" si="15"/>
        <v>0</v>
      </c>
      <c r="BF9" s="233">
        <f t="shared" si="16"/>
        <v>0</v>
      </c>
      <c r="BG9" s="233">
        <f t="shared" si="17"/>
        <v>0</v>
      </c>
      <c r="BH9" s="186" t="str">
        <f t="shared" si="18"/>
        <v/>
      </c>
      <c r="BI9" s="233">
        <f t="shared" si="19"/>
        <v>0</v>
      </c>
      <c r="BJ9" s="233">
        <f t="shared" si="20"/>
        <v>0</v>
      </c>
      <c r="BK9" s="233">
        <f t="shared" si="21"/>
        <v>0</v>
      </c>
      <c r="BL9" s="233">
        <f t="shared" si="22"/>
        <v>0</v>
      </c>
      <c r="BM9" s="233">
        <f t="shared" si="23"/>
        <v>96792</v>
      </c>
      <c r="BN9" s="233">
        <f t="shared" si="24"/>
        <v>112924</v>
      </c>
    </row>
    <row r="10" spans="1:66" s="198" customFormat="1" hidden="1" outlineLevel="1">
      <c r="A10" s="176" t="s">
        <v>176</v>
      </c>
      <c r="B10" s="176" t="s">
        <v>143</v>
      </c>
      <c r="C10" s="176"/>
      <c r="D10" s="176"/>
      <c r="E10" s="176"/>
      <c r="F10" s="176" t="s">
        <v>177</v>
      </c>
      <c r="G10" s="176">
        <f>_xlfn.XLOOKUP(AN10,[2]ySQL_0_24102024094604!$B:$B,[2]ySQL_0_24102024094604!$D:$D,0)</f>
        <v>0</v>
      </c>
      <c r="H10" s="176" t="s">
        <v>178</v>
      </c>
      <c r="I10" s="177">
        <v>61</v>
      </c>
      <c r="J10" s="178">
        <v>8956</v>
      </c>
      <c r="K10" s="178">
        <f>_xlfn.XLOOKUP(AP10,'[3]Main Data Table'!$B:$B,'[3]Main Data Table'!$AB:$AB,0)</f>
        <v>3337421.2399999998</v>
      </c>
      <c r="L10" s="178">
        <v>24858</v>
      </c>
      <c r="M10" s="190">
        <f t="shared" si="0"/>
        <v>9.6827453522169121E-2</v>
      </c>
      <c r="N10" s="177">
        <v>12.07</v>
      </c>
      <c r="O10" s="177">
        <v>10.7</v>
      </c>
      <c r="P10" s="177">
        <v>12.5</v>
      </c>
      <c r="Q10" s="177">
        <v>13</v>
      </c>
      <c r="R10" s="177">
        <v>4</v>
      </c>
      <c r="S10" s="177">
        <v>3</v>
      </c>
      <c r="T10" s="179"/>
      <c r="U10" s="177"/>
      <c r="V10" s="177">
        <v>0</v>
      </c>
      <c r="W10" s="177">
        <v>4</v>
      </c>
      <c r="X10" s="180">
        <v>37962.82</v>
      </c>
      <c r="Y10" s="180"/>
      <c r="Z10" s="180"/>
      <c r="AA10" s="180"/>
      <c r="AB10" s="180">
        <v>9702.0300000000007</v>
      </c>
      <c r="AC10" s="180">
        <f t="shared" si="1"/>
        <v>47664.85</v>
      </c>
      <c r="AD10" s="181">
        <v>632713.71</v>
      </c>
      <c r="AE10" s="177" t="s">
        <v>147</v>
      </c>
      <c r="AF10" s="182">
        <v>45565</v>
      </c>
      <c r="AG10" s="177"/>
      <c r="AH10" s="177"/>
      <c r="AI10" s="183"/>
      <c r="AJ10" s="183"/>
      <c r="AK10" s="177"/>
      <c r="AL10" s="177"/>
      <c r="AM10" s="177"/>
      <c r="AN10" s="177" t="s">
        <v>179</v>
      </c>
      <c r="AO10" s="177"/>
      <c r="AP10" s="177" t="s">
        <v>179</v>
      </c>
      <c r="AQ10" s="177"/>
      <c r="AR10" s="177" t="str">
        <f t="shared" si="2"/>
        <v>New Lease</v>
      </c>
      <c r="AS10" s="182" t="str">
        <f t="shared" si="3"/>
        <v>Q3 2024</v>
      </c>
      <c r="AT10" s="182" t="str">
        <f t="shared" si="4"/>
        <v>2H2024</v>
      </c>
      <c r="AU10" s="184" t="str">
        <f t="shared" si="5"/>
        <v>&lt; 20K</v>
      </c>
      <c r="AV10" s="179">
        <f t="shared" si="6"/>
        <v>8956</v>
      </c>
      <c r="AW10" s="233">
        <f t="shared" si="7"/>
        <v>108098.92</v>
      </c>
      <c r="AX10" s="233">
        <f t="shared" si="8"/>
        <v>95829.2</v>
      </c>
      <c r="AY10" s="198">
        <f t="shared" si="9"/>
        <v>111950</v>
      </c>
      <c r="AZ10" s="233">
        <f t="shared" si="10"/>
        <v>116428</v>
      </c>
      <c r="BA10" s="233">
        <f t="shared" si="11"/>
        <v>116428</v>
      </c>
      <c r="BB10" s="233">
        <f t="shared" si="12"/>
        <v>116428</v>
      </c>
      <c r="BC10" s="233">
        <f t="shared" si="13"/>
        <v>0</v>
      </c>
      <c r="BD10" s="233">
        <f t="shared" si="14"/>
        <v>0</v>
      </c>
      <c r="BE10" s="233">
        <f t="shared" si="15"/>
        <v>0</v>
      </c>
      <c r="BF10" s="233">
        <f t="shared" si="16"/>
        <v>8956</v>
      </c>
      <c r="BG10" s="233">
        <f t="shared" si="17"/>
        <v>35824</v>
      </c>
      <c r="BH10" s="186">
        <f t="shared" si="18"/>
        <v>116428</v>
      </c>
      <c r="BI10" s="233">
        <f t="shared" si="19"/>
        <v>0.99996873604287628</v>
      </c>
      <c r="BJ10" s="233">
        <f t="shared" si="20"/>
        <v>116424.35999999999</v>
      </c>
      <c r="BK10" s="233">
        <f t="shared" si="21"/>
        <v>0</v>
      </c>
      <c r="BL10" s="233">
        <f t="shared" si="22"/>
        <v>0</v>
      </c>
      <c r="BM10" s="233">
        <f t="shared" si="23"/>
        <v>35824</v>
      </c>
      <c r="BN10" s="233">
        <f t="shared" si="24"/>
        <v>26868</v>
      </c>
    </row>
    <row r="11" spans="1:66" s="198" customFormat="1" hidden="1" outlineLevel="1">
      <c r="A11" s="176" t="s">
        <v>180</v>
      </c>
      <c r="B11" s="176" t="s">
        <v>143</v>
      </c>
      <c r="C11" s="176"/>
      <c r="D11" s="176"/>
      <c r="E11" s="176"/>
      <c r="F11" s="176" t="s">
        <v>181</v>
      </c>
      <c r="G11" s="176">
        <f>_xlfn.XLOOKUP(AN11,[2]ySQL_0_24102024094604!$B:$B,[2]ySQL_0_24102024094604!$D:$D,0)</f>
        <v>0</v>
      </c>
      <c r="H11" s="176" t="s">
        <v>182</v>
      </c>
      <c r="I11" s="177">
        <v>36</v>
      </c>
      <c r="J11" s="178">
        <v>9012</v>
      </c>
      <c r="K11" s="178">
        <f>VLOOKUP(AN11,'[4]Performance Table'!$B$4:$BJ$388,61,0)</f>
        <v>6461520.5800000001</v>
      </c>
      <c r="L11" s="178">
        <f>VLOOKUP(H11,'[5]Leasing Activity Report'!$F$4:$J$25,5,0)</f>
        <v>57321</v>
      </c>
      <c r="M11" s="190">
        <f t="shared" si="0"/>
        <v>9.7582448619238163E-2</v>
      </c>
      <c r="N11" s="177">
        <v>7.96</v>
      </c>
      <c r="O11" s="177">
        <v>6.71</v>
      </c>
      <c r="P11" s="177">
        <v>10.09</v>
      </c>
      <c r="Q11" s="177">
        <v>11</v>
      </c>
      <c r="R11" s="177">
        <v>4</v>
      </c>
      <c r="S11" s="177">
        <v>3</v>
      </c>
      <c r="T11" s="179">
        <f>AC11/AD11*100</f>
        <v>3.999998965981034</v>
      </c>
      <c r="U11" s="177"/>
      <c r="V11" s="177">
        <v>0</v>
      </c>
      <c r="W11" s="177">
        <v>6</v>
      </c>
      <c r="X11" s="188">
        <v>12378.88</v>
      </c>
      <c r="Y11" s="188"/>
      <c r="Z11" s="188" t="s">
        <v>167</v>
      </c>
      <c r="AA11" s="188"/>
      <c r="AB11" s="188">
        <v>0</v>
      </c>
      <c r="AC11" s="188">
        <f t="shared" si="1"/>
        <v>12378.88</v>
      </c>
      <c r="AD11" s="189">
        <v>309472.08</v>
      </c>
      <c r="AE11" s="177" t="s">
        <v>147</v>
      </c>
      <c r="AF11" s="182">
        <v>45348</v>
      </c>
      <c r="AG11" s="177"/>
      <c r="AH11" s="177"/>
      <c r="AI11" s="183"/>
      <c r="AJ11" s="183"/>
      <c r="AK11" s="177"/>
      <c r="AL11" s="177"/>
      <c r="AM11" s="177"/>
      <c r="AN11" s="177" t="s">
        <v>183</v>
      </c>
      <c r="AO11" s="177"/>
      <c r="AP11" s="183"/>
      <c r="AQ11" s="183"/>
      <c r="AR11" s="177" t="str">
        <f t="shared" si="2"/>
        <v>New Lease</v>
      </c>
      <c r="AS11" s="182" t="str">
        <f t="shared" si="3"/>
        <v>Q1 2024</v>
      </c>
      <c r="AT11" s="182" t="str">
        <f t="shared" si="4"/>
        <v>1H2024</v>
      </c>
      <c r="AU11" s="184" t="str">
        <f t="shared" si="5"/>
        <v>&lt; 20K</v>
      </c>
      <c r="AV11" s="179">
        <f t="shared" si="6"/>
        <v>9012</v>
      </c>
      <c r="AW11" s="233">
        <f t="shared" si="7"/>
        <v>71735.520000000004</v>
      </c>
      <c r="AX11" s="233">
        <f t="shared" si="8"/>
        <v>60470.52</v>
      </c>
      <c r="AY11" s="198">
        <f t="shared" si="9"/>
        <v>90931.08</v>
      </c>
      <c r="AZ11" s="233">
        <f t="shared" si="10"/>
        <v>99132</v>
      </c>
      <c r="BA11" s="233">
        <f t="shared" si="11"/>
        <v>99132</v>
      </c>
      <c r="BB11" s="233">
        <f t="shared" si="12"/>
        <v>99132</v>
      </c>
      <c r="BC11" s="233">
        <f t="shared" si="13"/>
        <v>0</v>
      </c>
      <c r="BD11" s="233">
        <f t="shared" si="14"/>
        <v>0</v>
      </c>
      <c r="BE11" s="233">
        <f t="shared" si="15"/>
        <v>0</v>
      </c>
      <c r="BF11" s="233">
        <f t="shared" si="16"/>
        <v>9012</v>
      </c>
      <c r="BG11" s="233">
        <f t="shared" si="17"/>
        <v>54072</v>
      </c>
      <c r="BH11" s="186" t="str">
        <f t="shared" si="18"/>
        <v/>
      </c>
      <c r="BI11" s="233">
        <f t="shared" si="19"/>
        <v>0</v>
      </c>
      <c r="BJ11" s="233">
        <f t="shared" si="20"/>
        <v>0</v>
      </c>
      <c r="BK11" s="233">
        <f>J11*T11</f>
        <v>36047.990681421077</v>
      </c>
      <c r="BL11" s="233">
        <f t="shared" si="22"/>
        <v>0</v>
      </c>
      <c r="BM11" s="233">
        <f t="shared" si="23"/>
        <v>36048</v>
      </c>
      <c r="BN11" s="233">
        <f t="shared" si="24"/>
        <v>27036</v>
      </c>
    </row>
    <row r="12" spans="1:66" s="198" customFormat="1" hidden="1" outlineLevel="1">
      <c r="A12" s="176" t="s">
        <v>184</v>
      </c>
      <c r="B12" s="176" t="s">
        <v>157</v>
      </c>
      <c r="C12" s="176"/>
      <c r="D12" s="176"/>
      <c r="E12" s="176"/>
      <c r="F12" s="176" t="s">
        <v>185</v>
      </c>
      <c r="G12" s="438">
        <v>0</v>
      </c>
      <c r="H12" s="176" t="s">
        <v>186</v>
      </c>
      <c r="I12" s="177">
        <v>24</v>
      </c>
      <c r="J12" s="178">
        <v>111087</v>
      </c>
      <c r="K12" s="178">
        <f>_xlfn.XLOOKUP(AN12,'[1]Performance Table'!$B:$B,'[1]Performance Table'!$BE:$BE,0)</f>
        <v>8534914.4299999997</v>
      </c>
      <c r="L12" s="437">
        <v>272221</v>
      </c>
      <c r="M12" s="190">
        <f t="shared" si="0"/>
        <v>0.13682950187468956</v>
      </c>
      <c r="N12" s="177">
        <v>4.12</v>
      </c>
      <c r="O12" s="442">
        <v>3.63</v>
      </c>
      <c r="P12" s="442">
        <v>4.29</v>
      </c>
      <c r="Q12" s="442">
        <v>4.29</v>
      </c>
      <c r="R12" s="177">
        <v>4</v>
      </c>
      <c r="S12" s="177">
        <v>3</v>
      </c>
      <c r="T12" s="179"/>
      <c r="U12" s="177"/>
      <c r="V12" s="177">
        <v>0</v>
      </c>
      <c r="W12" s="177">
        <v>0</v>
      </c>
      <c r="X12" s="180">
        <f>Z12+AA12</f>
        <v>0</v>
      </c>
      <c r="Y12" s="180"/>
      <c r="Z12" s="180">
        <v>0</v>
      </c>
      <c r="AA12" s="180"/>
      <c r="AB12" s="180">
        <v>0</v>
      </c>
      <c r="AC12" s="180">
        <f t="shared" si="1"/>
        <v>0</v>
      </c>
      <c r="AD12" s="443">
        <v>972455.6</v>
      </c>
      <c r="AE12" s="177" t="s">
        <v>147</v>
      </c>
      <c r="AF12" s="182">
        <v>45630</v>
      </c>
      <c r="AG12" s="177"/>
      <c r="AH12" s="177"/>
      <c r="AI12" s="183"/>
      <c r="AJ12" s="183"/>
      <c r="AK12" s="249" t="s">
        <v>162</v>
      </c>
      <c r="AL12" s="249" t="s">
        <v>162</v>
      </c>
      <c r="AM12" s="444">
        <v>4.8600000000000003</v>
      </c>
      <c r="AN12" s="177" t="s">
        <v>187</v>
      </c>
      <c r="AO12" s="177"/>
      <c r="AP12" s="183"/>
      <c r="AQ12" s="183"/>
      <c r="AR12" s="177" t="str">
        <f t="shared" si="2"/>
        <v>Renewal</v>
      </c>
      <c r="AS12" s="182" t="str">
        <f t="shared" si="3"/>
        <v>Q4 2024</v>
      </c>
      <c r="AT12" s="182" t="str">
        <f t="shared" si="4"/>
        <v>2H2024</v>
      </c>
      <c r="AU12" s="184" t="str">
        <f t="shared" si="5"/>
        <v>&gt;100K</v>
      </c>
      <c r="AV12" s="179">
        <f t="shared" si="6"/>
        <v>111087</v>
      </c>
      <c r="AW12" s="233">
        <f t="shared" si="7"/>
        <v>457678.44</v>
      </c>
      <c r="AX12" s="233">
        <f t="shared" si="8"/>
        <v>403245.81</v>
      </c>
      <c r="AY12" s="198">
        <f t="shared" si="9"/>
        <v>476563.23</v>
      </c>
      <c r="AZ12" s="233">
        <f t="shared" si="10"/>
        <v>476563.23</v>
      </c>
      <c r="BA12" s="233">
        <f t="shared" si="11"/>
        <v>476563.23</v>
      </c>
      <c r="BB12" s="233">
        <f t="shared" si="12"/>
        <v>476563.23</v>
      </c>
      <c r="BC12" s="233">
        <f t="shared" si="13"/>
        <v>0</v>
      </c>
      <c r="BD12" s="233">
        <f t="shared" si="14"/>
        <v>0</v>
      </c>
      <c r="BE12" s="233">
        <f t="shared" si="15"/>
        <v>0</v>
      </c>
      <c r="BF12" s="233">
        <f t="shared" si="16"/>
        <v>0</v>
      </c>
      <c r="BG12" s="233">
        <f t="shared" si="17"/>
        <v>0</v>
      </c>
      <c r="BH12" s="186" t="str">
        <f t="shared" si="18"/>
        <v/>
      </c>
      <c r="BI12" s="233">
        <f t="shared" si="19"/>
        <v>0</v>
      </c>
      <c r="BJ12" s="233">
        <f t="shared" si="20"/>
        <v>0</v>
      </c>
      <c r="BK12" s="233">
        <f t="shared" si="21"/>
        <v>0</v>
      </c>
      <c r="BL12" s="233">
        <f t="shared" si="22"/>
        <v>0</v>
      </c>
      <c r="BM12" s="233">
        <f t="shared" si="23"/>
        <v>444348</v>
      </c>
      <c r="BN12" s="233">
        <f t="shared" si="24"/>
        <v>333261</v>
      </c>
    </row>
    <row r="13" spans="1:66" s="198" customFormat="1" hidden="1" outlineLevel="1">
      <c r="A13" s="176" t="s">
        <v>188</v>
      </c>
      <c r="B13" s="176" t="s">
        <v>157</v>
      </c>
      <c r="C13" s="176"/>
      <c r="D13" s="176"/>
      <c r="E13" s="176"/>
      <c r="F13" s="176" t="s">
        <v>181</v>
      </c>
      <c r="G13" s="438">
        <v>0</v>
      </c>
      <c r="H13" s="176" t="s">
        <v>189</v>
      </c>
      <c r="I13" s="177">
        <v>60</v>
      </c>
      <c r="J13" s="178">
        <v>38550</v>
      </c>
      <c r="K13" s="178">
        <f>_xlfn.XLOOKUP(AN13,'[1]Performance Table'!$B:$B,'[1]Performance Table'!$BE:$BE,0)</f>
        <v>2768400.4</v>
      </c>
      <c r="L13" s="437">
        <v>38550</v>
      </c>
      <c r="M13" s="190">
        <f t="shared" si="0"/>
        <v>0.12323632809762634</v>
      </c>
      <c r="N13" s="177">
        <v>3.75</v>
      </c>
      <c r="O13" s="442">
        <v>5.75</v>
      </c>
      <c r="P13" s="442">
        <v>8.85</v>
      </c>
      <c r="Q13" s="442">
        <v>8.85</v>
      </c>
      <c r="R13" s="177">
        <v>4</v>
      </c>
      <c r="S13" s="177">
        <v>3</v>
      </c>
      <c r="T13" s="179"/>
      <c r="U13" s="177"/>
      <c r="V13" s="177">
        <v>0</v>
      </c>
      <c r="W13" s="177">
        <v>0</v>
      </c>
      <c r="X13" s="180">
        <f>Z13+AA13</f>
        <v>77100</v>
      </c>
      <c r="Y13" s="180">
        <f>Z13/J13</f>
        <v>2</v>
      </c>
      <c r="Z13" s="180">
        <v>77100</v>
      </c>
      <c r="AA13" s="180"/>
      <c r="AB13" s="180">
        <v>0</v>
      </c>
      <c r="AC13" s="180">
        <f t="shared" si="1"/>
        <v>154202</v>
      </c>
      <c r="AD13" s="443">
        <v>1847871.12</v>
      </c>
      <c r="AE13" s="177" t="s">
        <v>147</v>
      </c>
      <c r="AF13" s="182">
        <v>45628</v>
      </c>
      <c r="AG13" s="177"/>
      <c r="AH13" s="177"/>
      <c r="AI13" s="183"/>
      <c r="AJ13" s="183"/>
      <c r="AK13" s="249" t="s">
        <v>190</v>
      </c>
      <c r="AL13" s="249" t="s">
        <v>149</v>
      </c>
      <c r="AM13" s="444">
        <v>8.8699999999999992</v>
      </c>
      <c r="AN13" s="177" t="s">
        <v>191</v>
      </c>
      <c r="AO13" s="177"/>
      <c r="AP13" s="183"/>
      <c r="AQ13" s="183"/>
      <c r="AR13" s="177" t="str">
        <f t="shared" si="2"/>
        <v>Renewal</v>
      </c>
      <c r="AS13" s="182" t="str">
        <f t="shared" si="3"/>
        <v>Q4 2024</v>
      </c>
      <c r="AT13" s="182" t="str">
        <f t="shared" si="4"/>
        <v>2H2024</v>
      </c>
      <c r="AU13" s="184" t="str">
        <f t="shared" si="5"/>
        <v>20-50K</v>
      </c>
      <c r="AV13" s="179">
        <f t="shared" si="6"/>
        <v>38550</v>
      </c>
      <c r="AW13" s="233">
        <f t="shared" si="7"/>
        <v>144562.5</v>
      </c>
      <c r="AX13" s="233">
        <f t="shared" si="8"/>
        <v>221662.5</v>
      </c>
      <c r="AY13" s="198">
        <f t="shared" si="9"/>
        <v>341167.5</v>
      </c>
      <c r="AZ13" s="233">
        <f t="shared" si="10"/>
        <v>341167.5</v>
      </c>
      <c r="BA13" s="233">
        <f t="shared" si="11"/>
        <v>341167.5</v>
      </c>
      <c r="BB13" s="233">
        <f t="shared" si="12"/>
        <v>341167.5</v>
      </c>
      <c r="BC13" s="233">
        <f t="shared" si="13"/>
        <v>0</v>
      </c>
      <c r="BD13" s="233">
        <f t="shared" si="14"/>
        <v>0</v>
      </c>
      <c r="BE13" s="233">
        <f t="shared" si="15"/>
        <v>0</v>
      </c>
      <c r="BF13" s="233">
        <f t="shared" si="16"/>
        <v>0</v>
      </c>
      <c r="BG13" s="233">
        <f t="shared" si="17"/>
        <v>0</v>
      </c>
      <c r="BH13" s="186" t="str">
        <f t="shared" si="18"/>
        <v/>
      </c>
      <c r="BI13" s="233">
        <f t="shared" si="19"/>
        <v>0</v>
      </c>
      <c r="BJ13" s="233">
        <f t="shared" si="20"/>
        <v>0</v>
      </c>
      <c r="BK13" s="233">
        <f t="shared" si="21"/>
        <v>0</v>
      </c>
      <c r="BL13" s="233">
        <f t="shared" si="22"/>
        <v>0</v>
      </c>
      <c r="BM13" s="233">
        <f t="shared" si="23"/>
        <v>154200</v>
      </c>
      <c r="BN13" s="233">
        <f t="shared" si="24"/>
        <v>115650</v>
      </c>
    </row>
    <row r="14" spans="1:66" s="198" customFormat="1" hidden="1" outlineLevel="1">
      <c r="A14" s="176" t="s">
        <v>192</v>
      </c>
      <c r="B14" s="176" t="s">
        <v>157</v>
      </c>
      <c r="C14" s="176"/>
      <c r="D14" s="176"/>
      <c r="E14" s="176"/>
      <c r="F14" s="176" t="s">
        <v>158</v>
      </c>
      <c r="G14" s="438">
        <v>0</v>
      </c>
      <c r="H14" s="176" t="s">
        <v>193</v>
      </c>
      <c r="I14" s="177">
        <v>24</v>
      </c>
      <c r="J14" s="178">
        <v>5175</v>
      </c>
      <c r="K14" s="178">
        <f>_xlfn.XLOOKUP(AN14,'[1]Performance Table'!$B:$B,'[1]Performance Table'!$BE:$BE,0)</f>
        <v>2585298.4700000002</v>
      </c>
      <c r="L14" s="437">
        <v>55290</v>
      </c>
      <c r="M14" s="190">
        <f t="shared" si="0"/>
        <v>0.11762471665408906</v>
      </c>
      <c r="N14" s="177">
        <v>5.13</v>
      </c>
      <c r="O14" s="442">
        <v>5</v>
      </c>
      <c r="P14" s="442">
        <v>5</v>
      </c>
      <c r="Q14" s="442">
        <v>5.5</v>
      </c>
      <c r="R14" s="177">
        <v>3.5</v>
      </c>
      <c r="S14" s="177">
        <v>3</v>
      </c>
      <c r="T14" s="179"/>
      <c r="U14" s="177"/>
      <c r="V14" s="177">
        <v>0</v>
      </c>
      <c r="W14" s="177">
        <v>0</v>
      </c>
      <c r="X14" s="180">
        <f>Z14+AA14</f>
        <v>5175</v>
      </c>
      <c r="Y14" s="180"/>
      <c r="Z14" s="180">
        <v>5175</v>
      </c>
      <c r="AA14" s="180"/>
      <c r="AB14" s="180">
        <v>0</v>
      </c>
      <c r="AC14" s="180">
        <f t="shared" si="1"/>
        <v>10350</v>
      </c>
      <c r="AD14" s="443">
        <v>57921.19</v>
      </c>
      <c r="AE14" s="177" t="s">
        <v>161</v>
      </c>
      <c r="AF14" s="182">
        <v>45623</v>
      </c>
      <c r="AG14" s="177"/>
      <c r="AH14" s="177"/>
      <c r="AI14" s="183"/>
      <c r="AJ14" s="183"/>
      <c r="AK14" s="249" t="s">
        <v>194</v>
      </c>
      <c r="AL14" s="249" t="s">
        <v>149</v>
      </c>
      <c r="AM14" s="444">
        <v>5.94</v>
      </c>
      <c r="AN14" s="177" t="s">
        <v>195</v>
      </c>
      <c r="AO14" s="177"/>
      <c r="AP14" s="183"/>
      <c r="AQ14" s="183"/>
      <c r="AR14" s="177" t="str">
        <f t="shared" si="2"/>
        <v>Renewal</v>
      </c>
      <c r="AS14" s="182" t="str">
        <f>"Q"&amp;ROUNDUP(MONTH(AF14)/3,0)&amp;" "&amp;YEAR(AF14)</f>
        <v>Q4 2024</v>
      </c>
      <c r="AT14" s="182" t="str">
        <f t="shared" si="4"/>
        <v>2H2024</v>
      </c>
      <c r="AU14" s="184" t="str">
        <f t="shared" si="5"/>
        <v>&lt; 20K</v>
      </c>
      <c r="AV14" s="179">
        <f t="shared" si="6"/>
        <v>5175</v>
      </c>
      <c r="AW14" s="233">
        <f t="shared" si="7"/>
        <v>26547.75</v>
      </c>
      <c r="AX14" s="233">
        <f t="shared" si="8"/>
        <v>25875</v>
      </c>
      <c r="AY14" s="198">
        <f t="shared" si="9"/>
        <v>25875</v>
      </c>
      <c r="AZ14" s="233">
        <f t="shared" si="10"/>
        <v>28462.5</v>
      </c>
      <c r="BA14" s="233">
        <f t="shared" si="11"/>
        <v>28462.5</v>
      </c>
      <c r="BB14" s="233">
        <f t="shared" si="12"/>
        <v>28462.5</v>
      </c>
      <c r="BC14" s="233">
        <f t="shared" si="13"/>
        <v>0</v>
      </c>
      <c r="BD14" s="233">
        <f t="shared" si="14"/>
        <v>0</v>
      </c>
      <c r="BE14" s="233">
        <f t="shared" si="15"/>
        <v>0</v>
      </c>
      <c r="BF14" s="233">
        <f t="shared" si="16"/>
        <v>0</v>
      </c>
      <c r="BG14" s="233">
        <f t="shared" si="17"/>
        <v>0</v>
      </c>
      <c r="BH14" s="186" t="str">
        <f t="shared" si="18"/>
        <v/>
      </c>
      <c r="BI14" s="233">
        <f t="shared" si="19"/>
        <v>0</v>
      </c>
      <c r="BJ14" s="233">
        <f t="shared" si="20"/>
        <v>0</v>
      </c>
      <c r="BK14" s="233">
        <f t="shared" si="21"/>
        <v>0</v>
      </c>
      <c r="BL14" s="233">
        <f t="shared" si="22"/>
        <v>0</v>
      </c>
      <c r="BM14" s="233">
        <f t="shared" si="23"/>
        <v>18112.5</v>
      </c>
      <c r="BN14" s="233">
        <f t="shared" si="24"/>
        <v>15525</v>
      </c>
    </row>
    <row r="15" spans="1:66" s="198" customFormat="1" hidden="1" outlineLevel="1">
      <c r="A15" s="176" t="s">
        <v>196</v>
      </c>
      <c r="B15" s="176" t="s">
        <v>157</v>
      </c>
      <c r="C15" s="176"/>
      <c r="D15" s="176"/>
      <c r="E15" s="176"/>
      <c r="F15" s="176" t="s">
        <v>153</v>
      </c>
      <c r="G15" s="438">
        <v>0</v>
      </c>
      <c r="H15" s="176" t="s">
        <v>197</v>
      </c>
      <c r="I15" s="177">
        <v>36</v>
      </c>
      <c r="J15" s="178">
        <v>20000</v>
      </c>
      <c r="K15" s="178">
        <f>_xlfn.XLOOKUP(AN15,'[1]Performance Table'!$B:$B,'[1]Performance Table'!$BE:$BE,0)</f>
        <v>6290207.7999999998</v>
      </c>
      <c r="L15" s="437">
        <v>87532</v>
      </c>
      <c r="M15" s="190">
        <f t="shared" si="0"/>
        <v>0.11062900020568479</v>
      </c>
      <c r="N15" s="177">
        <v>4.16</v>
      </c>
      <c r="O15" s="442">
        <v>5.18</v>
      </c>
      <c r="P15" s="442">
        <v>6.75</v>
      </c>
      <c r="Q15" s="442">
        <v>7.95</v>
      </c>
      <c r="R15" s="177">
        <v>4</v>
      </c>
      <c r="S15" s="177">
        <v>3</v>
      </c>
      <c r="T15" s="179"/>
      <c r="U15" s="177"/>
      <c r="V15" s="177">
        <v>0</v>
      </c>
      <c r="W15" s="177">
        <v>0</v>
      </c>
      <c r="X15" s="180">
        <f>Z15+AA15</f>
        <v>0</v>
      </c>
      <c r="Y15" s="180"/>
      <c r="Z15" s="180">
        <v>0</v>
      </c>
      <c r="AA15" s="180"/>
      <c r="AB15" s="180">
        <v>0</v>
      </c>
      <c r="AC15" s="180">
        <f t="shared" si="1"/>
        <v>0</v>
      </c>
      <c r="AD15" s="443">
        <v>496334</v>
      </c>
      <c r="AE15" s="177" t="s">
        <v>147</v>
      </c>
      <c r="AF15" s="182">
        <v>45622</v>
      </c>
      <c r="AG15" s="177"/>
      <c r="AH15" s="177"/>
      <c r="AI15" s="183"/>
      <c r="AJ15" s="183"/>
      <c r="AK15" s="249" t="s">
        <v>198</v>
      </c>
      <c r="AL15" s="249" t="s">
        <v>149</v>
      </c>
      <c r="AM15" s="444">
        <v>7.26</v>
      </c>
      <c r="AN15" s="177" t="s">
        <v>199</v>
      </c>
      <c r="AO15" s="177"/>
      <c r="AP15" s="183"/>
      <c r="AQ15" s="183"/>
      <c r="AR15" s="177" t="str">
        <f t="shared" si="2"/>
        <v>Renewal</v>
      </c>
      <c r="AS15" s="182" t="str">
        <f t="shared" si="3"/>
        <v>Q4 2024</v>
      </c>
      <c r="AT15" s="182" t="str">
        <f t="shared" si="4"/>
        <v>2H2024</v>
      </c>
      <c r="AU15" s="184" t="str">
        <f t="shared" si="5"/>
        <v>20-50K</v>
      </c>
      <c r="AV15" s="179">
        <f t="shared" si="6"/>
        <v>20000</v>
      </c>
      <c r="AW15" s="233">
        <f t="shared" si="7"/>
        <v>83200</v>
      </c>
      <c r="AX15" s="233">
        <f t="shared" si="8"/>
        <v>103600</v>
      </c>
      <c r="AY15" s="198">
        <f t="shared" si="9"/>
        <v>135000</v>
      </c>
      <c r="AZ15" s="233">
        <f t="shared" si="10"/>
        <v>159000</v>
      </c>
      <c r="BA15" s="233">
        <f t="shared" si="11"/>
        <v>159000</v>
      </c>
      <c r="BB15" s="233">
        <f t="shared" si="12"/>
        <v>159000</v>
      </c>
      <c r="BC15" s="233">
        <f t="shared" si="13"/>
        <v>0</v>
      </c>
      <c r="BD15" s="233">
        <f t="shared" si="14"/>
        <v>0</v>
      </c>
      <c r="BE15" s="233">
        <f t="shared" si="15"/>
        <v>0</v>
      </c>
      <c r="BF15" s="233">
        <f t="shared" si="16"/>
        <v>0</v>
      </c>
      <c r="BG15" s="233">
        <f t="shared" si="17"/>
        <v>0</v>
      </c>
      <c r="BH15" s="186" t="str">
        <f t="shared" si="18"/>
        <v/>
      </c>
      <c r="BI15" s="233">
        <f t="shared" si="19"/>
        <v>0</v>
      </c>
      <c r="BJ15" s="233">
        <f t="shared" si="20"/>
        <v>0</v>
      </c>
      <c r="BK15" s="233">
        <f t="shared" si="21"/>
        <v>0</v>
      </c>
      <c r="BL15" s="233">
        <f t="shared" si="22"/>
        <v>0</v>
      </c>
      <c r="BM15" s="233">
        <f t="shared" si="23"/>
        <v>80000</v>
      </c>
      <c r="BN15" s="233">
        <f t="shared" si="24"/>
        <v>60000</v>
      </c>
    </row>
    <row r="16" spans="1:66" s="198" customFormat="1" hidden="1" outlineLevel="1">
      <c r="A16" s="176" t="s">
        <v>200</v>
      </c>
      <c r="B16" s="176" t="s">
        <v>157</v>
      </c>
      <c r="C16" s="176"/>
      <c r="D16" s="176"/>
      <c r="E16" s="176"/>
      <c r="F16" s="176" t="s">
        <v>201</v>
      </c>
      <c r="G16" s="438">
        <v>0</v>
      </c>
      <c r="H16" s="176" t="s">
        <v>202</v>
      </c>
      <c r="I16" s="177">
        <v>19</v>
      </c>
      <c r="J16" s="178">
        <v>80000</v>
      </c>
      <c r="K16" s="178">
        <f>_xlfn.XLOOKUP(AN16,'[1]Performance Table'!$B:$B,'[1]Performance Table'!$BE:$BE,0)</f>
        <v>21897441.876188189</v>
      </c>
      <c r="L16" s="437">
        <v>200000</v>
      </c>
      <c r="M16" s="190">
        <f t="shared" si="0"/>
        <v>8.9051497934125243E-2</v>
      </c>
      <c r="N16" s="177">
        <v>5.07</v>
      </c>
      <c r="O16" s="442">
        <v>7.97</v>
      </c>
      <c r="P16" s="442">
        <v>9.25</v>
      </c>
      <c r="Q16" s="442">
        <v>9.75</v>
      </c>
      <c r="R16" s="177">
        <v>4</v>
      </c>
      <c r="S16" s="177">
        <v>4</v>
      </c>
      <c r="T16" s="179"/>
      <c r="U16" s="177"/>
      <c r="V16" s="177">
        <v>0</v>
      </c>
      <c r="W16" s="177">
        <v>0</v>
      </c>
      <c r="X16" s="180">
        <f>Z16+AA16</f>
        <v>0</v>
      </c>
      <c r="Y16" s="180"/>
      <c r="Z16" s="180">
        <v>0</v>
      </c>
      <c r="AA16" s="180"/>
      <c r="AB16" s="180">
        <v>0</v>
      </c>
      <c r="AC16" s="180">
        <f t="shared" si="1"/>
        <v>0</v>
      </c>
      <c r="AD16" s="443">
        <v>1253200</v>
      </c>
      <c r="AE16" s="177" t="s">
        <v>161</v>
      </c>
      <c r="AF16" s="182">
        <v>45621</v>
      </c>
      <c r="AG16" s="177"/>
      <c r="AH16" s="177"/>
      <c r="AI16" s="183"/>
      <c r="AJ16" s="183"/>
      <c r="AK16" s="249" t="s">
        <v>169</v>
      </c>
      <c r="AL16" s="249" t="s">
        <v>149</v>
      </c>
      <c r="AM16" s="444">
        <v>7.34</v>
      </c>
      <c r="AN16" s="177" t="s">
        <v>203</v>
      </c>
      <c r="AO16" s="177"/>
      <c r="AP16" s="183"/>
      <c r="AQ16" s="183"/>
      <c r="AR16" s="177" t="str">
        <f t="shared" si="2"/>
        <v>Renewal</v>
      </c>
      <c r="AS16" s="182" t="str">
        <f t="shared" si="3"/>
        <v>Q4 2024</v>
      </c>
      <c r="AT16" s="182" t="str">
        <f t="shared" si="4"/>
        <v>2H2024</v>
      </c>
      <c r="AU16" s="184" t="str">
        <f t="shared" si="5"/>
        <v>50-100K</v>
      </c>
      <c r="AV16" s="179">
        <f t="shared" si="6"/>
        <v>80000</v>
      </c>
      <c r="AW16" s="233">
        <f t="shared" si="7"/>
        <v>405600</v>
      </c>
      <c r="AX16" s="233">
        <f t="shared" si="8"/>
        <v>637600</v>
      </c>
      <c r="AY16" s="198">
        <f t="shared" si="9"/>
        <v>740000</v>
      </c>
      <c r="AZ16" s="233">
        <f t="shared" si="10"/>
        <v>780000</v>
      </c>
      <c r="BA16" s="233">
        <f t="shared" si="11"/>
        <v>780000</v>
      </c>
      <c r="BB16" s="233">
        <f t="shared" si="12"/>
        <v>780000</v>
      </c>
      <c r="BC16" s="233">
        <f t="shared" si="13"/>
        <v>0</v>
      </c>
      <c r="BD16" s="233">
        <f t="shared" si="14"/>
        <v>0</v>
      </c>
      <c r="BE16" s="233">
        <f t="shared" si="15"/>
        <v>0</v>
      </c>
      <c r="BF16" s="233">
        <f t="shared" si="16"/>
        <v>0</v>
      </c>
      <c r="BG16" s="233">
        <f t="shared" si="17"/>
        <v>0</v>
      </c>
      <c r="BH16" s="186" t="str">
        <f t="shared" si="18"/>
        <v/>
      </c>
      <c r="BI16" s="233">
        <f t="shared" si="19"/>
        <v>0</v>
      </c>
      <c r="BJ16" s="233">
        <f t="shared" si="20"/>
        <v>0</v>
      </c>
      <c r="BK16" s="233">
        <f t="shared" si="21"/>
        <v>0</v>
      </c>
      <c r="BL16" s="233">
        <f t="shared" si="22"/>
        <v>0</v>
      </c>
      <c r="BM16" s="233">
        <f t="shared" si="23"/>
        <v>320000</v>
      </c>
      <c r="BN16" s="233">
        <f t="shared" si="24"/>
        <v>320000</v>
      </c>
    </row>
    <row r="17" spans="1:68" s="198" customFormat="1" hidden="1" outlineLevel="1">
      <c r="A17" s="176" t="s">
        <v>204</v>
      </c>
      <c r="B17" s="176" t="s">
        <v>143</v>
      </c>
      <c r="C17" s="176"/>
      <c r="D17" s="176"/>
      <c r="E17" s="176"/>
      <c r="F17" s="176" t="s">
        <v>185</v>
      </c>
      <c r="G17" s="176">
        <f>_xlfn.XLOOKUP(AN17,[2]ySQL_0_24102024094604!$B:$B,[2]ySQL_0_24102024094604!$D:$D,0)</f>
        <v>0</v>
      </c>
      <c r="H17" s="176" t="s">
        <v>205</v>
      </c>
      <c r="I17" s="177">
        <v>25</v>
      </c>
      <c r="J17" s="178">
        <v>47107</v>
      </c>
      <c r="K17" s="178">
        <f>VLOOKUP(AN17,'[4]Performance Table'!$B$4:$BJ$388,61,0)</f>
        <v>9864876.4600000009</v>
      </c>
      <c r="L17" s="178">
        <f>VLOOKUP(H17,'[5]Leasing Activity Report'!$F$4:$J$25,5,0)</f>
        <v>272221</v>
      </c>
      <c r="M17" s="190">
        <f t="shared" si="0"/>
        <v>0.14487360848308078</v>
      </c>
      <c r="N17" s="177">
        <v>3.5</v>
      </c>
      <c r="O17" s="177">
        <v>3.27</v>
      </c>
      <c r="P17" s="177">
        <v>5</v>
      </c>
      <c r="Q17" s="177">
        <v>5.25</v>
      </c>
      <c r="R17" s="177">
        <v>4</v>
      </c>
      <c r="S17" s="177">
        <v>3</v>
      </c>
      <c r="T17" s="179">
        <f>AC17/AD17*100</f>
        <v>11.571345440060457</v>
      </c>
      <c r="U17" s="177"/>
      <c r="V17" s="177">
        <v>0</v>
      </c>
      <c r="W17" s="177">
        <v>6</v>
      </c>
      <c r="X17" s="188">
        <v>37965.300000000003</v>
      </c>
      <c r="Y17" s="188"/>
      <c r="Z17" s="188" t="s">
        <v>167</v>
      </c>
      <c r="AA17" s="188"/>
      <c r="AB17" s="188">
        <v>20609.310000000001</v>
      </c>
      <c r="AC17" s="188">
        <f t="shared" si="1"/>
        <v>58574.61</v>
      </c>
      <c r="AD17" s="189">
        <v>506203.97</v>
      </c>
      <c r="AE17" s="177" t="s">
        <v>147</v>
      </c>
      <c r="AF17" s="182">
        <v>45342</v>
      </c>
      <c r="AG17" s="177"/>
      <c r="AH17" s="177"/>
      <c r="AI17" s="183"/>
      <c r="AJ17" s="183"/>
      <c r="AK17" s="177"/>
      <c r="AL17" s="177"/>
      <c r="AM17" s="177"/>
      <c r="AN17" s="177" t="s">
        <v>187</v>
      </c>
      <c r="AO17" s="177"/>
      <c r="AP17" s="183"/>
      <c r="AQ17" s="183"/>
      <c r="AR17" s="177" t="str">
        <f t="shared" si="2"/>
        <v>New Lease</v>
      </c>
      <c r="AS17" s="182" t="str">
        <f t="shared" si="3"/>
        <v>Q1 2024</v>
      </c>
      <c r="AT17" s="182" t="str">
        <f t="shared" si="4"/>
        <v>1H2024</v>
      </c>
      <c r="AU17" s="184" t="str">
        <f t="shared" si="5"/>
        <v>20-50K</v>
      </c>
      <c r="AV17" s="179">
        <f t="shared" si="6"/>
        <v>47107</v>
      </c>
      <c r="AW17" s="233">
        <f t="shared" si="7"/>
        <v>164874.5</v>
      </c>
      <c r="AX17" s="233">
        <f t="shared" si="8"/>
        <v>154039.89000000001</v>
      </c>
      <c r="AY17" s="198">
        <f t="shared" si="9"/>
        <v>235535</v>
      </c>
      <c r="AZ17" s="233">
        <f t="shared" si="10"/>
        <v>247311.75</v>
      </c>
      <c r="BA17" s="233">
        <f t="shared" si="11"/>
        <v>247311.75</v>
      </c>
      <c r="BB17" s="233">
        <f t="shared" si="12"/>
        <v>247311.75</v>
      </c>
      <c r="BC17" s="233">
        <f t="shared" si="13"/>
        <v>0</v>
      </c>
      <c r="BD17" s="233">
        <f t="shared" si="14"/>
        <v>0</v>
      </c>
      <c r="BE17" s="233">
        <f t="shared" si="15"/>
        <v>0</v>
      </c>
      <c r="BF17" s="233">
        <f t="shared" si="16"/>
        <v>47107</v>
      </c>
      <c r="BG17" s="233">
        <f t="shared" si="17"/>
        <v>282642</v>
      </c>
      <c r="BH17" s="186">
        <f t="shared" si="18"/>
        <v>247311.75</v>
      </c>
      <c r="BI17" s="233">
        <f t="shared" si="19"/>
        <v>0.99999987869561402</v>
      </c>
      <c r="BJ17" s="233">
        <f t="shared" si="20"/>
        <v>247311.72000000003</v>
      </c>
      <c r="BK17" s="233">
        <f t="shared" si="21"/>
        <v>545091.36964492791</v>
      </c>
      <c r="BL17" s="233">
        <f t="shared" si="22"/>
        <v>0</v>
      </c>
      <c r="BM17" s="233">
        <f t="shared" si="23"/>
        <v>188428</v>
      </c>
      <c r="BN17" s="233">
        <f t="shared" si="24"/>
        <v>141321</v>
      </c>
    </row>
    <row r="18" spans="1:68" s="198" customFormat="1" hidden="1" outlineLevel="1">
      <c r="A18" s="176" t="s">
        <v>206</v>
      </c>
      <c r="B18" s="176" t="s">
        <v>157</v>
      </c>
      <c r="C18" s="176"/>
      <c r="D18" s="176"/>
      <c r="E18" s="176"/>
      <c r="F18" s="176" t="s">
        <v>207</v>
      </c>
      <c r="G18" s="438">
        <v>0</v>
      </c>
      <c r="H18" s="176" t="s">
        <v>208</v>
      </c>
      <c r="I18" s="177">
        <v>55</v>
      </c>
      <c r="J18" s="178">
        <v>3408</v>
      </c>
      <c r="K18" s="178">
        <f>_xlfn.XLOOKUP(AN18,'[1]Performance Table'!$B:$B,'[1]Performance Table'!$BE:$BE,0)</f>
        <v>9693752.3499999996</v>
      </c>
      <c r="L18" s="437">
        <v>81315</v>
      </c>
      <c r="M18" s="190">
        <f t="shared" si="0"/>
        <v>0.10066071060707468</v>
      </c>
      <c r="N18" s="177">
        <v>11.07</v>
      </c>
      <c r="O18" s="442">
        <v>13.11</v>
      </c>
      <c r="P18" s="442">
        <v>12.5</v>
      </c>
      <c r="Q18" s="442">
        <v>12</v>
      </c>
      <c r="R18" s="177">
        <v>3</v>
      </c>
      <c r="S18" s="177">
        <v>4</v>
      </c>
      <c r="T18" s="179"/>
      <c r="U18" s="177"/>
      <c r="V18" s="177">
        <v>0</v>
      </c>
      <c r="W18" s="177">
        <v>0</v>
      </c>
      <c r="X18" s="180">
        <v>3958.87</v>
      </c>
      <c r="Y18" s="180"/>
      <c r="Z18" s="180">
        <v>0</v>
      </c>
      <c r="AA18" s="180"/>
      <c r="AB18" s="180">
        <v>0</v>
      </c>
      <c r="AC18" s="180">
        <f t="shared" si="1"/>
        <v>3958.87</v>
      </c>
      <c r="AD18" s="443">
        <v>197943.65</v>
      </c>
      <c r="AE18" s="177" t="s">
        <v>161</v>
      </c>
      <c r="AF18" s="182">
        <v>45601</v>
      </c>
      <c r="AG18" s="177"/>
      <c r="AH18" s="177"/>
      <c r="AI18" s="183"/>
      <c r="AJ18" s="183"/>
      <c r="AK18" s="249">
        <v>3.5</v>
      </c>
      <c r="AL18" s="249" t="s">
        <v>149</v>
      </c>
      <c r="AM18" s="444">
        <v>12.32</v>
      </c>
      <c r="AN18" s="177" t="s">
        <v>209</v>
      </c>
      <c r="AO18" s="177"/>
      <c r="AP18" s="183"/>
      <c r="AQ18" s="183"/>
      <c r="AR18" s="177" t="str">
        <f t="shared" si="2"/>
        <v>Renewal</v>
      </c>
      <c r="AS18" s="182" t="str">
        <f t="shared" si="3"/>
        <v>Q4 2024</v>
      </c>
      <c r="AT18" s="182" t="str">
        <f t="shared" si="4"/>
        <v>2H2024</v>
      </c>
      <c r="AU18" s="184" t="str">
        <f t="shared" si="5"/>
        <v>&lt; 20K</v>
      </c>
      <c r="AV18" s="179">
        <f t="shared" si="6"/>
        <v>3408</v>
      </c>
      <c r="AW18" s="233">
        <f t="shared" si="7"/>
        <v>37726.559999999998</v>
      </c>
      <c r="AX18" s="233">
        <f t="shared" si="8"/>
        <v>44678.879999999997</v>
      </c>
      <c r="AY18" s="198">
        <f t="shared" si="9"/>
        <v>42600</v>
      </c>
      <c r="AZ18" s="233">
        <f t="shared" si="10"/>
        <v>40896</v>
      </c>
      <c r="BA18" s="233">
        <f t="shared" si="11"/>
        <v>40896</v>
      </c>
      <c r="BB18" s="233">
        <f t="shared" si="12"/>
        <v>40896</v>
      </c>
      <c r="BC18" s="233">
        <f t="shared" si="13"/>
        <v>0</v>
      </c>
      <c r="BD18" s="233">
        <f t="shared" si="14"/>
        <v>0</v>
      </c>
      <c r="BE18" s="233">
        <f t="shared" si="15"/>
        <v>0</v>
      </c>
      <c r="BF18" s="233">
        <f t="shared" si="16"/>
        <v>0</v>
      </c>
      <c r="BG18" s="233">
        <f t="shared" si="17"/>
        <v>0</v>
      </c>
      <c r="BH18" s="186" t="str">
        <f t="shared" si="18"/>
        <v/>
      </c>
      <c r="BI18" s="233">
        <f t="shared" si="19"/>
        <v>0</v>
      </c>
      <c r="BJ18" s="233">
        <f t="shared" si="20"/>
        <v>0</v>
      </c>
      <c r="BK18" s="233">
        <f t="shared" si="21"/>
        <v>0</v>
      </c>
      <c r="BL18" s="233">
        <f t="shared" si="22"/>
        <v>0</v>
      </c>
      <c r="BM18" s="233">
        <f t="shared" si="23"/>
        <v>10224</v>
      </c>
      <c r="BN18" s="233">
        <f t="shared" si="24"/>
        <v>13632</v>
      </c>
    </row>
    <row r="19" spans="1:68" s="198" customFormat="1" hidden="1" outlineLevel="1">
      <c r="A19" s="176" t="s">
        <v>210</v>
      </c>
      <c r="B19" s="176" t="s">
        <v>157</v>
      </c>
      <c r="C19" s="176"/>
      <c r="D19" s="176"/>
      <c r="E19" s="176"/>
      <c r="F19" s="176" t="s">
        <v>144</v>
      </c>
      <c r="G19" s="438">
        <v>0</v>
      </c>
      <c r="H19" s="176" t="s">
        <v>211</v>
      </c>
      <c r="I19" s="177">
        <v>63</v>
      </c>
      <c r="J19" s="178">
        <v>34455</v>
      </c>
      <c r="K19" s="178">
        <f>_xlfn.XLOOKUP(AN19,'[1]Performance Table'!$B:$B,'[1]Performance Table'!$BE:$BE,0)</f>
        <v>6286990.4128767122</v>
      </c>
      <c r="L19" s="437">
        <v>82529</v>
      </c>
      <c r="M19" s="190">
        <f t="shared" si="0"/>
        <v>0.12470601170222823</v>
      </c>
      <c r="N19" s="177">
        <v>6.62</v>
      </c>
      <c r="O19" s="442">
        <v>6.74</v>
      </c>
      <c r="P19" s="442">
        <v>9.25</v>
      </c>
      <c r="Q19" s="442">
        <v>9.5</v>
      </c>
      <c r="R19" s="177">
        <v>3.5</v>
      </c>
      <c r="S19" s="177">
        <v>2.5</v>
      </c>
      <c r="T19" s="179"/>
      <c r="U19" s="177"/>
      <c r="V19" s="177">
        <v>0</v>
      </c>
      <c r="W19" s="177">
        <v>0</v>
      </c>
      <c r="X19" s="180">
        <v>79677.59</v>
      </c>
      <c r="Y19" s="180"/>
      <c r="Z19" s="180">
        <v>0</v>
      </c>
      <c r="AA19" s="180"/>
      <c r="AB19" s="180">
        <v>81830.63</v>
      </c>
      <c r="AC19" s="180">
        <f t="shared" si="1"/>
        <v>161508.22</v>
      </c>
      <c r="AD19" s="443">
        <v>1770613.16</v>
      </c>
      <c r="AE19" s="177" t="s">
        <v>147</v>
      </c>
      <c r="AF19" s="182">
        <v>45595</v>
      </c>
      <c r="AG19" s="177"/>
      <c r="AH19" s="177"/>
      <c r="AI19" s="183"/>
      <c r="AJ19" s="183"/>
      <c r="AK19" s="249">
        <v>3.5</v>
      </c>
      <c r="AL19" s="249" t="s">
        <v>149</v>
      </c>
      <c r="AM19" s="444">
        <v>8.9</v>
      </c>
      <c r="AN19" s="177" t="s">
        <v>212</v>
      </c>
      <c r="AO19" s="177"/>
      <c r="AP19" s="183"/>
      <c r="AQ19" s="183"/>
      <c r="AR19" s="177" t="str">
        <f t="shared" si="2"/>
        <v>Renewal</v>
      </c>
      <c r="AS19" s="182" t="str">
        <f t="shared" si="3"/>
        <v>Q4 2024</v>
      </c>
      <c r="AT19" s="182" t="str">
        <f t="shared" si="4"/>
        <v>2H2024</v>
      </c>
      <c r="AU19" s="184" t="str">
        <f t="shared" si="5"/>
        <v>20-50K</v>
      </c>
      <c r="AV19" s="179">
        <f t="shared" si="6"/>
        <v>34455</v>
      </c>
      <c r="AW19" s="233">
        <f t="shared" si="7"/>
        <v>228092.1</v>
      </c>
      <c r="AX19" s="233">
        <f t="shared" si="8"/>
        <v>232226.7</v>
      </c>
      <c r="AY19" s="198">
        <f t="shared" si="9"/>
        <v>318708.75</v>
      </c>
      <c r="AZ19" s="233">
        <f t="shared" si="10"/>
        <v>327322.5</v>
      </c>
      <c r="BA19" s="233">
        <f t="shared" si="11"/>
        <v>327322.5</v>
      </c>
      <c r="BB19" s="233">
        <f t="shared" si="12"/>
        <v>327322.5</v>
      </c>
      <c r="BC19" s="233">
        <f t="shared" si="13"/>
        <v>0</v>
      </c>
      <c r="BD19" s="233">
        <f t="shared" si="14"/>
        <v>0</v>
      </c>
      <c r="BE19" s="233">
        <f t="shared" si="15"/>
        <v>0</v>
      </c>
      <c r="BF19" s="233">
        <f t="shared" si="16"/>
        <v>0</v>
      </c>
      <c r="BG19" s="233">
        <f t="shared" si="17"/>
        <v>0</v>
      </c>
      <c r="BH19" s="186">
        <f t="shared" si="18"/>
        <v>327322.5</v>
      </c>
      <c r="BI19" s="233">
        <f t="shared" si="19"/>
        <v>3.0000001833054557</v>
      </c>
      <c r="BJ19" s="233">
        <f t="shared" si="20"/>
        <v>981967.56</v>
      </c>
      <c r="BK19" s="233">
        <f t="shared" si="21"/>
        <v>0</v>
      </c>
      <c r="BL19" s="233">
        <f t="shared" si="22"/>
        <v>0</v>
      </c>
      <c r="BM19" s="233">
        <f t="shared" si="23"/>
        <v>120592.5</v>
      </c>
      <c r="BN19" s="233">
        <f t="shared" si="24"/>
        <v>86137.5</v>
      </c>
    </row>
    <row r="20" spans="1:68" s="198" customFormat="1" hidden="1" outlineLevel="1">
      <c r="A20" s="176" t="s">
        <v>213</v>
      </c>
      <c r="B20" s="176" t="s">
        <v>143</v>
      </c>
      <c r="C20" s="176"/>
      <c r="D20" s="176"/>
      <c r="E20" s="176"/>
      <c r="F20" s="176" t="s">
        <v>214</v>
      </c>
      <c r="G20" s="176">
        <f>_xlfn.XLOOKUP(AN20,[2]ySQL_0_24102024094604!$B:$B,[2]ySQL_0_24102024094604!$D:$D,0)</f>
        <v>0</v>
      </c>
      <c r="H20" s="176" t="s">
        <v>215</v>
      </c>
      <c r="I20" s="177">
        <v>20</v>
      </c>
      <c r="J20" s="178">
        <v>5893</v>
      </c>
      <c r="K20" s="178">
        <f>VLOOKUP(AN20,'[4]Performance Table'!$B$4:$BJ$388,61,0)</f>
        <v>909995</v>
      </c>
      <c r="L20" s="178">
        <f>VLOOKUP(H20,'[5]Leasing Activity Report'!$F$4:$J$25,5,0)</f>
        <v>11518</v>
      </c>
      <c r="M20" s="190">
        <f t="shared" si="0"/>
        <v>0.10125769921812756</v>
      </c>
      <c r="N20" s="177">
        <v>6.05</v>
      </c>
      <c r="O20" s="177">
        <v>6.95</v>
      </c>
      <c r="P20" s="177">
        <v>8.25</v>
      </c>
      <c r="Q20" s="177">
        <v>8</v>
      </c>
      <c r="R20" s="177">
        <v>3.5</v>
      </c>
      <c r="S20" s="177">
        <v>2.5</v>
      </c>
      <c r="T20" s="179">
        <f>AC20/AD20*100</f>
        <v>13.397702820616578</v>
      </c>
      <c r="U20" s="177"/>
      <c r="V20" s="177">
        <v>0</v>
      </c>
      <c r="W20" s="177">
        <v>9</v>
      </c>
      <c r="X20" s="188">
        <v>4780.3999999999996</v>
      </c>
      <c r="Y20" s="180">
        <f>Z20/J20</f>
        <v>1</v>
      </c>
      <c r="Z20" s="188">
        <v>5893</v>
      </c>
      <c r="AA20" s="188"/>
      <c r="AB20" s="188">
        <v>0</v>
      </c>
      <c r="AC20" s="188">
        <f t="shared" si="1"/>
        <v>10674.4</v>
      </c>
      <c r="AD20" s="189">
        <v>79673.36</v>
      </c>
      <c r="AE20" s="177" t="s">
        <v>147</v>
      </c>
      <c r="AF20" s="182">
        <v>45321</v>
      </c>
      <c r="AG20" s="177"/>
      <c r="AH20" s="177"/>
      <c r="AI20" s="183"/>
      <c r="AJ20" s="183"/>
      <c r="AK20" s="177"/>
      <c r="AL20" s="177"/>
      <c r="AM20" s="177"/>
      <c r="AN20" s="177" t="s">
        <v>216</v>
      </c>
      <c r="AO20" s="177"/>
      <c r="AP20" s="183"/>
      <c r="AQ20" s="183"/>
      <c r="AR20" s="177" t="str">
        <f t="shared" si="2"/>
        <v>New Lease</v>
      </c>
      <c r="AS20" s="182" t="str">
        <f t="shared" si="3"/>
        <v>Q1 2024</v>
      </c>
      <c r="AT20" s="182" t="str">
        <f t="shared" si="4"/>
        <v>1H2024</v>
      </c>
      <c r="AU20" s="184" t="str">
        <f t="shared" si="5"/>
        <v>&lt; 20K</v>
      </c>
      <c r="AV20" s="179">
        <f t="shared" si="6"/>
        <v>5893</v>
      </c>
      <c r="AW20" s="233">
        <f t="shared" si="7"/>
        <v>35652.65</v>
      </c>
      <c r="AX20" s="233">
        <f t="shared" si="8"/>
        <v>40956.35</v>
      </c>
      <c r="AY20" s="198">
        <f t="shared" si="9"/>
        <v>48617.25</v>
      </c>
      <c r="AZ20" s="233">
        <f t="shared" si="10"/>
        <v>47144</v>
      </c>
      <c r="BA20" s="233">
        <f t="shared" si="11"/>
        <v>47144</v>
      </c>
      <c r="BB20" s="233">
        <f t="shared" si="12"/>
        <v>47144</v>
      </c>
      <c r="BC20" s="233">
        <f t="shared" si="13"/>
        <v>0</v>
      </c>
      <c r="BD20" s="233">
        <f t="shared" si="14"/>
        <v>0</v>
      </c>
      <c r="BE20" s="233">
        <f t="shared" si="15"/>
        <v>0</v>
      </c>
      <c r="BF20" s="233">
        <f t="shared" si="16"/>
        <v>5893</v>
      </c>
      <c r="BG20" s="233">
        <f t="shared" si="17"/>
        <v>53037</v>
      </c>
      <c r="BH20" s="186" t="str">
        <f t="shared" si="18"/>
        <v/>
      </c>
      <c r="BI20" s="233">
        <f t="shared" si="19"/>
        <v>0</v>
      </c>
      <c r="BJ20" s="233">
        <f t="shared" si="20"/>
        <v>0</v>
      </c>
      <c r="BK20" s="233">
        <f t="shared" si="21"/>
        <v>78952.662721893488</v>
      </c>
      <c r="BL20" s="233">
        <f t="shared" si="22"/>
        <v>0</v>
      </c>
      <c r="BM20" s="233">
        <f t="shared" si="23"/>
        <v>20625.5</v>
      </c>
      <c r="BN20" s="233">
        <f t="shared" si="24"/>
        <v>14732.5</v>
      </c>
    </row>
    <row r="21" spans="1:68" s="198" customFormat="1" hidden="1" outlineLevel="1">
      <c r="A21" s="176" t="s">
        <v>217</v>
      </c>
      <c r="B21" s="176" t="s">
        <v>143</v>
      </c>
      <c r="C21" s="176"/>
      <c r="D21" s="176"/>
      <c r="E21" s="176"/>
      <c r="F21" s="176" t="s">
        <v>144</v>
      </c>
      <c r="G21" s="176">
        <f>_xlfn.XLOOKUP(AN21,[2]ySQL_0_24102024094604!$B:$B,[2]ySQL_0_24102024094604!$D:$D,0)</f>
        <v>0</v>
      </c>
      <c r="H21" s="176" t="s">
        <v>218</v>
      </c>
      <c r="I21" s="177">
        <v>87</v>
      </c>
      <c r="J21" s="178">
        <v>32838</v>
      </c>
      <c r="K21" s="178"/>
      <c r="L21" s="178"/>
      <c r="M21" s="178"/>
      <c r="N21" s="177">
        <v>5.52</v>
      </c>
      <c r="O21" s="177">
        <v>6.61</v>
      </c>
      <c r="P21" s="177">
        <v>8</v>
      </c>
      <c r="Q21" s="177">
        <v>8.5</v>
      </c>
      <c r="R21" s="177">
        <v>4</v>
      </c>
      <c r="S21" s="177">
        <v>3</v>
      </c>
      <c r="T21" s="179">
        <v>13.273840482500001</v>
      </c>
      <c r="U21" s="177">
        <v>24.48</v>
      </c>
      <c r="V21" s="177">
        <v>0</v>
      </c>
      <c r="W21" s="177">
        <v>0</v>
      </c>
      <c r="X21" s="188">
        <v>154286.95000000001</v>
      </c>
      <c r="Y21" s="180">
        <f>Z21/J21</f>
        <v>2.0859979292283328</v>
      </c>
      <c r="Z21" s="188">
        <v>68500</v>
      </c>
      <c r="AA21" s="188">
        <v>0</v>
      </c>
      <c r="AB21" s="188">
        <v>69780</v>
      </c>
      <c r="AC21" s="188">
        <v>292566.95</v>
      </c>
      <c r="AD21" s="181">
        <v>2295076</v>
      </c>
      <c r="AE21" s="177" t="s">
        <v>147</v>
      </c>
      <c r="AF21" s="182">
        <v>45110</v>
      </c>
      <c r="AG21" s="177"/>
      <c r="AH21" s="177"/>
      <c r="AI21" s="183"/>
      <c r="AJ21" s="183"/>
      <c r="AK21" s="177"/>
      <c r="AL21" s="177"/>
      <c r="AM21" s="177"/>
      <c r="AN21" s="177" t="s">
        <v>219</v>
      </c>
      <c r="AO21" s="177"/>
      <c r="AP21" s="183"/>
      <c r="AQ21" s="183"/>
      <c r="AR21" s="177" t="str">
        <f t="shared" si="2"/>
        <v>New Lease</v>
      </c>
      <c r="AS21" s="182" t="str">
        <f t="shared" si="3"/>
        <v>Q3 2023</v>
      </c>
      <c r="AT21" s="182" t="str">
        <f t="shared" si="4"/>
        <v>2H2023</v>
      </c>
      <c r="AU21" s="184" t="str">
        <f t="shared" si="5"/>
        <v>20-50K</v>
      </c>
      <c r="AV21" s="179">
        <f t="shared" si="6"/>
        <v>32838</v>
      </c>
      <c r="AW21" s="233">
        <f t="shared" si="7"/>
        <v>181265.75999999998</v>
      </c>
      <c r="AX21" s="233">
        <f t="shared" si="8"/>
        <v>217059.18000000002</v>
      </c>
      <c r="AY21" s="198">
        <f t="shared" si="9"/>
        <v>262704</v>
      </c>
      <c r="AZ21" s="233">
        <f t="shared" si="10"/>
        <v>279123</v>
      </c>
      <c r="BA21" s="233">
        <f t="shared" si="11"/>
        <v>279123</v>
      </c>
      <c r="BB21" s="233">
        <f t="shared" si="12"/>
        <v>279123</v>
      </c>
      <c r="BC21" s="233">
        <f t="shared" si="13"/>
        <v>0</v>
      </c>
      <c r="BD21" s="233">
        <f t="shared" si="14"/>
        <v>0</v>
      </c>
      <c r="BE21" s="233">
        <f t="shared" si="15"/>
        <v>0</v>
      </c>
      <c r="BF21" s="233">
        <f t="shared" si="16"/>
        <v>32838</v>
      </c>
      <c r="BG21" s="233">
        <f t="shared" si="17"/>
        <v>0</v>
      </c>
      <c r="BH21" s="186">
        <f t="shared" si="18"/>
        <v>279123</v>
      </c>
      <c r="BI21" s="233">
        <f t="shared" si="19"/>
        <v>2.9999677561505145</v>
      </c>
      <c r="BJ21" s="233">
        <f t="shared" si="20"/>
        <v>837360</v>
      </c>
      <c r="BK21" s="233">
        <f t="shared" si="21"/>
        <v>435886.373764335</v>
      </c>
      <c r="BL21" s="233">
        <f t="shared" si="22"/>
        <v>803874.24</v>
      </c>
      <c r="BM21" s="233">
        <f t="shared" si="23"/>
        <v>131352</v>
      </c>
      <c r="BN21" s="233">
        <f t="shared" si="24"/>
        <v>98514</v>
      </c>
    </row>
    <row r="22" spans="1:68" s="198" customFormat="1" hidden="1" outlineLevel="1">
      <c r="A22" s="176" t="s">
        <v>220</v>
      </c>
      <c r="B22" s="176" t="s">
        <v>143</v>
      </c>
      <c r="C22" s="176"/>
      <c r="D22" s="176"/>
      <c r="E22" s="176"/>
      <c r="F22" s="176" t="s">
        <v>221</v>
      </c>
      <c r="G22" s="176">
        <f>_xlfn.XLOOKUP(AN22,[2]ySQL_0_24102024094604!$B:$B,[2]ySQL_0_24102024094604!$D:$D,0)</f>
        <v>0</v>
      </c>
      <c r="H22" s="176" t="s">
        <v>222</v>
      </c>
      <c r="I22" s="177">
        <v>36</v>
      </c>
      <c r="J22" s="194">
        <v>39000</v>
      </c>
      <c r="K22" s="194"/>
      <c r="L22" s="194"/>
      <c r="M22" s="194"/>
      <c r="N22" s="177">
        <v>4.25</v>
      </c>
      <c r="O22" s="177">
        <v>4.6349999999999998</v>
      </c>
      <c r="P22" s="177">
        <v>4.43</v>
      </c>
      <c r="Q22" s="177">
        <v>5.75</v>
      </c>
      <c r="R22" s="177">
        <v>6</v>
      </c>
      <c r="S22" s="177">
        <v>3</v>
      </c>
      <c r="T22" s="179">
        <v>10.650318669100001</v>
      </c>
      <c r="U22" s="177">
        <v>13.09</v>
      </c>
      <c r="V22" s="177">
        <v>0</v>
      </c>
      <c r="W22" s="177">
        <f>9-$W$3</f>
        <v>8.09</v>
      </c>
      <c r="X22" s="180">
        <v>0</v>
      </c>
      <c r="Y22" s="180">
        <f>Z22/J22</f>
        <v>0.64102564102564108</v>
      </c>
      <c r="Z22" s="180">
        <v>25000</v>
      </c>
      <c r="AA22" s="180">
        <v>3000</v>
      </c>
      <c r="AB22" s="180">
        <v>48035</v>
      </c>
      <c r="AC22" s="180">
        <v>76035</v>
      </c>
      <c r="AD22" s="195">
        <v>713922.3</v>
      </c>
      <c r="AE22" s="177" t="s">
        <v>147</v>
      </c>
      <c r="AF22" s="182">
        <v>45010</v>
      </c>
      <c r="AG22" s="177">
        <v>5.7329501913190022</v>
      </c>
      <c r="AH22" s="177">
        <v>5.6373491904757769</v>
      </c>
      <c r="AI22" s="196">
        <v>0.29651841179999999</v>
      </c>
      <c r="AJ22" s="196">
        <v>1.9591445135000001</v>
      </c>
      <c r="AK22" s="177">
        <v>8</v>
      </c>
      <c r="AL22" s="177"/>
      <c r="AM22" s="177"/>
      <c r="AN22" s="177" t="s">
        <v>223</v>
      </c>
      <c r="AO22" s="177"/>
      <c r="AP22" s="196">
        <f>AG22/O22-1</f>
        <v>0.23688245767400273</v>
      </c>
      <c r="AQ22" s="196">
        <f>AH22/O22-1</f>
        <v>0.21625656752443945</v>
      </c>
      <c r="AR22" s="177" t="str">
        <f t="shared" si="2"/>
        <v>New Lease</v>
      </c>
      <c r="AS22" s="182" t="str">
        <f t="shared" si="3"/>
        <v>Q1 2023</v>
      </c>
      <c r="AT22" s="182" t="str">
        <f t="shared" si="4"/>
        <v>1H2023</v>
      </c>
      <c r="AU22" s="184" t="str">
        <f t="shared" si="5"/>
        <v>20-50K</v>
      </c>
      <c r="AV22" s="179">
        <f t="shared" si="6"/>
        <v>39000</v>
      </c>
      <c r="AW22" s="233">
        <f t="shared" si="7"/>
        <v>165750</v>
      </c>
      <c r="AX22" s="233">
        <f t="shared" si="8"/>
        <v>180765</v>
      </c>
      <c r="AY22" s="198">
        <f t="shared" si="9"/>
        <v>172770</v>
      </c>
      <c r="AZ22" s="233">
        <f>Q22*AV22</f>
        <v>224250</v>
      </c>
      <c r="BA22" s="233">
        <f t="shared" si="11"/>
        <v>224250</v>
      </c>
      <c r="BB22" s="233">
        <f t="shared" si="12"/>
        <v>224250</v>
      </c>
      <c r="BC22" s="233">
        <f t="shared" si="13"/>
        <v>223585.05746144109</v>
      </c>
      <c r="BD22" s="233">
        <f t="shared" si="14"/>
        <v>219856.61842855529</v>
      </c>
      <c r="BE22" s="233">
        <f t="shared" si="15"/>
        <v>0</v>
      </c>
      <c r="BF22" s="233">
        <f t="shared" si="16"/>
        <v>39000</v>
      </c>
      <c r="BG22" s="233">
        <f t="shared" si="17"/>
        <v>315510</v>
      </c>
      <c r="BH22" s="186">
        <f t="shared" si="18"/>
        <v>224250</v>
      </c>
      <c r="BI22" s="233">
        <f t="shared" si="19"/>
        <v>2.5704347826086957</v>
      </c>
      <c r="BJ22" s="233">
        <f t="shared" si="20"/>
        <v>576420</v>
      </c>
      <c r="BK22" s="233">
        <f t="shared" si="21"/>
        <v>415362.42809490004</v>
      </c>
      <c r="BL22" s="233">
        <f t="shared" si="22"/>
        <v>510510</v>
      </c>
      <c r="BM22" s="233">
        <f t="shared" si="23"/>
        <v>234000</v>
      </c>
      <c r="BN22" s="233">
        <f t="shared" si="24"/>
        <v>117000</v>
      </c>
      <c r="BO22" s="233"/>
      <c r="BP22" s="233"/>
    </row>
    <row r="23" spans="1:68" s="198" customFormat="1" hidden="1" outlineLevel="1">
      <c r="A23" s="176" t="s">
        <v>224</v>
      </c>
      <c r="B23" s="176" t="s">
        <v>157</v>
      </c>
      <c r="C23" s="176"/>
      <c r="D23" s="176"/>
      <c r="E23" s="176"/>
      <c r="F23" s="176" t="s">
        <v>158</v>
      </c>
      <c r="G23" s="176">
        <f>_xlfn.XLOOKUP(AN23,[2]ySQL_0_24102024094604!$B:$B,[2]ySQL_0_24102024094604!$D:$D,0)</f>
        <v>0</v>
      </c>
      <c r="H23" s="176" t="s">
        <v>225</v>
      </c>
      <c r="I23" s="177">
        <v>38</v>
      </c>
      <c r="J23" s="178">
        <v>24000</v>
      </c>
      <c r="K23" s="178">
        <v>3325799</v>
      </c>
      <c r="L23" s="178">
        <v>104800</v>
      </c>
      <c r="M23" s="190">
        <f>Q23/(K23/L23)</f>
        <v>0.10556260315190426</v>
      </c>
      <c r="N23" s="177">
        <v>2.52</v>
      </c>
      <c r="O23" s="177">
        <v>3.5</v>
      </c>
      <c r="P23" s="177">
        <v>3.5</v>
      </c>
      <c r="Q23" s="177">
        <v>3.35</v>
      </c>
      <c r="R23" s="177">
        <v>3.5</v>
      </c>
      <c r="S23" s="177">
        <v>3</v>
      </c>
      <c r="T23" s="179"/>
      <c r="U23" s="177"/>
      <c r="V23" s="177">
        <v>0</v>
      </c>
      <c r="W23" s="177">
        <v>0</v>
      </c>
      <c r="X23" s="180">
        <v>10047.94</v>
      </c>
      <c r="Y23" s="180"/>
      <c r="Z23" s="180"/>
      <c r="AA23" s="180"/>
      <c r="AB23" s="180">
        <v>13399.2</v>
      </c>
      <c r="AC23" s="180">
        <f>SUM(X23:AB23)</f>
        <v>23447.14</v>
      </c>
      <c r="AD23" s="181">
        <v>251198.4</v>
      </c>
      <c r="AE23" s="177" t="s">
        <v>161</v>
      </c>
      <c r="AF23" s="182">
        <v>45562</v>
      </c>
      <c r="AG23" s="177"/>
      <c r="AH23" s="177"/>
      <c r="AI23" s="183"/>
      <c r="AJ23" s="183"/>
      <c r="AK23" s="177"/>
      <c r="AL23" s="177"/>
      <c r="AM23" s="177"/>
      <c r="AN23" s="177" t="s">
        <v>226</v>
      </c>
      <c r="AO23" s="177"/>
      <c r="AP23" s="177" t="s">
        <v>226</v>
      </c>
      <c r="AQ23" s="177"/>
      <c r="AR23" s="177" t="str">
        <f t="shared" si="2"/>
        <v>Renewal</v>
      </c>
      <c r="AS23" s="182" t="str">
        <f t="shared" si="3"/>
        <v>Q3 2024</v>
      </c>
      <c r="AT23" s="182" t="str">
        <f t="shared" si="4"/>
        <v>2H2024</v>
      </c>
      <c r="AU23" s="184" t="str">
        <f t="shared" si="5"/>
        <v>20-50K</v>
      </c>
      <c r="AV23" s="179">
        <f t="shared" si="6"/>
        <v>24000</v>
      </c>
      <c r="AW23" s="233">
        <f t="shared" si="7"/>
        <v>60480</v>
      </c>
      <c r="AX23" s="233">
        <f t="shared" si="8"/>
        <v>84000</v>
      </c>
      <c r="AY23" s="198">
        <f t="shared" si="9"/>
        <v>84000</v>
      </c>
      <c r="AZ23" s="233">
        <f>IFERROR(Q23*AV23,"")</f>
        <v>80400</v>
      </c>
      <c r="BA23" s="233">
        <f t="shared" si="11"/>
        <v>80400</v>
      </c>
      <c r="BB23" s="233">
        <f t="shared" si="12"/>
        <v>80400</v>
      </c>
      <c r="BC23" s="233">
        <f t="shared" si="13"/>
        <v>0</v>
      </c>
      <c r="BD23" s="233">
        <f t="shared" si="14"/>
        <v>0</v>
      </c>
      <c r="BE23" s="233">
        <f t="shared" si="15"/>
        <v>0</v>
      </c>
      <c r="BF23" s="233">
        <f t="shared" si="16"/>
        <v>0</v>
      </c>
      <c r="BG23" s="233">
        <f t="shared" si="17"/>
        <v>0</v>
      </c>
      <c r="BH23" s="186">
        <f t="shared" si="18"/>
        <v>80400</v>
      </c>
      <c r="BI23" s="233">
        <f t="shared" si="19"/>
        <v>1.9998805970149254</v>
      </c>
      <c r="BJ23" s="233">
        <f t="shared" si="20"/>
        <v>160790.39999999999</v>
      </c>
      <c r="BK23" s="233">
        <f t="shared" si="21"/>
        <v>0</v>
      </c>
      <c r="BL23" s="233">
        <f t="shared" si="22"/>
        <v>0</v>
      </c>
      <c r="BM23" s="233">
        <f t="shared" si="23"/>
        <v>84000</v>
      </c>
      <c r="BN23" s="233">
        <f t="shared" si="24"/>
        <v>72000</v>
      </c>
      <c r="BO23" s="233"/>
      <c r="BP23" s="233"/>
    </row>
    <row r="24" spans="1:68" s="198" customFormat="1" hidden="1" outlineLevel="1">
      <c r="A24" s="176" t="s">
        <v>227</v>
      </c>
      <c r="B24" s="176" t="s">
        <v>157</v>
      </c>
      <c r="C24" s="176"/>
      <c r="D24" s="176"/>
      <c r="E24" s="176"/>
      <c r="F24" s="176" t="s">
        <v>158</v>
      </c>
      <c r="G24" s="176">
        <f>_xlfn.XLOOKUP(AN24,[2]ySQL_0_24102024094604!$B:$B,[2]ySQL_0_24102024094604!$D:$D,0)</f>
        <v>0</v>
      </c>
      <c r="H24" s="176" t="s">
        <v>228</v>
      </c>
      <c r="I24" s="177">
        <v>36</v>
      </c>
      <c r="J24" s="178">
        <v>4125</v>
      </c>
      <c r="K24" s="178">
        <v>829041</v>
      </c>
      <c r="L24" s="178">
        <v>24750</v>
      </c>
      <c r="M24" s="190">
        <f>Q24/(K24/L24)</f>
        <v>0.14926885401325146</v>
      </c>
      <c r="N24" s="177">
        <v>4.7</v>
      </c>
      <c r="O24" s="177">
        <v>5</v>
      </c>
      <c r="P24" s="177">
        <v>5</v>
      </c>
      <c r="Q24" s="177">
        <v>5</v>
      </c>
      <c r="R24" s="177">
        <v>3.5</v>
      </c>
      <c r="S24" s="177">
        <v>3</v>
      </c>
      <c r="T24" s="179"/>
      <c r="U24" s="177"/>
      <c r="V24" s="177">
        <v>0</v>
      </c>
      <c r="W24" s="177">
        <v>0</v>
      </c>
      <c r="X24" s="180">
        <v>2562.63</v>
      </c>
      <c r="Y24" s="180"/>
      <c r="Z24" s="180"/>
      <c r="AA24" s="180"/>
      <c r="AB24" s="180">
        <v>0</v>
      </c>
      <c r="AC24" s="180">
        <f>SUM(X24:AB24)</f>
        <v>2562.63</v>
      </c>
      <c r="AD24" s="181">
        <v>64065.79</v>
      </c>
      <c r="AE24" s="177" t="s">
        <v>161</v>
      </c>
      <c r="AF24" s="182">
        <v>45562</v>
      </c>
      <c r="AG24" s="177"/>
      <c r="AH24" s="177"/>
      <c r="AI24" s="183"/>
      <c r="AJ24" s="183"/>
      <c r="AK24" s="177"/>
      <c r="AL24" s="177"/>
      <c r="AM24" s="177"/>
      <c r="AN24" s="177" t="s">
        <v>229</v>
      </c>
      <c r="AO24" s="177"/>
      <c r="AP24" s="177" t="s">
        <v>229</v>
      </c>
      <c r="AQ24" s="177"/>
      <c r="AR24" s="177" t="str">
        <f t="shared" si="2"/>
        <v>Renewal</v>
      </c>
      <c r="AS24" s="182" t="str">
        <f t="shared" si="3"/>
        <v>Q3 2024</v>
      </c>
      <c r="AT24" s="182" t="str">
        <f t="shared" si="4"/>
        <v>2H2024</v>
      </c>
      <c r="AU24" s="184" t="str">
        <f t="shared" si="5"/>
        <v>&lt; 20K</v>
      </c>
      <c r="AV24" s="179">
        <f t="shared" si="6"/>
        <v>4125</v>
      </c>
      <c r="AW24" s="233">
        <f t="shared" si="7"/>
        <v>19387.5</v>
      </c>
      <c r="AX24" s="233">
        <f t="shared" si="8"/>
        <v>20625</v>
      </c>
      <c r="AY24" s="198">
        <f t="shared" si="9"/>
        <v>20625</v>
      </c>
      <c r="AZ24" s="233">
        <f>IFERROR(Q24*AV24,"")</f>
        <v>20625</v>
      </c>
      <c r="BA24" s="233">
        <f t="shared" si="11"/>
        <v>20625</v>
      </c>
      <c r="BB24" s="233">
        <f t="shared" si="12"/>
        <v>20625</v>
      </c>
      <c r="BC24" s="233">
        <f t="shared" si="13"/>
        <v>0</v>
      </c>
      <c r="BD24" s="233">
        <f t="shared" si="14"/>
        <v>0</v>
      </c>
      <c r="BE24" s="233">
        <f t="shared" si="15"/>
        <v>0</v>
      </c>
      <c r="BF24" s="233">
        <f t="shared" si="16"/>
        <v>0</v>
      </c>
      <c r="BG24" s="233">
        <f t="shared" si="17"/>
        <v>0</v>
      </c>
      <c r="BH24" s="186" t="str">
        <f t="shared" si="18"/>
        <v/>
      </c>
      <c r="BI24" s="233">
        <f t="shared" si="19"/>
        <v>0</v>
      </c>
      <c r="BJ24" s="233">
        <f t="shared" si="20"/>
        <v>0</v>
      </c>
      <c r="BK24" s="233">
        <f t="shared" si="21"/>
        <v>0</v>
      </c>
      <c r="BL24" s="233">
        <f t="shared" si="22"/>
        <v>0</v>
      </c>
      <c r="BM24" s="233">
        <f t="shared" si="23"/>
        <v>14437.5</v>
      </c>
      <c r="BN24" s="233">
        <f t="shared" si="24"/>
        <v>12375</v>
      </c>
      <c r="BO24" s="233"/>
      <c r="BP24" s="233"/>
    </row>
    <row r="25" spans="1:68" s="198" customFormat="1" hidden="1" outlineLevel="1">
      <c r="A25" s="176" t="s">
        <v>192</v>
      </c>
      <c r="B25" s="176" t="s">
        <v>157</v>
      </c>
      <c r="C25" s="176"/>
      <c r="D25" s="176"/>
      <c r="E25" s="176"/>
      <c r="F25" s="176" t="s">
        <v>158</v>
      </c>
      <c r="G25" s="176">
        <f>_xlfn.XLOOKUP(AN25,[2]ySQL_0_24102024094604!$B:$B,[2]ySQL_0_24102024094604!$D:$D,0)</f>
        <v>0</v>
      </c>
      <c r="H25" s="176" t="s">
        <v>230</v>
      </c>
      <c r="I25" s="177">
        <v>36</v>
      </c>
      <c r="J25" s="178">
        <v>2000</v>
      </c>
      <c r="K25" s="178">
        <v>2585298</v>
      </c>
      <c r="L25" s="178">
        <v>55290</v>
      </c>
      <c r="M25" s="190">
        <f>Q25/(K25/L25)</f>
        <v>0.14542694884690277</v>
      </c>
      <c r="N25" s="177">
        <v>6.61</v>
      </c>
      <c r="O25" s="177">
        <v>5</v>
      </c>
      <c r="P25" s="177">
        <v>5</v>
      </c>
      <c r="Q25" s="177">
        <v>6.8</v>
      </c>
      <c r="R25" s="177">
        <v>3</v>
      </c>
      <c r="S25" s="177">
        <v>3</v>
      </c>
      <c r="T25" s="179"/>
      <c r="U25" s="177"/>
      <c r="V25" s="177">
        <v>0</v>
      </c>
      <c r="W25" s="177">
        <v>0</v>
      </c>
      <c r="X25" s="180">
        <v>1681.45</v>
      </c>
      <c r="Y25" s="180"/>
      <c r="Z25" s="180"/>
      <c r="AA25" s="180"/>
      <c r="AB25" s="180">
        <v>0</v>
      </c>
      <c r="AC25" s="180">
        <f>SUM(X25:AB25)</f>
        <v>1681.45</v>
      </c>
      <c r="AD25" s="181">
        <v>42036.2</v>
      </c>
      <c r="AE25" s="177" t="s">
        <v>161</v>
      </c>
      <c r="AF25" s="182">
        <v>45558</v>
      </c>
      <c r="AG25" s="177"/>
      <c r="AH25" s="177"/>
      <c r="AI25" s="183"/>
      <c r="AJ25" s="183"/>
      <c r="AK25" s="177"/>
      <c r="AL25" s="177"/>
      <c r="AM25" s="177"/>
      <c r="AN25" s="177" t="s">
        <v>195</v>
      </c>
      <c r="AO25" s="177"/>
      <c r="AP25" s="177" t="s">
        <v>195</v>
      </c>
      <c r="AQ25" s="177"/>
      <c r="AR25" s="177" t="str">
        <f t="shared" si="2"/>
        <v>Renewal</v>
      </c>
      <c r="AS25" s="182" t="str">
        <f t="shared" si="3"/>
        <v>Q3 2024</v>
      </c>
      <c r="AT25" s="182" t="str">
        <f t="shared" si="4"/>
        <v>2H2024</v>
      </c>
      <c r="AU25" s="184" t="str">
        <f t="shared" si="5"/>
        <v>&lt; 20K</v>
      </c>
      <c r="AV25" s="179">
        <f t="shared" si="6"/>
        <v>2000</v>
      </c>
      <c r="AW25" s="233">
        <f t="shared" si="7"/>
        <v>13220</v>
      </c>
      <c r="AX25" s="233">
        <f t="shared" si="8"/>
        <v>10000</v>
      </c>
      <c r="AY25" s="198">
        <f t="shared" si="9"/>
        <v>10000</v>
      </c>
      <c r="AZ25" s="233">
        <f>IFERROR(Q25*AV25,"")</f>
        <v>13600</v>
      </c>
      <c r="BA25" s="233">
        <f t="shared" si="11"/>
        <v>13600</v>
      </c>
      <c r="BB25" s="233">
        <f t="shared" si="12"/>
        <v>13600</v>
      </c>
      <c r="BC25" s="233">
        <f t="shared" si="13"/>
        <v>0</v>
      </c>
      <c r="BD25" s="233">
        <f t="shared" si="14"/>
        <v>0</v>
      </c>
      <c r="BE25" s="233">
        <f t="shared" si="15"/>
        <v>0</v>
      </c>
      <c r="BF25" s="233">
        <f t="shared" si="16"/>
        <v>0</v>
      </c>
      <c r="BG25" s="233">
        <f t="shared" si="17"/>
        <v>0</v>
      </c>
      <c r="BH25" s="186" t="str">
        <f t="shared" si="18"/>
        <v/>
      </c>
      <c r="BI25" s="233">
        <f t="shared" si="19"/>
        <v>0</v>
      </c>
      <c r="BJ25" s="233">
        <f t="shared" si="20"/>
        <v>0</v>
      </c>
      <c r="BK25" s="233">
        <f t="shared" si="21"/>
        <v>0</v>
      </c>
      <c r="BL25" s="233">
        <f t="shared" si="22"/>
        <v>0</v>
      </c>
      <c r="BM25" s="233">
        <f t="shared" si="23"/>
        <v>6000</v>
      </c>
      <c r="BN25" s="233">
        <f t="shared" si="24"/>
        <v>6000</v>
      </c>
      <c r="BO25" s="233"/>
      <c r="BP25" s="233"/>
    </row>
    <row r="26" spans="1:68" s="198" customFormat="1" hidden="1" outlineLevel="1">
      <c r="A26" s="176" t="s">
        <v>231</v>
      </c>
      <c r="B26" s="176" t="s">
        <v>157</v>
      </c>
      <c r="C26" s="176"/>
      <c r="D26" s="176"/>
      <c r="E26" s="176"/>
      <c r="F26" s="176" t="s">
        <v>153</v>
      </c>
      <c r="G26" s="176" t="str">
        <f>_xlfn.XLOOKUP(AN26,[2]ySQL_0_24102024094604!$B:$B,[2]ySQL_0_24102024094604!$D:$D,0)</f>
        <v>Yes</v>
      </c>
      <c r="H26" s="176" t="s">
        <v>232</v>
      </c>
      <c r="I26" s="177">
        <v>36</v>
      </c>
      <c r="J26" s="178">
        <v>67656</v>
      </c>
      <c r="K26" s="178">
        <f>_xlfn.XLOOKUP(AP26,'[3]Main Data Table'!$B:$B,'[3]Main Data Table'!$AB:$AB,0)</f>
        <v>5716791.6600000001</v>
      </c>
      <c r="L26" s="178">
        <v>67656</v>
      </c>
      <c r="M26" s="190">
        <f>Q26/(K26/L26)</f>
        <v>7.1007660265163489E-2</v>
      </c>
      <c r="N26" s="177">
        <v>5.67</v>
      </c>
      <c r="O26" s="177">
        <v>6.32</v>
      </c>
      <c r="P26" s="177">
        <v>5.25</v>
      </c>
      <c r="Q26" s="177">
        <v>6</v>
      </c>
      <c r="R26" s="177">
        <v>4</v>
      </c>
      <c r="S26" s="177">
        <v>3</v>
      </c>
      <c r="T26" s="179"/>
      <c r="U26" s="177"/>
      <c r="V26" s="177">
        <v>0</v>
      </c>
      <c r="W26" s="177">
        <v>0</v>
      </c>
      <c r="X26" s="180">
        <v>47980.55</v>
      </c>
      <c r="Y26" s="180"/>
      <c r="Z26" s="180"/>
      <c r="AA26" s="180"/>
      <c r="AB26" s="180">
        <v>67656</v>
      </c>
      <c r="AC26" s="180">
        <f>SUM(X26:AB26)</f>
        <v>115636.55</v>
      </c>
      <c r="AD26" s="181">
        <v>1199513.82</v>
      </c>
      <c r="AE26" s="177" t="s">
        <v>147</v>
      </c>
      <c r="AF26" s="182">
        <v>45525</v>
      </c>
      <c r="AG26" s="177"/>
      <c r="AH26" s="177"/>
      <c r="AI26" s="183"/>
      <c r="AJ26" s="183"/>
      <c r="AK26" s="177"/>
      <c r="AL26" s="177"/>
      <c r="AM26" s="177"/>
      <c r="AN26" s="177" t="s">
        <v>233</v>
      </c>
      <c r="AO26" s="177"/>
      <c r="AP26" s="177" t="s">
        <v>233</v>
      </c>
      <c r="AQ26" s="177"/>
      <c r="AR26" s="177" t="str">
        <f t="shared" si="2"/>
        <v>Renewal</v>
      </c>
      <c r="AS26" s="182" t="str">
        <f t="shared" si="3"/>
        <v>Q3 2024</v>
      </c>
      <c r="AT26" s="182" t="str">
        <f t="shared" si="4"/>
        <v>2H2024</v>
      </c>
      <c r="AU26" s="184" t="str">
        <f t="shared" si="5"/>
        <v>50-100K</v>
      </c>
      <c r="AV26" s="179">
        <f t="shared" si="6"/>
        <v>67656</v>
      </c>
      <c r="AW26" s="233">
        <f t="shared" si="7"/>
        <v>383609.52</v>
      </c>
      <c r="AX26" s="233">
        <f t="shared" si="8"/>
        <v>427585.92000000004</v>
      </c>
      <c r="AY26" s="198">
        <f t="shared" si="9"/>
        <v>355194</v>
      </c>
      <c r="AZ26" s="233">
        <f>IFERROR(Q26*AV26,"")</f>
        <v>405936</v>
      </c>
      <c r="BA26" s="233">
        <f t="shared" si="11"/>
        <v>405936</v>
      </c>
      <c r="BB26" s="233">
        <f t="shared" si="12"/>
        <v>405936</v>
      </c>
      <c r="BC26" s="233">
        <f t="shared" si="13"/>
        <v>0</v>
      </c>
      <c r="BD26" s="233">
        <f t="shared" si="14"/>
        <v>0</v>
      </c>
      <c r="BE26" s="233">
        <f t="shared" si="15"/>
        <v>0</v>
      </c>
      <c r="BF26" s="233">
        <f t="shared" si="16"/>
        <v>0</v>
      </c>
      <c r="BG26" s="233">
        <f t="shared" si="17"/>
        <v>0</v>
      </c>
      <c r="BH26" s="186">
        <f t="shared" si="18"/>
        <v>405936</v>
      </c>
      <c r="BI26" s="233">
        <f t="shared" si="19"/>
        <v>2</v>
      </c>
      <c r="BJ26" s="233">
        <f t="shared" si="20"/>
        <v>811872</v>
      </c>
      <c r="BK26" s="233">
        <f t="shared" si="21"/>
        <v>0</v>
      </c>
      <c r="BL26" s="233">
        <f t="shared" si="22"/>
        <v>0</v>
      </c>
      <c r="BM26" s="233">
        <f t="shared" si="23"/>
        <v>270624</v>
      </c>
      <c r="BN26" s="233">
        <f t="shared" si="24"/>
        <v>202968</v>
      </c>
      <c r="BO26" s="233"/>
      <c r="BP26" s="233"/>
    </row>
    <row r="27" spans="1:68" s="198" customFormat="1" hidden="1" outlineLevel="1">
      <c r="A27" s="176" t="s">
        <v>234</v>
      </c>
      <c r="B27" s="176" t="s">
        <v>157</v>
      </c>
      <c r="C27" s="176"/>
      <c r="D27" s="176"/>
      <c r="E27" s="176"/>
      <c r="F27" s="176" t="s">
        <v>214</v>
      </c>
      <c r="G27" s="176">
        <f>_xlfn.XLOOKUP(AN27,[2]ySQL_0_24102024094604!$B:$B,[2]ySQL_0_24102024094604!$D:$D,0)</f>
        <v>0</v>
      </c>
      <c r="H27" s="176" t="s">
        <v>235</v>
      </c>
      <c r="I27" s="177">
        <v>60</v>
      </c>
      <c r="J27" s="178">
        <v>32000</v>
      </c>
      <c r="K27" s="178">
        <f>_xlfn.XLOOKUP(AP27,'[3]Main Data Table'!$B:$B,'[3]Main Data Table'!$AB:$AB,0)</f>
        <v>10410057.23</v>
      </c>
      <c r="L27" s="178">
        <v>162000</v>
      </c>
      <c r="M27" s="190">
        <f>Q27/(K27/L27)</f>
        <v>0.11671405575932649</v>
      </c>
      <c r="N27" s="177">
        <v>2.73</v>
      </c>
      <c r="O27" s="177">
        <v>5.94</v>
      </c>
      <c r="P27" s="177">
        <v>7</v>
      </c>
      <c r="Q27" s="177">
        <v>7.5</v>
      </c>
      <c r="R27" s="177">
        <v>3.5</v>
      </c>
      <c r="S27" s="177">
        <v>3</v>
      </c>
      <c r="T27" s="179"/>
      <c r="U27" s="177"/>
      <c r="V27" s="177">
        <v>0</v>
      </c>
      <c r="W27" s="177">
        <v>0</v>
      </c>
      <c r="X27" s="180">
        <v>38609.760000000002</v>
      </c>
      <c r="Y27" s="180"/>
      <c r="Z27" s="332">
        <v>32000</v>
      </c>
      <c r="AA27" s="180"/>
      <c r="AB27" s="180">
        <v>0</v>
      </c>
      <c r="AC27" s="180">
        <f>SUM(X27:AB27)</f>
        <v>70609.760000000009</v>
      </c>
      <c r="AD27" s="181">
        <v>1286992</v>
      </c>
      <c r="AE27" s="177" t="s">
        <v>161</v>
      </c>
      <c r="AF27" s="182">
        <v>45520</v>
      </c>
      <c r="AG27" s="177"/>
      <c r="AH27" s="177"/>
      <c r="AI27" s="183"/>
      <c r="AJ27" s="183"/>
      <c r="AK27" s="177"/>
      <c r="AL27" s="177"/>
      <c r="AM27" s="177"/>
      <c r="AN27" s="177" t="s">
        <v>236</v>
      </c>
      <c r="AO27" s="177"/>
      <c r="AP27" s="177" t="s">
        <v>236</v>
      </c>
      <c r="AQ27" s="177"/>
      <c r="AR27" s="177" t="str">
        <f t="shared" si="2"/>
        <v>Renewal</v>
      </c>
      <c r="AS27" s="182" t="str">
        <f t="shared" si="3"/>
        <v>Q3 2024</v>
      </c>
      <c r="AT27" s="182" t="str">
        <f t="shared" si="4"/>
        <v>2H2024</v>
      </c>
      <c r="AU27" s="184" t="str">
        <f t="shared" si="5"/>
        <v>20-50K</v>
      </c>
      <c r="AV27" s="179">
        <f t="shared" si="6"/>
        <v>32000</v>
      </c>
      <c r="AW27" s="233">
        <f t="shared" si="7"/>
        <v>87360</v>
      </c>
      <c r="AX27" s="233">
        <f t="shared" si="8"/>
        <v>190080</v>
      </c>
      <c r="AY27" s="198">
        <f t="shared" si="9"/>
        <v>224000</v>
      </c>
      <c r="AZ27" s="233">
        <f>IFERROR(Q27*AV27,"")</f>
        <v>240000</v>
      </c>
      <c r="BA27" s="233">
        <f t="shared" si="11"/>
        <v>240000</v>
      </c>
      <c r="BB27" s="233">
        <f t="shared" si="12"/>
        <v>240000</v>
      </c>
      <c r="BC27" s="233">
        <f t="shared" si="13"/>
        <v>0</v>
      </c>
      <c r="BD27" s="233">
        <f t="shared" si="14"/>
        <v>0</v>
      </c>
      <c r="BE27" s="233">
        <f t="shared" si="15"/>
        <v>0</v>
      </c>
      <c r="BF27" s="233">
        <f t="shared" si="16"/>
        <v>0</v>
      </c>
      <c r="BG27" s="233">
        <f t="shared" si="17"/>
        <v>0</v>
      </c>
      <c r="BH27" s="186" t="str">
        <f t="shared" si="18"/>
        <v/>
      </c>
      <c r="BI27" s="233">
        <f t="shared" si="19"/>
        <v>0</v>
      </c>
      <c r="BJ27" s="233">
        <f t="shared" si="20"/>
        <v>0</v>
      </c>
      <c r="BK27" s="233">
        <f t="shared" si="21"/>
        <v>0</v>
      </c>
      <c r="BL27" s="233">
        <f t="shared" si="22"/>
        <v>0</v>
      </c>
      <c r="BM27" s="233">
        <f t="shared" si="23"/>
        <v>112000</v>
      </c>
      <c r="BN27" s="233">
        <f t="shared" si="24"/>
        <v>96000</v>
      </c>
      <c r="BO27" s="233"/>
      <c r="BP27" s="233"/>
    </row>
    <row r="28" spans="1:68" s="198" customFormat="1" hidden="1" outlineLevel="1">
      <c r="A28" s="176" t="s">
        <v>237</v>
      </c>
      <c r="B28" s="176" t="s">
        <v>238</v>
      </c>
      <c r="C28" s="176"/>
      <c r="D28" s="176"/>
      <c r="E28" s="176"/>
      <c r="F28" s="176" t="s">
        <v>181</v>
      </c>
      <c r="G28" s="176">
        <f>_xlfn.XLOOKUP(AN28,[2]ySQL_0_24102024094604!$B:$B,[2]ySQL_0_24102024094604!$D:$D,0)</f>
        <v>0</v>
      </c>
      <c r="H28" s="176" t="s">
        <v>239</v>
      </c>
      <c r="I28" s="177">
        <v>60</v>
      </c>
      <c r="J28" s="194">
        <v>20000</v>
      </c>
      <c r="K28" s="194"/>
      <c r="L28" s="194"/>
      <c r="M28" s="194"/>
      <c r="N28" s="177">
        <v>3.89</v>
      </c>
      <c r="O28" s="177">
        <v>5.75</v>
      </c>
      <c r="P28" s="177">
        <v>9.1</v>
      </c>
      <c r="Q28" s="177">
        <v>9</v>
      </c>
      <c r="R28" s="179">
        <v>5</v>
      </c>
      <c r="S28" s="179">
        <v>3</v>
      </c>
      <c r="T28" s="179">
        <v>8.4118923310000007</v>
      </c>
      <c r="U28" s="197">
        <v>14.38</v>
      </c>
      <c r="V28" s="177">
        <v>0</v>
      </c>
      <c r="W28" s="177">
        <f>1-$W$3</f>
        <v>8.9999999999999969E-2</v>
      </c>
      <c r="X28" s="180">
        <v>29966.71</v>
      </c>
      <c r="Y28" s="180">
        <f>Z28/J28</f>
        <v>2.702944</v>
      </c>
      <c r="Z28" s="180">
        <v>54058.879999999997</v>
      </c>
      <c r="AA28" s="180">
        <v>0</v>
      </c>
      <c r="AB28" s="180">
        <v>0</v>
      </c>
      <c r="AC28" s="180">
        <v>84025.59</v>
      </c>
      <c r="AD28" s="195">
        <v>998890.46</v>
      </c>
      <c r="AE28" s="177" t="s">
        <v>147</v>
      </c>
      <c r="AF28" s="182">
        <v>44859</v>
      </c>
      <c r="AG28" s="197">
        <v>9.7579237637660459</v>
      </c>
      <c r="AH28" s="197">
        <v>8.550639064377231</v>
      </c>
      <c r="AI28" s="196">
        <f>AG28/Q28-1</f>
        <v>8.4213751529560676E-2</v>
      </c>
      <c r="AJ28" s="196">
        <f>AH28/Q28-1</f>
        <v>-4.9928992846974385E-2</v>
      </c>
      <c r="AK28" s="177"/>
      <c r="AL28" s="177"/>
      <c r="AM28" s="177"/>
      <c r="AN28" s="177" t="s">
        <v>240</v>
      </c>
      <c r="AO28" s="177"/>
      <c r="AP28" s="196">
        <f>AG28/O28-1</f>
        <v>0.69703021978539925</v>
      </c>
      <c r="AQ28" s="196">
        <f>AH28/O28-1</f>
        <v>0.48706766336995311</v>
      </c>
      <c r="AR28" s="177" t="str">
        <f t="shared" si="2"/>
        <v>New Lease</v>
      </c>
      <c r="AS28" s="182" t="str">
        <f t="shared" si="3"/>
        <v>Q4 2022</v>
      </c>
      <c r="AT28" s="182" t="str">
        <f t="shared" si="4"/>
        <v>2H2022</v>
      </c>
      <c r="AU28" s="184" t="str">
        <f t="shared" si="5"/>
        <v>20-50K</v>
      </c>
      <c r="AV28" s="179">
        <f t="shared" si="6"/>
        <v>20000</v>
      </c>
      <c r="AW28" s="233">
        <f t="shared" si="7"/>
        <v>77800</v>
      </c>
      <c r="AX28" s="233">
        <f t="shared" si="8"/>
        <v>115000</v>
      </c>
      <c r="AY28" s="233">
        <f>J28*P28</f>
        <v>182000</v>
      </c>
      <c r="AZ28" s="233">
        <f>Q28*AV28</f>
        <v>180000</v>
      </c>
      <c r="BA28" s="233">
        <f t="shared" si="11"/>
        <v>180000</v>
      </c>
      <c r="BB28" s="233">
        <f t="shared" si="12"/>
        <v>180000</v>
      </c>
      <c r="BC28" s="233">
        <f t="shared" si="13"/>
        <v>195158.4752753209</v>
      </c>
      <c r="BD28" s="233">
        <f t="shared" si="14"/>
        <v>171012.78128754461</v>
      </c>
      <c r="BE28" s="233">
        <f t="shared" si="15"/>
        <v>0</v>
      </c>
      <c r="BF28" s="233">
        <f t="shared" si="16"/>
        <v>20000</v>
      </c>
      <c r="BG28" s="233">
        <f t="shared" si="17"/>
        <v>1799.9999999999993</v>
      </c>
      <c r="BH28" s="186" t="str">
        <f t="shared" si="18"/>
        <v/>
      </c>
      <c r="BI28" s="233">
        <f t="shared" si="19"/>
        <v>0</v>
      </c>
      <c r="BJ28" s="233">
        <f t="shared" si="20"/>
        <v>0</v>
      </c>
      <c r="BK28" s="233">
        <f t="shared" si="21"/>
        <v>168237.84662000003</v>
      </c>
      <c r="BL28" s="233">
        <f t="shared" si="22"/>
        <v>287600</v>
      </c>
      <c r="BM28" s="233">
        <f t="shared" si="23"/>
        <v>100000</v>
      </c>
      <c r="BN28" s="233">
        <f t="shared" si="24"/>
        <v>60000</v>
      </c>
      <c r="BO28" s="233"/>
      <c r="BP28" s="233"/>
    </row>
    <row r="29" spans="1:68" s="198" customFormat="1" hidden="1" outlineLevel="1">
      <c r="A29" s="176" t="s">
        <v>241</v>
      </c>
      <c r="B29" s="176" t="s">
        <v>157</v>
      </c>
      <c r="C29" s="176"/>
      <c r="D29" s="176"/>
      <c r="E29" s="176"/>
      <c r="F29" s="176" t="s">
        <v>207</v>
      </c>
      <c r="G29" s="176" t="str">
        <f>_xlfn.XLOOKUP(AN29,[2]ySQL_0_24102024094604!$B:$B,[2]ySQL_0_24102024094604!$D:$D,0)</f>
        <v>Yes</v>
      </c>
      <c r="H29" s="176" t="s">
        <v>242</v>
      </c>
      <c r="I29" s="177">
        <v>62</v>
      </c>
      <c r="J29" s="178">
        <v>17901</v>
      </c>
      <c r="K29" s="178">
        <f>_xlfn.XLOOKUP(AP29,'[3]Main Data Table'!$B:$B,'[3]Main Data Table'!$AB:$AB,0)</f>
        <v>10115300.140000001</v>
      </c>
      <c r="L29" s="178">
        <v>81311</v>
      </c>
      <c r="M29" s="190">
        <f>Q29/(K29/L29)</f>
        <v>0.1024898159868146</v>
      </c>
      <c r="N29" s="177">
        <v>10.09</v>
      </c>
      <c r="O29" s="177">
        <v>13.11</v>
      </c>
      <c r="P29" s="177">
        <v>9</v>
      </c>
      <c r="Q29" s="177">
        <v>12.75</v>
      </c>
      <c r="R29" s="177">
        <v>3.5</v>
      </c>
      <c r="S29" s="177">
        <v>4</v>
      </c>
      <c r="T29" s="179"/>
      <c r="U29" s="177"/>
      <c r="V29" s="177">
        <v>0</v>
      </c>
      <c r="W29" s="177">
        <v>0</v>
      </c>
      <c r="X29" s="180">
        <v>49242.3</v>
      </c>
      <c r="Y29" s="180"/>
      <c r="Z29" s="332">
        <v>110000</v>
      </c>
      <c r="AA29" s="180"/>
      <c r="AB29" s="180">
        <v>38039.629999999997</v>
      </c>
      <c r="AC29" s="180">
        <f>SUM(X29:AB29)</f>
        <v>197281.93</v>
      </c>
      <c r="AD29" s="181">
        <v>1231057.74</v>
      </c>
      <c r="AE29" s="177" t="s">
        <v>161</v>
      </c>
      <c r="AF29" s="182">
        <v>45497</v>
      </c>
      <c r="AG29" s="177"/>
      <c r="AH29" s="177"/>
      <c r="AI29" s="183"/>
      <c r="AJ29" s="183"/>
      <c r="AK29" s="177"/>
      <c r="AL29" s="177"/>
      <c r="AM29" s="177"/>
      <c r="AN29" s="177" t="s">
        <v>209</v>
      </c>
      <c r="AO29" s="177"/>
      <c r="AP29" s="177" t="s">
        <v>209</v>
      </c>
      <c r="AQ29" s="177"/>
      <c r="AR29" s="177" t="str">
        <f t="shared" si="2"/>
        <v>Renewal</v>
      </c>
      <c r="AS29" s="182" t="str">
        <f t="shared" si="3"/>
        <v>Q3 2024</v>
      </c>
      <c r="AT29" s="182" t="str">
        <f t="shared" si="4"/>
        <v>2H2024</v>
      </c>
      <c r="AU29" s="184" t="str">
        <f t="shared" si="5"/>
        <v>&lt; 20K</v>
      </c>
      <c r="AV29" s="179">
        <f t="shared" si="6"/>
        <v>17901</v>
      </c>
      <c r="AW29" s="233">
        <f t="shared" si="7"/>
        <v>180621.09</v>
      </c>
      <c r="AX29" s="233">
        <f t="shared" si="8"/>
        <v>234682.11</v>
      </c>
      <c r="AY29" s="198">
        <f t="shared" ref="AY29:AY43" si="25">IF(P29="","",J29*P29)</f>
        <v>161109</v>
      </c>
      <c r="AZ29" s="233">
        <f>IFERROR(Q29*AV29,"")</f>
        <v>228237.75</v>
      </c>
      <c r="BA29" s="233">
        <f t="shared" si="11"/>
        <v>228237.75</v>
      </c>
      <c r="BB29" s="233">
        <f t="shared" si="12"/>
        <v>228237.75</v>
      </c>
      <c r="BC29" s="233">
        <f t="shared" si="13"/>
        <v>0</v>
      </c>
      <c r="BD29" s="233">
        <f t="shared" si="14"/>
        <v>0</v>
      </c>
      <c r="BE29" s="233">
        <f t="shared" si="15"/>
        <v>0</v>
      </c>
      <c r="BF29" s="233">
        <f t="shared" si="16"/>
        <v>0</v>
      </c>
      <c r="BG29" s="233">
        <f t="shared" si="17"/>
        <v>0</v>
      </c>
      <c r="BH29" s="186">
        <f t="shared" si="18"/>
        <v>228237.75</v>
      </c>
      <c r="BI29" s="233">
        <f t="shared" si="19"/>
        <v>2.000000262883769</v>
      </c>
      <c r="BJ29" s="233">
        <f t="shared" si="20"/>
        <v>456475.55999999994</v>
      </c>
      <c r="BK29" s="233">
        <f t="shared" si="21"/>
        <v>0</v>
      </c>
      <c r="BL29" s="233">
        <f t="shared" si="22"/>
        <v>0</v>
      </c>
      <c r="BM29" s="233">
        <f t="shared" si="23"/>
        <v>62653.5</v>
      </c>
      <c r="BN29" s="233">
        <f t="shared" si="24"/>
        <v>71604</v>
      </c>
      <c r="BO29" s="233"/>
      <c r="BP29" s="233"/>
    </row>
    <row r="30" spans="1:68" s="198" customFormat="1" hidden="1" outlineLevel="1">
      <c r="A30" s="176" t="s">
        <v>243</v>
      </c>
      <c r="B30" s="176" t="s">
        <v>157</v>
      </c>
      <c r="C30" s="176"/>
      <c r="D30" s="176"/>
      <c r="E30" s="176"/>
      <c r="F30" s="176" t="s">
        <v>244</v>
      </c>
      <c r="G30" s="176">
        <f>_xlfn.XLOOKUP(AN30,[2]ySQL_0_24102024094604!$B:$B,[2]ySQL_0_24102024094604!$D:$D,0)</f>
        <v>0</v>
      </c>
      <c r="H30" s="176" t="s">
        <v>245</v>
      </c>
      <c r="I30" s="177">
        <v>24</v>
      </c>
      <c r="J30" s="178">
        <v>8923</v>
      </c>
      <c r="K30" s="178">
        <f>_xlfn.XLOOKUP(AP30,'[3]Main Data Table'!$B:$B,'[3]Main Data Table'!$AB:$AB,0)</f>
        <v>2774100.31</v>
      </c>
      <c r="L30" s="178">
        <v>25334</v>
      </c>
      <c r="M30" s="190">
        <f>Q30/(K30/L30)</f>
        <v>7.5798340543785175E-2</v>
      </c>
      <c r="N30" s="177">
        <v>6.28</v>
      </c>
      <c r="O30" s="177">
        <v>8.5</v>
      </c>
      <c r="P30" s="177">
        <v>7.22</v>
      </c>
      <c r="Q30" s="177">
        <v>8.3000000000000007</v>
      </c>
      <c r="R30" s="177">
        <v>10.24</v>
      </c>
      <c r="S30" s="177">
        <v>0</v>
      </c>
      <c r="T30" s="179"/>
      <c r="U30" s="177"/>
      <c r="V30" s="177">
        <v>0</v>
      </c>
      <c r="W30" s="177">
        <v>0</v>
      </c>
      <c r="X30" s="180">
        <v>7006.79</v>
      </c>
      <c r="Y30" s="180"/>
      <c r="Z30" s="180"/>
      <c r="AA30" s="180"/>
      <c r="AB30" s="180">
        <v>0</v>
      </c>
      <c r="AC30" s="180">
        <f>SUM(X30:AB30)</f>
        <v>7006.79</v>
      </c>
      <c r="AD30" s="181">
        <v>155706.35</v>
      </c>
      <c r="AE30" s="177" t="s">
        <v>147</v>
      </c>
      <c r="AF30" s="182">
        <v>45497</v>
      </c>
      <c r="AG30" s="177"/>
      <c r="AH30" s="177"/>
      <c r="AI30" s="183"/>
      <c r="AJ30" s="183"/>
      <c r="AK30" s="177"/>
      <c r="AL30" s="177"/>
      <c r="AM30" s="177"/>
      <c r="AN30" s="177" t="s">
        <v>246</v>
      </c>
      <c r="AO30" s="177"/>
      <c r="AP30" s="177" t="s">
        <v>246</v>
      </c>
      <c r="AQ30" s="177"/>
      <c r="AR30" s="177" t="str">
        <f t="shared" si="2"/>
        <v>Renewal</v>
      </c>
      <c r="AS30" s="182" t="str">
        <f t="shared" si="3"/>
        <v>Q3 2024</v>
      </c>
      <c r="AT30" s="182" t="str">
        <f t="shared" si="4"/>
        <v>2H2024</v>
      </c>
      <c r="AU30" s="184" t="str">
        <f t="shared" si="5"/>
        <v>&lt; 20K</v>
      </c>
      <c r="AV30" s="179">
        <f t="shared" si="6"/>
        <v>8923</v>
      </c>
      <c r="AW30" s="233">
        <f t="shared" si="7"/>
        <v>56036.44</v>
      </c>
      <c r="AX30" s="233">
        <f t="shared" si="8"/>
        <v>75845.5</v>
      </c>
      <c r="AY30" s="198">
        <f t="shared" si="25"/>
        <v>64424.06</v>
      </c>
      <c r="AZ30" s="233">
        <f>IFERROR(Q30*AV30,"")</f>
        <v>74060.900000000009</v>
      </c>
      <c r="BA30" s="233">
        <f t="shared" si="11"/>
        <v>74060.900000000009</v>
      </c>
      <c r="BB30" s="233">
        <f t="shared" si="12"/>
        <v>74060.900000000009</v>
      </c>
      <c r="BC30" s="233">
        <f t="shared" si="13"/>
        <v>0</v>
      </c>
      <c r="BD30" s="233">
        <f t="shared" si="14"/>
        <v>0</v>
      </c>
      <c r="BE30" s="233">
        <f t="shared" si="15"/>
        <v>0</v>
      </c>
      <c r="BF30" s="233">
        <f t="shared" si="16"/>
        <v>0</v>
      </c>
      <c r="BG30" s="233">
        <f t="shared" si="17"/>
        <v>0</v>
      </c>
      <c r="BH30" s="186" t="str">
        <f t="shared" si="18"/>
        <v/>
      </c>
      <c r="BI30" s="233">
        <f t="shared" si="19"/>
        <v>0</v>
      </c>
      <c r="BJ30" s="233">
        <f t="shared" si="20"/>
        <v>0</v>
      </c>
      <c r="BK30" s="233">
        <f t="shared" si="21"/>
        <v>0</v>
      </c>
      <c r="BL30" s="233">
        <f t="shared" si="22"/>
        <v>0</v>
      </c>
      <c r="BM30" s="233">
        <f t="shared" si="23"/>
        <v>91371.520000000004</v>
      </c>
      <c r="BN30" s="233">
        <f t="shared" si="24"/>
        <v>0</v>
      </c>
      <c r="BO30" s="233"/>
      <c r="BP30" s="233"/>
    </row>
    <row r="31" spans="1:68" s="198" customFormat="1" hidden="1" outlineLevel="1">
      <c r="A31" s="176" t="s">
        <v>247</v>
      </c>
      <c r="B31" s="176" t="s">
        <v>238</v>
      </c>
      <c r="C31" s="176"/>
      <c r="D31" s="176"/>
      <c r="E31" s="176"/>
      <c r="F31" s="176" t="s">
        <v>185</v>
      </c>
      <c r="G31" s="176">
        <f>_xlfn.XLOOKUP(AN31,[2]ySQL_0_24102024094604!$B:$B,[2]ySQL_0_24102024094604!$D:$D,0)</f>
        <v>0</v>
      </c>
      <c r="H31" s="176" t="s">
        <v>186</v>
      </c>
      <c r="I31" s="177">
        <v>47</v>
      </c>
      <c r="J31" s="194">
        <v>111087</v>
      </c>
      <c r="K31" s="194"/>
      <c r="L31" s="194"/>
      <c r="M31" s="194"/>
      <c r="N31" s="177"/>
      <c r="O31" s="177">
        <v>3.25</v>
      </c>
      <c r="P31" s="177" t="s">
        <v>167</v>
      </c>
      <c r="Q31" s="177">
        <v>3.35</v>
      </c>
      <c r="R31" s="177">
        <v>4.3</v>
      </c>
      <c r="S31" s="177">
        <v>4</v>
      </c>
      <c r="T31" s="179">
        <v>14.108159390400001</v>
      </c>
      <c r="U31" s="177">
        <v>10.35</v>
      </c>
      <c r="V31" s="177">
        <v>0</v>
      </c>
      <c r="W31" s="177">
        <f>6-$W$3</f>
        <v>5.09</v>
      </c>
      <c r="X31" s="180">
        <v>13460.42</v>
      </c>
      <c r="Y31" s="180">
        <f>Z31/J31</f>
        <v>7.0665334377559924E-2</v>
      </c>
      <c r="Z31" s="180">
        <v>7850</v>
      </c>
      <c r="AA31" s="180">
        <v>0</v>
      </c>
      <c r="AB31" s="180">
        <v>17456.009999999998</v>
      </c>
      <c r="AC31" s="180">
        <v>38766.43</v>
      </c>
      <c r="AD31" s="195">
        <v>274780.21000000002</v>
      </c>
      <c r="AE31" s="177" t="s">
        <v>147</v>
      </c>
      <c r="AF31" s="182">
        <v>44287</v>
      </c>
      <c r="AG31" s="177">
        <v>3.8456360537909835</v>
      </c>
      <c r="AH31" s="177" t="s">
        <v>167</v>
      </c>
      <c r="AI31" s="196">
        <f>AG31/Q31-1</f>
        <v>0.14795106083312937</v>
      </c>
      <c r="AJ31" s="196"/>
      <c r="AK31" s="177"/>
      <c r="AL31" s="177"/>
      <c r="AM31" s="177"/>
      <c r="AN31" s="177" t="s">
        <v>187</v>
      </c>
      <c r="AO31" s="177"/>
      <c r="AP31" s="196">
        <f>AG31/O31-1</f>
        <v>0.18327263193568721</v>
      </c>
      <c r="AQ31" s="196"/>
      <c r="AR31" s="177" t="str">
        <f t="shared" si="2"/>
        <v>New Lease</v>
      </c>
      <c r="AS31" s="182" t="str">
        <f t="shared" si="3"/>
        <v>Q2 2021</v>
      </c>
      <c r="AT31" s="182" t="str">
        <f t="shared" si="4"/>
        <v>1H2021</v>
      </c>
      <c r="AU31" s="184" t="str">
        <f t="shared" si="5"/>
        <v>&gt;100K</v>
      </c>
      <c r="AV31" s="179">
        <v>0</v>
      </c>
      <c r="AW31" s="233">
        <f t="shared" si="7"/>
        <v>0</v>
      </c>
      <c r="AX31" s="233">
        <f t="shared" si="8"/>
        <v>361032.75</v>
      </c>
      <c r="AY31" s="198" t="str">
        <f t="shared" si="25"/>
        <v/>
      </c>
      <c r="AZ31" s="233">
        <f>Q31*AV31</f>
        <v>0</v>
      </c>
      <c r="BA31" s="233">
        <f t="shared" si="11"/>
        <v>372141.45</v>
      </c>
      <c r="BB31" s="233" t="str">
        <f t="shared" si="12"/>
        <v/>
      </c>
      <c r="BC31" s="233">
        <f t="shared" si="13"/>
        <v>427200.17230747896</v>
      </c>
      <c r="BD31" s="233"/>
      <c r="BE31" s="233">
        <f t="shared" si="15"/>
        <v>0</v>
      </c>
      <c r="BF31" s="233">
        <f t="shared" si="16"/>
        <v>111087</v>
      </c>
      <c r="BG31" s="233">
        <f t="shared" si="17"/>
        <v>565432.82999999996</v>
      </c>
      <c r="BH31" s="186">
        <f t="shared" si="18"/>
        <v>372141.45</v>
      </c>
      <c r="BI31" s="233">
        <f t="shared" si="19"/>
        <v>0.56288306502809604</v>
      </c>
      <c r="BJ31" s="233">
        <f t="shared" si="20"/>
        <v>209472.11999999997</v>
      </c>
      <c r="BK31" s="233">
        <f t="shared" si="21"/>
        <v>1567233.1022013649</v>
      </c>
      <c r="BL31" s="233">
        <f t="shared" si="22"/>
        <v>1149750.45</v>
      </c>
      <c r="BM31" s="233">
        <f t="shared" si="23"/>
        <v>477674.1</v>
      </c>
      <c r="BN31" s="233">
        <f t="shared" si="24"/>
        <v>444348</v>
      </c>
    </row>
    <row r="32" spans="1:68" s="198" customFormat="1" hidden="1" outlineLevel="1">
      <c r="A32" s="186" t="s">
        <v>248</v>
      </c>
      <c r="B32" s="176" t="s">
        <v>157</v>
      </c>
      <c r="C32" s="176"/>
      <c r="D32" s="176"/>
      <c r="E32" s="176"/>
      <c r="F32" s="176" t="s">
        <v>173</v>
      </c>
      <c r="G32" s="176">
        <f>_xlfn.XLOOKUP(AN32,[2]ySQL_0_24102024094604!$B:$B,[2]ySQL_0_24102024094604!$D:$D,0)</f>
        <v>0</v>
      </c>
      <c r="H32" s="176" t="s">
        <v>249</v>
      </c>
      <c r="I32" s="177">
        <v>63</v>
      </c>
      <c r="J32" s="178">
        <v>151799</v>
      </c>
      <c r="K32" s="178">
        <f>_xlfn.XLOOKUP(AN32,'[3]Main Data Table'!$B:$B,'[3]Main Data Table'!$AB:$AB,0)</f>
        <v>27968334.659775093</v>
      </c>
      <c r="L32" s="178">
        <v>151799</v>
      </c>
      <c r="M32" s="190">
        <f>Q32/(K32/L32)</f>
        <v>8.2769845904676231E-2</v>
      </c>
      <c r="N32" s="177">
        <v>8.11</v>
      </c>
      <c r="O32" s="177">
        <v>13.98</v>
      </c>
      <c r="P32" s="177">
        <v>14</v>
      </c>
      <c r="Q32" s="177">
        <v>15.25</v>
      </c>
      <c r="R32" s="177">
        <v>3.75</v>
      </c>
      <c r="S32" s="177">
        <v>2.91</v>
      </c>
      <c r="T32" s="179">
        <f>AC32/AD32*100</f>
        <v>8.7488518128149249</v>
      </c>
      <c r="U32" s="185"/>
      <c r="V32" s="177">
        <v>0</v>
      </c>
      <c r="W32" s="177">
        <v>6</v>
      </c>
      <c r="X32" s="180">
        <v>600381</v>
      </c>
      <c r="Y32" s="180"/>
      <c r="Z32" s="180">
        <v>0</v>
      </c>
      <c r="AA32" s="180">
        <v>0</v>
      </c>
      <c r="AB32" s="187">
        <v>450148.23</v>
      </c>
      <c r="AC32" s="180">
        <f>SUM(X32:AB32)</f>
        <v>1050529.23</v>
      </c>
      <c r="AD32" s="187">
        <v>12007624</v>
      </c>
      <c r="AE32" s="177" t="s">
        <v>147</v>
      </c>
      <c r="AF32" s="182">
        <v>45473</v>
      </c>
      <c r="AG32" s="177"/>
      <c r="AH32" s="177"/>
      <c r="AI32" s="183"/>
      <c r="AJ32" s="183"/>
      <c r="AK32" s="177"/>
      <c r="AL32" s="177"/>
      <c r="AM32" s="177"/>
      <c r="AN32" s="177" t="s">
        <v>250</v>
      </c>
      <c r="AO32" s="177"/>
      <c r="AP32" s="183"/>
      <c r="AQ32" s="183"/>
      <c r="AR32" s="177" t="str">
        <f t="shared" si="2"/>
        <v>Renewal</v>
      </c>
      <c r="AS32" s="182" t="str">
        <f t="shared" si="3"/>
        <v>Q2 2024</v>
      </c>
      <c r="AT32" s="182" t="str">
        <f t="shared" si="4"/>
        <v>1H2024</v>
      </c>
      <c r="AU32" s="184" t="str">
        <f t="shared" si="5"/>
        <v>&gt;100K</v>
      </c>
      <c r="AV32" s="179">
        <f t="shared" ref="AV32:AV46" si="26">IF(N32="","",J32)</f>
        <v>151799</v>
      </c>
      <c r="AW32" s="233">
        <f t="shared" si="7"/>
        <v>1231089.8899999999</v>
      </c>
      <c r="AX32" s="233">
        <f t="shared" si="8"/>
        <v>2122150.02</v>
      </c>
      <c r="AY32" s="198">
        <f t="shared" si="25"/>
        <v>2125186</v>
      </c>
      <c r="AZ32" s="233">
        <f>IFERROR(Q32*AV32,"")</f>
        <v>2314934.75</v>
      </c>
      <c r="BA32" s="233">
        <f t="shared" si="11"/>
        <v>2314934.75</v>
      </c>
      <c r="BB32" s="233">
        <f t="shared" si="12"/>
        <v>2314934.75</v>
      </c>
      <c r="BC32" s="233">
        <f t="shared" si="13"/>
        <v>0</v>
      </c>
      <c r="BD32" s="233">
        <f t="shared" ref="BD32:BD59" si="27">AH32*J32</f>
        <v>0</v>
      </c>
      <c r="BE32" s="233">
        <f t="shared" si="15"/>
        <v>0</v>
      </c>
      <c r="BF32" s="233">
        <f t="shared" si="16"/>
        <v>0</v>
      </c>
      <c r="BG32" s="233">
        <f t="shared" si="17"/>
        <v>910794</v>
      </c>
      <c r="BH32" s="186">
        <f t="shared" si="18"/>
        <v>2314934.75</v>
      </c>
      <c r="BI32" s="233">
        <f t="shared" si="19"/>
        <v>2.3334475237369001</v>
      </c>
      <c r="BJ32" s="233">
        <f t="shared" si="20"/>
        <v>5401778.7599999998</v>
      </c>
      <c r="BK32" s="233">
        <f t="shared" si="21"/>
        <v>1328066.9563334929</v>
      </c>
      <c r="BL32" s="233">
        <f t="shared" si="22"/>
        <v>0</v>
      </c>
      <c r="BM32" s="233">
        <f t="shared" si="23"/>
        <v>569246.25</v>
      </c>
      <c r="BN32" s="233">
        <f t="shared" si="24"/>
        <v>441735.09</v>
      </c>
    </row>
    <row r="33" spans="1:66" s="198" customFormat="1" hidden="1" outlineLevel="1">
      <c r="A33" s="186" t="s">
        <v>251</v>
      </c>
      <c r="B33" s="176" t="s">
        <v>252</v>
      </c>
      <c r="C33" s="176"/>
      <c r="D33" s="176"/>
      <c r="E33" s="176"/>
      <c r="F33" s="176" t="s">
        <v>181</v>
      </c>
      <c r="G33" s="176">
        <f>_xlfn.XLOOKUP(AN33,[2]ySQL_0_24102024094604!$B:$B,[2]ySQL_0_24102024094604!$D:$D,0)</f>
        <v>0</v>
      </c>
      <c r="H33" s="176" t="s">
        <v>253</v>
      </c>
      <c r="I33" s="177">
        <v>60</v>
      </c>
      <c r="J33" s="178">
        <v>40791</v>
      </c>
      <c r="K33" s="178">
        <f>_xlfn.XLOOKUP(AN33,'[3]Main Data Table'!$B:$B,'[3]Main Data Table'!$AB:$AB,0)</f>
        <v>3610311.38</v>
      </c>
      <c r="L33" s="178">
        <v>40791</v>
      </c>
      <c r="M33" s="190">
        <f>Q33/(K33/L33)</f>
        <v>6.3384424752858853E-2</v>
      </c>
      <c r="N33" s="177">
        <v>5.51</v>
      </c>
      <c r="O33" s="177">
        <v>6.44</v>
      </c>
      <c r="P33" s="177">
        <v>5.39</v>
      </c>
      <c r="Q33" s="177">
        <v>5.61</v>
      </c>
      <c r="R33" s="177">
        <v>2</v>
      </c>
      <c r="S33" s="177">
        <v>2</v>
      </c>
      <c r="T33" s="179"/>
      <c r="U33" s="185"/>
      <c r="V33" s="177">
        <v>0</v>
      </c>
      <c r="W33" s="177">
        <v>0</v>
      </c>
      <c r="X33" s="180">
        <v>53657.53</v>
      </c>
      <c r="Y33" s="180"/>
      <c r="Z33" s="180">
        <v>0</v>
      </c>
      <c r="AA33" s="180">
        <v>0</v>
      </c>
      <c r="AB33" s="187">
        <v>0</v>
      </c>
      <c r="AC33" s="180">
        <f>SUM(X33:AB33)</f>
        <v>53657.53</v>
      </c>
      <c r="AD33" s="187">
        <v>1192389.6499999999</v>
      </c>
      <c r="AE33" s="177" t="s">
        <v>147</v>
      </c>
      <c r="AF33" s="182">
        <v>45473</v>
      </c>
      <c r="AG33" s="177"/>
      <c r="AH33" s="177"/>
      <c r="AI33" s="183"/>
      <c r="AJ33" s="183"/>
      <c r="AK33" s="177"/>
      <c r="AL33" s="177"/>
      <c r="AM33" s="177"/>
      <c r="AN33" s="177" t="s">
        <v>254</v>
      </c>
      <c r="AO33" s="177"/>
      <c r="AP33" s="183"/>
      <c r="AQ33" s="183"/>
      <c r="AR33" s="177" t="str">
        <f t="shared" si="2"/>
        <v>Renewal</v>
      </c>
      <c r="AS33" s="182" t="str">
        <f t="shared" si="3"/>
        <v>Q2 2024</v>
      </c>
      <c r="AT33" s="182" t="str">
        <f t="shared" si="4"/>
        <v>1H2024</v>
      </c>
      <c r="AU33" s="184" t="str">
        <f t="shared" si="5"/>
        <v>20-50K</v>
      </c>
      <c r="AV33" s="179">
        <f t="shared" si="26"/>
        <v>40791</v>
      </c>
      <c r="AW33" s="233">
        <f t="shared" si="7"/>
        <v>224758.41</v>
      </c>
      <c r="AX33" s="233">
        <f t="shared" si="8"/>
        <v>262694.04000000004</v>
      </c>
      <c r="AY33" s="198">
        <f t="shared" si="25"/>
        <v>219863.49</v>
      </c>
      <c r="AZ33" s="233">
        <f>IFERROR(Q33*AV33,"")</f>
        <v>228837.51</v>
      </c>
      <c r="BA33" s="233">
        <f t="shared" si="11"/>
        <v>228837.51</v>
      </c>
      <c r="BB33" s="233">
        <f t="shared" si="12"/>
        <v>228837.51</v>
      </c>
      <c r="BC33" s="233">
        <f t="shared" si="13"/>
        <v>0</v>
      </c>
      <c r="BD33" s="233">
        <f t="shared" si="27"/>
        <v>0</v>
      </c>
      <c r="BE33" s="233">
        <f t="shared" si="15"/>
        <v>0</v>
      </c>
      <c r="BF33" s="233">
        <f t="shared" si="16"/>
        <v>0</v>
      </c>
      <c r="BG33" s="233">
        <f t="shared" si="17"/>
        <v>0</v>
      </c>
      <c r="BH33" s="186" t="str">
        <f t="shared" si="18"/>
        <v/>
      </c>
      <c r="BI33" s="233">
        <f t="shared" si="19"/>
        <v>0</v>
      </c>
      <c r="BJ33" s="233">
        <f t="shared" si="20"/>
        <v>0</v>
      </c>
      <c r="BK33" s="233">
        <f t="shared" si="21"/>
        <v>0</v>
      </c>
      <c r="BL33" s="233">
        <f t="shared" si="22"/>
        <v>0</v>
      </c>
      <c r="BM33" s="233">
        <f t="shared" si="23"/>
        <v>81582</v>
      </c>
      <c r="BN33" s="233">
        <f t="shared" si="24"/>
        <v>81582</v>
      </c>
    </row>
    <row r="34" spans="1:66" s="198" customFormat="1" hidden="1" outlineLevel="1">
      <c r="A34" s="186" t="s">
        <v>255</v>
      </c>
      <c r="B34" s="176" t="s">
        <v>157</v>
      </c>
      <c r="C34" s="176"/>
      <c r="D34" s="176"/>
      <c r="E34" s="176"/>
      <c r="F34" s="176" t="s">
        <v>173</v>
      </c>
      <c r="G34" s="176">
        <f>_xlfn.XLOOKUP(AN34,[2]ySQL_0_24102024094604!$B:$B,[2]ySQL_0_24102024094604!$D:$D,0)</f>
        <v>0</v>
      </c>
      <c r="H34" s="176" t="s">
        <v>256</v>
      </c>
      <c r="I34" s="177">
        <v>88</v>
      </c>
      <c r="J34" s="178">
        <v>41000</v>
      </c>
      <c r="K34" s="178">
        <f>_xlfn.XLOOKUP(AN34,'[3]Main Data Table'!$B:$B,'[3]Main Data Table'!$AB:$AB,0)</f>
        <v>9072288.2200000007</v>
      </c>
      <c r="L34" s="178">
        <v>41000</v>
      </c>
      <c r="M34" s="190">
        <f>Q34/(K34/L34)</f>
        <v>7.7505253685602141E-2</v>
      </c>
      <c r="N34" s="177">
        <v>11.28</v>
      </c>
      <c r="O34" s="177">
        <v>16.579999999999998</v>
      </c>
      <c r="P34" s="177">
        <v>16</v>
      </c>
      <c r="Q34" s="177">
        <v>17.149999999999999</v>
      </c>
      <c r="R34" s="177">
        <v>3.75</v>
      </c>
      <c r="S34" s="177">
        <v>3</v>
      </c>
      <c r="T34" s="179"/>
      <c r="U34" s="177"/>
      <c r="V34" s="177">
        <v>0</v>
      </c>
      <c r="W34" s="177">
        <v>6</v>
      </c>
      <c r="X34" s="180">
        <v>417834</v>
      </c>
      <c r="Y34" s="180"/>
      <c r="Z34" s="180">
        <v>106500</v>
      </c>
      <c r="AA34" s="180">
        <v>0</v>
      </c>
      <c r="AB34" s="187"/>
      <c r="AC34" s="180">
        <f>SUM(X34:AB34)</f>
        <v>524334</v>
      </c>
      <c r="AD34" s="187">
        <v>5571131.25</v>
      </c>
      <c r="AE34" s="177" t="s">
        <v>161</v>
      </c>
      <c r="AF34" s="182">
        <v>45473</v>
      </c>
      <c r="AG34" s="177"/>
      <c r="AH34" s="177"/>
      <c r="AI34" s="183"/>
      <c r="AJ34" s="183"/>
      <c r="AK34" s="177"/>
      <c r="AL34" s="177"/>
      <c r="AM34" s="177"/>
      <c r="AN34" s="177" t="s">
        <v>257</v>
      </c>
      <c r="AO34" s="177"/>
      <c r="AP34" s="183"/>
      <c r="AQ34" s="183"/>
      <c r="AR34" s="177" t="str">
        <f t="shared" si="2"/>
        <v>Renewal</v>
      </c>
      <c r="AS34" s="182" t="str">
        <f t="shared" si="3"/>
        <v>Q2 2024</v>
      </c>
      <c r="AT34" s="182" t="str">
        <f t="shared" si="4"/>
        <v>1H2024</v>
      </c>
      <c r="AU34" s="184" t="str">
        <f t="shared" si="5"/>
        <v>20-50K</v>
      </c>
      <c r="AV34" s="179">
        <f t="shared" si="26"/>
        <v>41000</v>
      </c>
      <c r="AW34" s="233">
        <f t="shared" si="7"/>
        <v>462480</v>
      </c>
      <c r="AX34" s="233">
        <f t="shared" si="8"/>
        <v>679779.99999999988</v>
      </c>
      <c r="AY34" s="198">
        <f t="shared" si="25"/>
        <v>656000</v>
      </c>
      <c r="AZ34" s="233">
        <f>IFERROR(Q34*AV34,"")</f>
        <v>703149.99999999988</v>
      </c>
      <c r="BA34" s="233">
        <f t="shared" si="11"/>
        <v>703149.99999999988</v>
      </c>
      <c r="BB34" s="233">
        <f t="shared" si="12"/>
        <v>703149.99999999988</v>
      </c>
      <c r="BC34" s="233">
        <f t="shared" si="13"/>
        <v>0</v>
      </c>
      <c r="BD34" s="233">
        <f t="shared" si="27"/>
        <v>0</v>
      </c>
      <c r="BE34" s="233">
        <f t="shared" si="15"/>
        <v>0</v>
      </c>
      <c r="BF34" s="233">
        <f t="shared" si="16"/>
        <v>0</v>
      </c>
      <c r="BG34" s="233">
        <f t="shared" si="17"/>
        <v>246000</v>
      </c>
      <c r="BH34" s="186" t="str">
        <f t="shared" si="18"/>
        <v/>
      </c>
      <c r="BI34" s="233">
        <f t="shared" si="19"/>
        <v>0</v>
      </c>
      <c r="BJ34" s="233">
        <f t="shared" si="20"/>
        <v>0</v>
      </c>
      <c r="BK34" s="233">
        <f t="shared" si="21"/>
        <v>0</v>
      </c>
      <c r="BL34" s="233">
        <f t="shared" si="22"/>
        <v>0</v>
      </c>
      <c r="BM34" s="233">
        <f t="shared" si="23"/>
        <v>153750</v>
      </c>
      <c r="BN34" s="233">
        <f t="shared" si="24"/>
        <v>123000</v>
      </c>
    </row>
    <row r="35" spans="1:66" s="198" customFormat="1" hidden="1" outlineLevel="1">
      <c r="A35" s="186" t="s">
        <v>258</v>
      </c>
      <c r="B35" s="176" t="s">
        <v>157</v>
      </c>
      <c r="C35" s="176"/>
      <c r="D35" s="176"/>
      <c r="E35" s="176"/>
      <c r="F35" s="176" t="s">
        <v>158</v>
      </c>
      <c r="G35" s="176">
        <f>_xlfn.XLOOKUP(AN35,[2]ySQL_0_24102024094604!$B:$B,[2]ySQL_0_24102024094604!$D:$D,0)</f>
        <v>0</v>
      </c>
      <c r="H35" s="176" t="s">
        <v>259</v>
      </c>
      <c r="I35" s="177">
        <v>36</v>
      </c>
      <c r="J35" s="178">
        <v>30000</v>
      </c>
      <c r="K35" s="178">
        <f>_xlfn.XLOOKUP(AN35,'[3]Main Data Table'!$B:$B,'[3]Main Data Table'!$AB:$AB,0)</f>
        <v>2003199.3796734856</v>
      </c>
      <c r="L35" s="178">
        <v>30000</v>
      </c>
      <c r="M35" s="190">
        <f>Q35/(K35/L35)</f>
        <v>8.0870632071783799E-2</v>
      </c>
      <c r="N35" s="177">
        <v>4.3499999999999996</v>
      </c>
      <c r="O35" s="177">
        <v>4.62</v>
      </c>
      <c r="P35" s="177">
        <v>4.1500000000000004</v>
      </c>
      <c r="Q35" s="177">
        <v>5.4</v>
      </c>
      <c r="R35" s="177">
        <v>3</v>
      </c>
      <c r="S35" s="177">
        <v>3</v>
      </c>
      <c r="T35" s="179"/>
      <c r="U35" s="185"/>
      <c r="V35" s="177">
        <v>0</v>
      </c>
      <c r="W35" s="177">
        <v>0</v>
      </c>
      <c r="X35" s="180">
        <f>10200+10200</f>
        <v>20400</v>
      </c>
      <c r="Y35" s="180"/>
      <c r="Z35" s="180">
        <v>0</v>
      </c>
      <c r="AA35" s="180">
        <v>0</v>
      </c>
      <c r="AB35" s="180">
        <v>0</v>
      </c>
      <c r="AC35" s="180">
        <f>SUM(X35:AB35)</f>
        <v>20400</v>
      </c>
      <c r="AD35" s="187">
        <v>510000</v>
      </c>
      <c r="AE35" s="177" t="s">
        <v>161</v>
      </c>
      <c r="AF35" s="182">
        <v>45473</v>
      </c>
      <c r="AG35" s="177"/>
      <c r="AH35" s="177"/>
      <c r="AI35" s="183"/>
      <c r="AJ35" s="183"/>
      <c r="AK35" s="177"/>
      <c r="AL35" s="177"/>
      <c r="AM35" s="177"/>
      <c r="AN35" s="177" t="s">
        <v>260</v>
      </c>
      <c r="AO35" s="177"/>
      <c r="AP35" s="183"/>
      <c r="AQ35" s="183"/>
      <c r="AR35" s="177" t="str">
        <f t="shared" si="2"/>
        <v>Renewal</v>
      </c>
      <c r="AS35" s="182" t="str">
        <f t="shared" si="3"/>
        <v>Q2 2024</v>
      </c>
      <c r="AT35" s="182" t="str">
        <f t="shared" si="4"/>
        <v>1H2024</v>
      </c>
      <c r="AU35" s="184" t="str">
        <f t="shared" si="5"/>
        <v>20-50K</v>
      </c>
      <c r="AV35" s="179">
        <f t="shared" si="26"/>
        <v>30000</v>
      </c>
      <c r="AW35" s="233">
        <f t="shared" si="7"/>
        <v>130499.99999999999</v>
      </c>
      <c r="AX35" s="233">
        <f t="shared" si="8"/>
        <v>138600</v>
      </c>
      <c r="AY35" s="198">
        <f t="shared" si="25"/>
        <v>124500.00000000001</v>
      </c>
      <c r="AZ35" s="233">
        <f>IFERROR(Q35*AV35,"")</f>
        <v>162000</v>
      </c>
      <c r="BA35" s="233">
        <f t="shared" si="11"/>
        <v>162000</v>
      </c>
      <c r="BB35" s="233">
        <f t="shared" si="12"/>
        <v>162000</v>
      </c>
      <c r="BC35" s="233">
        <f t="shared" si="13"/>
        <v>0</v>
      </c>
      <c r="BD35" s="233">
        <f t="shared" si="27"/>
        <v>0</v>
      </c>
      <c r="BE35" s="233">
        <f t="shared" si="15"/>
        <v>0</v>
      </c>
      <c r="BF35" s="233">
        <f t="shared" si="16"/>
        <v>0</v>
      </c>
      <c r="BG35" s="233">
        <f t="shared" si="17"/>
        <v>0</v>
      </c>
      <c r="BH35" s="186" t="str">
        <f t="shared" si="18"/>
        <v/>
      </c>
      <c r="BI35" s="233">
        <f t="shared" si="19"/>
        <v>0</v>
      </c>
      <c r="BJ35" s="233">
        <f t="shared" si="20"/>
        <v>0</v>
      </c>
      <c r="BK35" s="233">
        <f t="shared" si="21"/>
        <v>0</v>
      </c>
      <c r="BL35" s="233">
        <f t="shared" si="22"/>
        <v>0</v>
      </c>
      <c r="BM35" s="233">
        <f t="shared" si="23"/>
        <v>90000</v>
      </c>
      <c r="BN35" s="233">
        <f t="shared" si="24"/>
        <v>90000</v>
      </c>
    </row>
    <row r="36" spans="1:66" s="198" customFormat="1" hidden="1" outlineLevel="1">
      <c r="A36" s="176" t="s">
        <v>261</v>
      </c>
      <c r="B36" s="176" t="s">
        <v>143</v>
      </c>
      <c r="C36" s="176"/>
      <c r="D36" s="176"/>
      <c r="E36" s="176"/>
      <c r="F36" s="176" t="s">
        <v>153</v>
      </c>
      <c r="G36" s="176">
        <f>_xlfn.XLOOKUP(AN36,[2]ySQL_0_24102024094604!$B:$B,[2]ySQL_0_24102024094604!$D:$D,0)</f>
        <v>0</v>
      </c>
      <c r="H36" s="176" t="s">
        <v>262</v>
      </c>
      <c r="I36" s="177">
        <v>61</v>
      </c>
      <c r="J36" s="194">
        <v>38164</v>
      </c>
      <c r="K36" s="194"/>
      <c r="L36" s="194"/>
      <c r="M36" s="194"/>
      <c r="N36" s="177">
        <v>4.5</v>
      </c>
      <c r="O36" s="177">
        <v>3.58</v>
      </c>
      <c r="P36" s="177" t="s">
        <v>167</v>
      </c>
      <c r="Q36" s="177">
        <v>4.75</v>
      </c>
      <c r="R36" s="177">
        <v>4</v>
      </c>
      <c r="S36" s="177">
        <v>3</v>
      </c>
      <c r="T36" s="179">
        <v>23.081333727499999</v>
      </c>
      <c r="U36" s="177">
        <v>17</v>
      </c>
      <c r="V36" s="177">
        <v>0</v>
      </c>
      <c r="W36" s="177">
        <f>9-$W$3</f>
        <v>8.09</v>
      </c>
      <c r="X36" s="180">
        <v>54531.57</v>
      </c>
      <c r="Y36" s="180">
        <f>Z36/J36</f>
        <v>5.8956084267896447</v>
      </c>
      <c r="Z36" s="180">
        <v>225000</v>
      </c>
      <c r="AA36" s="180">
        <v>0</v>
      </c>
      <c r="AB36" s="180">
        <v>0</v>
      </c>
      <c r="AC36" s="180">
        <v>279531.57</v>
      </c>
      <c r="AD36" s="195">
        <v>1211072</v>
      </c>
      <c r="AE36" s="177" t="s">
        <v>147</v>
      </c>
      <c r="AF36" s="182">
        <v>44630</v>
      </c>
      <c r="AG36" s="177">
        <v>5.3926647055106489</v>
      </c>
      <c r="AH36" s="177">
        <v>4.9277254347283801</v>
      </c>
      <c r="AI36" s="196">
        <f>AG36/Q36-1</f>
        <v>0.13529783273908391</v>
      </c>
      <c r="AJ36" s="196">
        <f>AH36/Q36-1</f>
        <v>3.7415880995448347E-2</v>
      </c>
      <c r="AK36" s="177"/>
      <c r="AL36" s="177"/>
      <c r="AM36" s="177"/>
      <c r="AN36" s="177" t="s">
        <v>263</v>
      </c>
      <c r="AO36" s="177"/>
      <c r="AP36" s="196">
        <f>AG36/O36-1</f>
        <v>0.50633092332699681</v>
      </c>
      <c r="AQ36" s="196">
        <f>AH36/O36-1</f>
        <v>0.37645961863921218</v>
      </c>
      <c r="AR36" s="177" t="str">
        <f t="shared" si="2"/>
        <v>New Lease</v>
      </c>
      <c r="AS36" s="182" t="str">
        <f t="shared" si="3"/>
        <v>Q1 2022</v>
      </c>
      <c r="AT36" s="182" t="str">
        <f t="shared" si="4"/>
        <v>1H2022</v>
      </c>
      <c r="AU36" s="184" t="str">
        <f t="shared" si="5"/>
        <v>20-50K</v>
      </c>
      <c r="AV36" s="179">
        <f t="shared" si="26"/>
        <v>38164</v>
      </c>
      <c r="AW36" s="233">
        <f t="shared" si="7"/>
        <v>171738</v>
      </c>
      <c r="AX36" s="233">
        <f t="shared" si="8"/>
        <v>136627.12</v>
      </c>
      <c r="AY36" s="198" t="str">
        <f t="shared" si="25"/>
        <v/>
      </c>
      <c r="AZ36" s="233">
        <f>Q36*AV36</f>
        <v>181279</v>
      </c>
      <c r="BA36" s="233">
        <f t="shared" si="11"/>
        <v>181279</v>
      </c>
      <c r="BB36" s="233">
        <f t="shared" si="12"/>
        <v>181279</v>
      </c>
      <c r="BC36" s="233">
        <f t="shared" si="13"/>
        <v>205805.6558211084</v>
      </c>
      <c r="BD36" s="233">
        <f t="shared" si="27"/>
        <v>188061.7134909739</v>
      </c>
      <c r="BE36" s="233">
        <f t="shared" si="15"/>
        <v>0</v>
      </c>
      <c r="BF36" s="233">
        <f t="shared" si="16"/>
        <v>38164</v>
      </c>
      <c r="BG36" s="233">
        <f t="shared" si="17"/>
        <v>308746.76</v>
      </c>
      <c r="BH36" s="186" t="str">
        <f t="shared" si="18"/>
        <v/>
      </c>
      <c r="BI36" s="233">
        <f t="shared" si="19"/>
        <v>0</v>
      </c>
      <c r="BJ36" s="233">
        <f t="shared" si="20"/>
        <v>0</v>
      </c>
      <c r="BK36" s="233">
        <f t="shared" si="21"/>
        <v>880876.02037630999</v>
      </c>
      <c r="BL36" s="233">
        <f t="shared" si="22"/>
        <v>648788</v>
      </c>
      <c r="BM36" s="233">
        <f t="shared" si="23"/>
        <v>152656</v>
      </c>
      <c r="BN36" s="233">
        <f t="shared" si="24"/>
        <v>114492</v>
      </c>
    </row>
    <row r="37" spans="1:66" s="198" customFormat="1" hidden="1" outlineLevel="1">
      <c r="A37" s="186" t="s">
        <v>264</v>
      </c>
      <c r="B37" s="176" t="s">
        <v>157</v>
      </c>
      <c r="C37" s="176"/>
      <c r="D37" s="176"/>
      <c r="E37" s="176"/>
      <c r="F37" s="176" t="s">
        <v>244</v>
      </c>
      <c r="G37" s="176">
        <f>_xlfn.XLOOKUP(AN37,[2]ySQL_0_24102024094604!$B:$B,[2]ySQL_0_24102024094604!$D:$D,0)</f>
        <v>0</v>
      </c>
      <c r="H37" s="176" t="s">
        <v>265</v>
      </c>
      <c r="I37" s="177">
        <v>37</v>
      </c>
      <c r="J37" s="178">
        <v>4574</v>
      </c>
      <c r="K37" s="178">
        <v>12775000</v>
      </c>
      <c r="L37" s="178">
        <v>77539</v>
      </c>
      <c r="M37" s="190">
        <f>Q37/(K37/L37)</f>
        <v>7.4959424657534246E-2</v>
      </c>
      <c r="N37" s="318">
        <f>13.11-3.5</f>
        <v>9.61</v>
      </c>
      <c r="O37" s="177">
        <v>11.75</v>
      </c>
      <c r="P37" s="177">
        <f>O37</f>
        <v>11.75</v>
      </c>
      <c r="Q37" s="177">
        <v>12.35</v>
      </c>
      <c r="R37" s="177">
        <v>4</v>
      </c>
      <c r="S37" s="177">
        <v>3.5</v>
      </c>
      <c r="T37" s="179">
        <f>AC37/AD37*100</f>
        <v>5.7586056997554822</v>
      </c>
      <c r="U37" s="185"/>
      <c r="V37" s="177">
        <v>0</v>
      </c>
      <c r="W37" s="177">
        <v>0</v>
      </c>
      <c r="X37" s="180">
        <v>3980.78</v>
      </c>
      <c r="Y37" s="180"/>
      <c r="Z37" s="180">
        <v>1500</v>
      </c>
      <c r="AA37" s="180"/>
      <c r="AB37" s="187">
        <v>4707.5600000000004</v>
      </c>
      <c r="AC37" s="180">
        <f>SUM(X37:AB37)</f>
        <v>10188.34</v>
      </c>
      <c r="AD37" s="187">
        <v>176923.73</v>
      </c>
      <c r="AE37" s="177" t="s">
        <v>161</v>
      </c>
      <c r="AF37" s="182">
        <v>45460</v>
      </c>
      <c r="AG37" s="177"/>
      <c r="AH37" s="177"/>
      <c r="AI37" s="183"/>
      <c r="AJ37" s="183"/>
      <c r="AK37" s="177"/>
      <c r="AL37" s="177"/>
      <c r="AM37" s="177"/>
      <c r="AN37" s="177" t="s">
        <v>266</v>
      </c>
      <c r="AO37" s="177"/>
      <c r="AP37" s="183"/>
      <c r="AQ37" s="183"/>
      <c r="AR37" s="177" t="str">
        <f t="shared" ref="AR37:AR68" si="28">IF(B37="Expansion","New Lease",IF(B37="Early Renewal","Renewal",IF(B37="Renewal per Option","Renewal",IF(B37="Renewal","Renewal",B37))))</f>
        <v>Renewal</v>
      </c>
      <c r="AS37" s="182" t="str">
        <f t="shared" ref="AS37:AS68" si="29">"Q"&amp;ROUNDUP(MONTH(AF37)/3,0)&amp;" "&amp;YEAR(AF37)</f>
        <v>Q2 2024</v>
      </c>
      <c r="AT37" s="182" t="str">
        <f t="shared" ref="AT37:AT68" si="30">(MONTH(AF37)&gt;6)+1&amp;"H"&amp;YEAR(AF37)</f>
        <v>1H2024</v>
      </c>
      <c r="AU37" s="184" t="str">
        <f t="shared" ref="AU37:AU68" si="31">IF(J37&lt;$A$223,$A$228,IF(J37&lt;$A$224,$A$229,IF(J37&lt;$A$225,$A$230,IF(J37&gt;$A$225,$A$231))))</f>
        <v>&lt; 20K</v>
      </c>
      <c r="AV37" s="179">
        <f t="shared" si="26"/>
        <v>4574</v>
      </c>
      <c r="AW37" s="233">
        <f t="shared" ref="AW37:AW68" si="32">IFERROR(N37*AV37,"")</f>
        <v>43956.14</v>
      </c>
      <c r="AX37" s="233">
        <f t="shared" ref="AX37:AX68" si="33">J37*O37</f>
        <v>53744.5</v>
      </c>
      <c r="AY37" s="198">
        <f t="shared" si="25"/>
        <v>53744.5</v>
      </c>
      <c r="AZ37" s="233">
        <f>IFERROR(Q37*AV37,"")</f>
        <v>56488.9</v>
      </c>
      <c r="BA37" s="233">
        <f t="shared" ref="BA37:BA68" si="34">J37*Q37</f>
        <v>56488.9</v>
      </c>
      <c r="BB37" s="233">
        <f t="shared" ref="BB37:BB68" si="35">IF(N37&gt;0,Q37*J37,"")</f>
        <v>56488.9</v>
      </c>
      <c r="BC37" s="233">
        <f t="shared" ref="BC37:BC68" si="36">AG37*J37</f>
        <v>0</v>
      </c>
      <c r="BD37" s="233">
        <f t="shared" si="27"/>
        <v>0</v>
      </c>
      <c r="BE37" s="233">
        <f t="shared" ref="BE37:BE68" si="37">V37*J37</f>
        <v>0</v>
      </c>
      <c r="BF37" s="233">
        <f t="shared" ref="BF37:BF68" si="38">IF(AR37="New Lease",J37,0)</f>
        <v>0</v>
      </c>
      <c r="BG37" s="233">
        <f t="shared" ref="BG37:BG68" si="39">W37*J37</f>
        <v>0</v>
      </c>
      <c r="BH37" s="186">
        <f t="shared" ref="BH37:BH68" si="40">IF(BI37&gt;0,Q37*J37,"")</f>
        <v>56488.9</v>
      </c>
      <c r="BI37" s="233">
        <f t="shared" ref="BI37:BI68" si="41">AB37/((J37*Q37)/12)</f>
        <v>1.0000322187190758</v>
      </c>
      <c r="BJ37" s="233">
        <f t="shared" ref="BJ37:BJ68" si="42">BI37*J37*Q37</f>
        <v>56490.719999999994</v>
      </c>
      <c r="BK37" s="233">
        <f t="shared" ref="BK37:BK68" si="43">J37*T37</f>
        <v>26339.862470681575</v>
      </c>
      <c r="BL37" s="233">
        <f t="shared" ref="BL37:BL68" si="44">J37*U37</f>
        <v>0</v>
      </c>
      <c r="BM37" s="233">
        <f t="shared" ref="BM37:BM68" si="45">J37*R37</f>
        <v>18296</v>
      </c>
      <c r="BN37" s="233">
        <f t="shared" ref="BN37:BN68" si="46">J37*S37</f>
        <v>16009</v>
      </c>
    </row>
    <row r="38" spans="1:66" s="198" customFormat="1" hidden="1" outlineLevel="1">
      <c r="A38" s="176" t="s">
        <v>267</v>
      </c>
      <c r="B38" s="176" t="s">
        <v>238</v>
      </c>
      <c r="C38" s="176"/>
      <c r="D38" s="176"/>
      <c r="E38" s="176"/>
      <c r="F38" s="176" t="s">
        <v>144</v>
      </c>
      <c r="G38" s="176">
        <f>_xlfn.XLOOKUP(AN38,[2]ySQL_0_24102024094604!$B:$B,[2]ySQL_0_24102024094604!$D:$D,0)</f>
        <v>0</v>
      </c>
      <c r="H38" s="176" t="s">
        <v>268</v>
      </c>
      <c r="I38" s="177">
        <v>36</v>
      </c>
      <c r="J38" s="194">
        <v>7328</v>
      </c>
      <c r="K38" s="194"/>
      <c r="L38" s="194"/>
      <c r="M38" s="194"/>
      <c r="N38" s="177">
        <v>6.63</v>
      </c>
      <c r="O38" s="177">
        <v>8.4</v>
      </c>
      <c r="P38" s="177">
        <v>8.4</v>
      </c>
      <c r="Q38" s="177">
        <v>8.5</v>
      </c>
      <c r="R38" s="177">
        <v>4</v>
      </c>
      <c r="S38" s="177">
        <v>3</v>
      </c>
      <c r="T38" s="179">
        <v>3.8664271562999999</v>
      </c>
      <c r="U38" s="177">
        <v>12.27</v>
      </c>
      <c r="V38" s="177">
        <v>0</v>
      </c>
      <c r="W38" s="177">
        <f>2-$W$3</f>
        <v>1.0899999999999999</v>
      </c>
      <c r="X38" s="180">
        <v>5531.51</v>
      </c>
      <c r="Y38" s="180">
        <f>Z38/J38</f>
        <v>0.68231441048034935</v>
      </c>
      <c r="Z38" s="180">
        <v>5000</v>
      </c>
      <c r="AA38" s="180">
        <v>0</v>
      </c>
      <c r="AB38" s="180">
        <v>0</v>
      </c>
      <c r="AC38" s="180">
        <v>10531.51</v>
      </c>
      <c r="AD38" s="195">
        <v>272383.51</v>
      </c>
      <c r="AE38" s="177" t="s">
        <v>147</v>
      </c>
      <c r="AF38" s="182">
        <v>44978</v>
      </c>
      <c r="AG38" s="177">
        <v>10.463635344030383</v>
      </c>
      <c r="AH38" s="177">
        <v>9.6559743664717814</v>
      </c>
      <c r="AI38" s="196">
        <v>-23.1015922827</v>
      </c>
      <c r="AJ38" s="196">
        <v>-13.5996984291</v>
      </c>
      <c r="AK38" s="177"/>
      <c r="AL38" s="177"/>
      <c r="AM38" s="177"/>
      <c r="AN38" s="177" t="s">
        <v>269</v>
      </c>
      <c r="AO38" s="177"/>
      <c r="AP38" s="196">
        <f>AG38/O38-1</f>
        <v>0.24567087428933121</v>
      </c>
      <c r="AQ38" s="196">
        <f>AH38/O38-1</f>
        <v>0.14952075791330732</v>
      </c>
      <c r="AR38" s="177" t="str">
        <f t="shared" si="28"/>
        <v>New Lease</v>
      </c>
      <c r="AS38" s="182" t="str">
        <f t="shared" si="29"/>
        <v>Q1 2023</v>
      </c>
      <c r="AT38" s="182" t="str">
        <f t="shared" si="30"/>
        <v>1H2023</v>
      </c>
      <c r="AU38" s="184" t="str">
        <f t="shared" si="31"/>
        <v>&lt; 20K</v>
      </c>
      <c r="AV38" s="179">
        <f t="shared" si="26"/>
        <v>7328</v>
      </c>
      <c r="AW38" s="233">
        <f t="shared" si="32"/>
        <v>48584.639999999999</v>
      </c>
      <c r="AX38" s="233">
        <f t="shared" si="33"/>
        <v>61555.200000000004</v>
      </c>
      <c r="AY38" s="198">
        <f t="shared" si="25"/>
        <v>61555.200000000004</v>
      </c>
      <c r="AZ38" s="233">
        <f>Q38*AV38</f>
        <v>62288</v>
      </c>
      <c r="BA38" s="233">
        <f t="shared" si="34"/>
        <v>62288</v>
      </c>
      <c r="BB38" s="233">
        <f t="shared" si="35"/>
        <v>62288</v>
      </c>
      <c r="BC38" s="233">
        <f t="shared" si="36"/>
        <v>76677.519801054645</v>
      </c>
      <c r="BD38" s="233">
        <f t="shared" si="27"/>
        <v>70758.980157505212</v>
      </c>
      <c r="BE38" s="233">
        <f t="shared" si="37"/>
        <v>0</v>
      </c>
      <c r="BF38" s="233">
        <f t="shared" si="38"/>
        <v>7328</v>
      </c>
      <c r="BG38" s="233">
        <f t="shared" si="39"/>
        <v>7987.5199999999986</v>
      </c>
      <c r="BH38" s="186" t="str">
        <f t="shared" si="40"/>
        <v/>
      </c>
      <c r="BI38" s="233">
        <f t="shared" si="41"/>
        <v>0</v>
      </c>
      <c r="BJ38" s="233">
        <f t="shared" si="42"/>
        <v>0</v>
      </c>
      <c r="BK38" s="233">
        <f t="shared" si="43"/>
        <v>28333.178201366398</v>
      </c>
      <c r="BL38" s="233">
        <f t="shared" si="44"/>
        <v>89914.559999999998</v>
      </c>
      <c r="BM38" s="233">
        <f t="shared" si="45"/>
        <v>29312</v>
      </c>
      <c r="BN38" s="233">
        <f t="shared" si="46"/>
        <v>21984</v>
      </c>
    </row>
    <row r="39" spans="1:66" s="198" customFormat="1" hidden="1" outlineLevel="1">
      <c r="A39" s="186" t="s">
        <v>270</v>
      </c>
      <c r="B39" s="176" t="s">
        <v>157</v>
      </c>
      <c r="C39" s="176"/>
      <c r="D39" s="176"/>
      <c r="E39" s="176"/>
      <c r="F39" s="176" t="s">
        <v>177</v>
      </c>
      <c r="G39" s="176">
        <f>_xlfn.XLOOKUP(AN39,[2]ySQL_0_24102024094604!$B:$B,[2]ySQL_0_24102024094604!$D:$D,0)</f>
        <v>0</v>
      </c>
      <c r="H39" s="176" t="s">
        <v>271</v>
      </c>
      <c r="I39" s="177">
        <v>36</v>
      </c>
      <c r="J39" s="178">
        <v>79188</v>
      </c>
      <c r="K39" s="178">
        <f>_xlfn.XLOOKUP(AN39,'[3]Main Data Table'!$B:$B,'[3]Main Data Table'!$AB:$AB,0)</f>
        <v>7030747.9800000004</v>
      </c>
      <c r="L39" s="178">
        <v>79188</v>
      </c>
      <c r="M39" s="190">
        <f>Q39/(K39/L39)</f>
        <v>0.10418365187938367</v>
      </c>
      <c r="N39" s="177">
        <v>8.4</v>
      </c>
      <c r="O39" s="177">
        <v>7.4</v>
      </c>
      <c r="P39" s="177">
        <v>8.99</v>
      </c>
      <c r="Q39" s="177">
        <v>9.25</v>
      </c>
      <c r="R39" s="177">
        <v>3</v>
      </c>
      <c r="S39" s="177">
        <v>2</v>
      </c>
      <c r="T39" s="179">
        <f>AC39/AD39*100</f>
        <v>2.0000002031758801</v>
      </c>
      <c r="U39" s="185"/>
      <c r="V39" s="177">
        <v>0</v>
      </c>
      <c r="W39" s="177">
        <v>0</v>
      </c>
      <c r="X39" s="180">
        <v>45280.97</v>
      </c>
      <c r="Y39" s="180"/>
      <c r="Z39" s="180">
        <v>0</v>
      </c>
      <c r="AA39" s="180"/>
      <c r="AB39" s="186">
        <v>0</v>
      </c>
      <c r="AC39" s="180">
        <f>SUM(X39:AB39)</f>
        <v>45280.97</v>
      </c>
      <c r="AD39" s="187">
        <v>2264048.27</v>
      </c>
      <c r="AE39" s="177" t="s">
        <v>147</v>
      </c>
      <c r="AF39" s="182">
        <v>45454</v>
      </c>
      <c r="AG39" s="177"/>
      <c r="AH39" s="177"/>
      <c r="AI39" s="183"/>
      <c r="AJ39" s="183"/>
      <c r="AK39" s="177"/>
      <c r="AL39" s="177"/>
      <c r="AM39" s="177"/>
      <c r="AN39" s="177" t="s">
        <v>272</v>
      </c>
      <c r="AO39" s="177"/>
      <c r="AP39" s="183"/>
      <c r="AQ39" s="183"/>
      <c r="AR39" s="177" t="str">
        <f t="shared" si="28"/>
        <v>Renewal</v>
      </c>
      <c r="AS39" s="182" t="str">
        <f t="shared" si="29"/>
        <v>Q2 2024</v>
      </c>
      <c r="AT39" s="182" t="str">
        <f t="shared" si="30"/>
        <v>1H2024</v>
      </c>
      <c r="AU39" s="184" t="str">
        <f t="shared" si="31"/>
        <v>50-100K</v>
      </c>
      <c r="AV39" s="179">
        <f t="shared" si="26"/>
        <v>79188</v>
      </c>
      <c r="AW39" s="233">
        <f t="shared" si="32"/>
        <v>665179.20000000007</v>
      </c>
      <c r="AX39" s="233">
        <f t="shared" si="33"/>
        <v>585991.20000000007</v>
      </c>
      <c r="AY39" s="198">
        <f t="shared" si="25"/>
        <v>711900.12</v>
      </c>
      <c r="AZ39" s="233">
        <f>IFERROR(Q39*AV39,"")</f>
        <v>732489</v>
      </c>
      <c r="BA39" s="233">
        <f t="shared" si="34"/>
        <v>732489</v>
      </c>
      <c r="BB39" s="233">
        <f t="shared" si="35"/>
        <v>732489</v>
      </c>
      <c r="BC39" s="233">
        <f t="shared" si="36"/>
        <v>0</v>
      </c>
      <c r="BD39" s="233">
        <f t="shared" si="27"/>
        <v>0</v>
      </c>
      <c r="BE39" s="233">
        <f t="shared" si="37"/>
        <v>0</v>
      </c>
      <c r="BF39" s="233">
        <f t="shared" si="38"/>
        <v>0</v>
      </c>
      <c r="BG39" s="233">
        <f t="shared" si="39"/>
        <v>0</v>
      </c>
      <c r="BH39" s="186" t="str">
        <f t="shared" si="40"/>
        <v/>
      </c>
      <c r="BI39" s="233">
        <f t="shared" si="41"/>
        <v>0</v>
      </c>
      <c r="BJ39" s="233">
        <f t="shared" si="42"/>
        <v>0</v>
      </c>
      <c r="BK39" s="233">
        <f t="shared" si="43"/>
        <v>158376.0160890916</v>
      </c>
      <c r="BL39" s="233">
        <f t="shared" si="44"/>
        <v>0</v>
      </c>
      <c r="BM39" s="233">
        <f t="shared" si="45"/>
        <v>237564</v>
      </c>
      <c r="BN39" s="233">
        <f t="shared" si="46"/>
        <v>158376</v>
      </c>
    </row>
    <row r="40" spans="1:66" s="198" customFormat="1" hidden="1" outlineLevel="1">
      <c r="A40" s="176" t="s">
        <v>273</v>
      </c>
      <c r="B40" s="176" t="s">
        <v>143</v>
      </c>
      <c r="C40" s="176"/>
      <c r="D40" s="176"/>
      <c r="E40" s="176"/>
      <c r="F40" s="176" t="s">
        <v>274</v>
      </c>
      <c r="G40" s="176">
        <f>_xlfn.XLOOKUP(AN40,[2]ySQL_0_24102024094604!$B:$B,[2]ySQL_0_24102024094604!$D:$D,0)</f>
        <v>0</v>
      </c>
      <c r="H40" s="176" t="s">
        <v>275</v>
      </c>
      <c r="I40" s="177">
        <v>62</v>
      </c>
      <c r="J40" s="194">
        <v>29772</v>
      </c>
      <c r="K40" s="194"/>
      <c r="L40" s="194"/>
      <c r="M40" s="194"/>
      <c r="N40" s="177">
        <v>8.7799999999999994</v>
      </c>
      <c r="O40" s="177">
        <v>8.98</v>
      </c>
      <c r="P40" s="177">
        <v>10.4</v>
      </c>
      <c r="Q40" s="177">
        <v>10.75</v>
      </c>
      <c r="R40" s="177">
        <v>4</v>
      </c>
      <c r="S40" s="177">
        <v>3</v>
      </c>
      <c r="T40" s="179">
        <v>11.484017528400001</v>
      </c>
      <c r="U40" s="177">
        <v>15.15</v>
      </c>
      <c r="V40" s="177">
        <v>0</v>
      </c>
      <c r="W40" s="177">
        <f>6-$W$3</f>
        <v>5.09</v>
      </c>
      <c r="X40" s="180">
        <v>131153</v>
      </c>
      <c r="Y40" s="180">
        <f>Z40/J40</f>
        <v>0.5</v>
      </c>
      <c r="Z40" s="180">
        <v>14886</v>
      </c>
      <c r="AA40" s="180">
        <v>0</v>
      </c>
      <c r="AB40" s="180">
        <v>53341</v>
      </c>
      <c r="AC40" s="180">
        <v>199380</v>
      </c>
      <c r="AD40" s="195">
        <v>1736152</v>
      </c>
      <c r="AE40" s="177" t="s">
        <v>147</v>
      </c>
      <c r="AF40" s="182">
        <v>44959</v>
      </c>
      <c r="AG40" s="177">
        <v>8.8214685842768183</v>
      </c>
      <c r="AH40" s="177">
        <v>6.3777801169126196</v>
      </c>
      <c r="AI40" s="196">
        <v>17.939827123000001</v>
      </c>
      <c r="AJ40" s="196">
        <v>40.671812865900002</v>
      </c>
      <c r="AK40" s="177">
        <v>7.7</v>
      </c>
      <c r="AL40" s="177"/>
      <c r="AM40" s="177"/>
      <c r="AN40" s="177" t="s">
        <v>276</v>
      </c>
      <c r="AO40" s="177"/>
      <c r="AP40" s="196">
        <f>AG40/O40-1</f>
        <v>-1.7653832485877707E-2</v>
      </c>
      <c r="AQ40" s="196">
        <f>AH40/O40-1</f>
        <v>-0.28977949700304906</v>
      </c>
      <c r="AR40" s="177" t="str">
        <f t="shared" si="28"/>
        <v>New Lease</v>
      </c>
      <c r="AS40" s="182" t="str">
        <f t="shared" si="29"/>
        <v>Q1 2023</v>
      </c>
      <c r="AT40" s="182" t="str">
        <f t="shared" si="30"/>
        <v>1H2023</v>
      </c>
      <c r="AU40" s="184" t="str">
        <f t="shared" si="31"/>
        <v>20-50K</v>
      </c>
      <c r="AV40" s="179">
        <f t="shared" si="26"/>
        <v>29772</v>
      </c>
      <c r="AW40" s="233">
        <f t="shared" si="32"/>
        <v>261398.15999999997</v>
      </c>
      <c r="AX40" s="233">
        <f t="shared" si="33"/>
        <v>267352.56</v>
      </c>
      <c r="AY40" s="198">
        <f t="shared" si="25"/>
        <v>309628.79999999999</v>
      </c>
      <c r="AZ40" s="233">
        <f>Q40*AV40</f>
        <v>320049</v>
      </c>
      <c r="BA40" s="233">
        <f t="shared" si="34"/>
        <v>320049</v>
      </c>
      <c r="BB40" s="233">
        <f t="shared" si="35"/>
        <v>320049</v>
      </c>
      <c r="BC40" s="233">
        <f t="shared" si="36"/>
        <v>262632.76269108942</v>
      </c>
      <c r="BD40" s="233">
        <f t="shared" si="27"/>
        <v>189879.26964072252</v>
      </c>
      <c r="BE40" s="233">
        <f t="shared" si="37"/>
        <v>0</v>
      </c>
      <c r="BF40" s="233">
        <f t="shared" si="38"/>
        <v>29772</v>
      </c>
      <c r="BG40" s="233">
        <f t="shared" si="39"/>
        <v>151539.47999999998</v>
      </c>
      <c r="BH40" s="186">
        <f t="shared" si="40"/>
        <v>320049</v>
      </c>
      <c r="BI40" s="233">
        <f t="shared" si="41"/>
        <v>1.9999812528706542</v>
      </c>
      <c r="BJ40" s="233">
        <f t="shared" si="42"/>
        <v>640092</v>
      </c>
      <c r="BK40" s="233">
        <f t="shared" si="43"/>
        <v>341902.16985552484</v>
      </c>
      <c r="BL40" s="233">
        <f t="shared" si="44"/>
        <v>451045.8</v>
      </c>
      <c r="BM40" s="233">
        <f t="shared" si="45"/>
        <v>119088</v>
      </c>
      <c r="BN40" s="233">
        <f t="shared" si="46"/>
        <v>89316</v>
      </c>
    </row>
    <row r="41" spans="1:66" s="198" customFormat="1" hidden="1" outlineLevel="1">
      <c r="A41" s="176" t="s">
        <v>277</v>
      </c>
      <c r="B41" s="176" t="s">
        <v>143</v>
      </c>
      <c r="C41" s="176"/>
      <c r="D41" s="176"/>
      <c r="E41" s="176"/>
      <c r="F41" s="176" t="s">
        <v>144</v>
      </c>
      <c r="G41" s="176">
        <f>_xlfn.XLOOKUP(AN41,[2]ySQL_0_24102024094604!$B:$B,[2]ySQL_0_24102024094604!$D:$D,0)</f>
        <v>0</v>
      </c>
      <c r="H41" s="176" t="s">
        <v>278</v>
      </c>
      <c r="I41" s="177">
        <v>62</v>
      </c>
      <c r="J41" s="194">
        <v>12905</v>
      </c>
      <c r="K41" s="194"/>
      <c r="L41" s="194"/>
      <c r="M41" s="194"/>
      <c r="N41" s="177">
        <v>9</v>
      </c>
      <c r="O41" s="177">
        <v>8.32</v>
      </c>
      <c r="P41" s="177">
        <v>8</v>
      </c>
      <c r="Q41" s="177">
        <v>9.75</v>
      </c>
      <c r="R41" s="177">
        <v>4</v>
      </c>
      <c r="S41" s="177">
        <v>3</v>
      </c>
      <c r="T41" s="179">
        <v>6.97</v>
      </c>
      <c r="U41" s="177">
        <v>35.97</v>
      </c>
      <c r="V41" s="177">
        <v>0</v>
      </c>
      <c r="W41" s="177">
        <f>9-$W$3</f>
        <v>8.09</v>
      </c>
      <c r="X41" s="180">
        <v>27260</v>
      </c>
      <c r="Y41" s="180"/>
      <c r="Z41" s="180">
        <v>0</v>
      </c>
      <c r="AA41" s="180">
        <v>0</v>
      </c>
      <c r="AB41" s="180">
        <v>22000</v>
      </c>
      <c r="AC41" s="180">
        <v>49260</v>
      </c>
      <c r="AD41" s="195">
        <v>706601</v>
      </c>
      <c r="AE41" s="177" t="s">
        <v>147</v>
      </c>
      <c r="AF41" s="182">
        <v>45019</v>
      </c>
      <c r="AG41" s="177"/>
      <c r="AH41" s="177"/>
      <c r="AI41" s="196"/>
      <c r="AJ41" s="196"/>
      <c r="AK41" s="177"/>
      <c r="AL41" s="177"/>
      <c r="AM41" s="177"/>
      <c r="AN41" s="177" t="s">
        <v>279</v>
      </c>
      <c r="AO41" s="177"/>
      <c r="AP41" s="196"/>
      <c r="AQ41" s="196"/>
      <c r="AR41" s="177" t="str">
        <f t="shared" si="28"/>
        <v>New Lease</v>
      </c>
      <c r="AS41" s="182" t="str">
        <f t="shared" si="29"/>
        <v>Q2 2023</v>
      </c>
      <c r="AT41" s="182" t="str">
        <f t="shared" si="30"/>
        <v>1H2023</v>
      </c>
      <c r="AU41" s="184" t="str">
        <f t="shared" si="31"/>
        <v>&lt; 20K</v>
      </c>
      <c r="AV41" s="179">
        <f t="shared" si="26"/>
        <v>12905</v>
      </c>
      <c r="AW41" s="233">
        <f t="shared" si="32"/>
        <v>116145</v>
      </c>
      <c r="AX41" s="233">
        <f t="shared" si="33"/>
        <v>107369.60000000001</v>
      </c>
      <c r="AY41" s="198">
        <f t="shared" si="25"/>
        <v>103240</v>
      </c>
      <c r="AZ41" s="233">
        <f>Q41*AV41</f>
        <v>125823.75</v>
      </c>
      <c r="BA41" s="233">
        <f t="shared" si="34"/>
        <v>125823.75</v>
      </c>
      <c r="BB41" s="233">
        <f t="shared" si="35"/>
        <v>125823.75</v>
      </c>
      <c r="BC41" s="233">
        <f t="shared" si="36"/>
        <v>0</v>
      </c>
      <c r="BD41" s="233">
        <f t="shared" si="27"/>
        <v>0</v>
      </c>
      <c r="BE41" s="233">
        <f t="shared" si="37"/>
        <v>0</v>
      </c>
      <c r="BF41" s="233">
        <f t="shared" si="38"/>
        <v>12905</v>
      </c>
      <c r="BG41" s="233">
        <f t="shared" si="39"/>
        <v>104401.45</v>
      </c>
      <c r="BH41" s="198">
        <f t="shared" si="40"/>
        <v>125823.75</v>
      </c>
      <c r="BI41" s="233">
        <f t="shared" si="41"/>
        <v>2.098173039668584</v>
      </c>
      <c r="BJ41" s="233">
        <f t="shared" si="42"/>
        <v>264000</v>
      </c>
      <c r="BK41" s="233">
        <f t="shared" si="43"/>
        <v>89947.849999999991</v>
      </c>
      <c r="BL41" s="233">
        <f t="shared" si="44"/>
        <v>464192.85</v>
      </c>
      <c r="BM41" s="233">
        <f t="shared" si="45"/>
        <v>51620</v>
      </c>
      <c r="BN41" s="233">
        <f t="shared" si="46"/>
        <v>38715</v>
      </c>
    </row>
    <row r="42" spans="1:66" s="198" customFormat="1" hidden="1" outlineLevel="1">
      <c r="A42" s="176" t="s">
        <v>280</v>
      </c>
      <c r="B42" s="176" t="s">
        <v>157</v>
      </c>
      <c r="C42" s="176"/>
      <c r="D42" s="176"/>
      <c r="E42" s="176"/>
      <c r="F42" s="176" t="s">
        <v>153</v>
      </c>
      <c r="G42" s="176">
        <f>_xlfn.XLOOKUP(AN42,[2]ySQL_0_24102024094604!$B:$B,[2]ySQL_0_24102024094604!$D:$D,0)</f>
        <v>0</v>
      </c>
      <c r="H42" s="176" t="s">
        <v>281</v>
      </c>
      <c r="I42" s="177">
        <v>48</v>
      </c>
      <c r="J42" s="178">
        <v>38383</v>
      </c>
      <c r="K42" s="178">
        <f>_xlfn.XLOOKUP(AN42,'[3]Main Data Table'!$B:$B,'[3]Main Data Table'!$AB:$AB,0)</f>
        <v>12926369.359999999</v>
      </c>
      <c r="L42" s="178">
        <v>111540</v>
      </c>
      <c r="M42" s="190">
        <f>Q42/(K42/L42)</f>
        <v>5.997066758736036E-2</v>
      </c>
      <c r="N42" s="177">
        <v>5.85</v>
      </c>
      <c r="O42" s="177">
        <v>6.14</v>
      </c>
      <c r="P42" s="177">
        <v>6.95</v>
      </c>
      <c r="Q42" s="177">
        <v>6.95</v>
      </c>
      <c r="R42" s="177">
        <v>4</v>
      </c>
      <c r="S42" s="177">
        <v>3.25</v>
      </c>
      <c r="T42" s="179">
        <f>AC42/AD42*100</f>
        <v>10.413866730395839</v>
      </c>
      <c r="U42" s="185"/>
      <c r="V42" s="177">
        <v>0</v>
      </c>
      <c r="W42" s="177">
        <v>5</v>
      </c>
      <c r="X42" s="188">
        <v>67967.62</v>
      </c>
      <c r="Y42" s="188"/>
      <c r="Z42" s="188">
        <v>50000</v>
      </c>
      <c r="AA42" s="188">
        <v>0</v>
      </c>
      <c r="AB42" s="188">
        <v>0</v>
      </c>
      <c r="AC42" s="188">
        <f>X42+Z42+AA42+AB42</f>
        <v>117967.62</v>
      </c>
      <c r="AD42" s="189">
        <v>1132793.6399999999</v>
      </c>
      <c r="AE42" s="177" t="s">
        <v>161</v>
      </c>
      <c r="AF42" s="182">
        <v>45436</v>
      </c>
      <c r="AG42" s="177"/>
      <c r="AH42" s="177"/>
      <c r="AI42" s="183"/>
      <c r="AJ42" s="183"/>
      <c r="AK42" s="177"/>
      <c r="AL42" s="177"/>
      <c r="AM42" s="177"/>
      <c r="AN42" s="177" t="s">
        <v>282</v>
      </c>
      <c r="AO42" s="177"/>
      <c r="AP42" s="183"/>
      <c r="AQ42" s="183"/>
      <c r="AR42" s="177" t="str">
        <f t="shared" si="28"/>
        <v>Renewal</v>
      </c>
      <c r="AS42" s="182" t="str">
        <f t="shared" si="29"/>
        <v>Q2 2024</v>
      </c>
      <c r="AT42" s="182" t="str">
        <f t="shared" si="30"/>
        <v>1H2024</v>
      </c>
      <c r="AU42" s="184" t="str">
        <f t="shared" si="31"/>
        <v>20-50K</v>
      </c>
      <c r="AV42" s="179">
        <f t="shared" si="26"/>
        <v>38383</v>
      </c>
      <c r="AW42" s="233">
        <f t="shared" si="32"/>
        <v>224540.55</v>
      </c>
      <c r="AX42" s="233">
        <f t="shared" si="33"/>
        <v>235671.62</v>
      </c>
      <c r="AY42" s="198">
        <f t="shared" si="25"/>
        <v>266761.85000000003</v>
      </c>
      <c r="AZ42" s="233">
        <f>IFERROR(Q42*AV42,"")</f>
        <v>266761.85000000003</v>
      </c>
      <c r="BA42" s="233">
        <f t="shared" si="34"/>
        <v>266761.85000000003</v>
      </c>
      <c r="BB42" s="233">
        <f t="shared" si="35"/>
        <v>266761.85000000003</v>
      </c>
      <c r="BC42" s="233">
        <f t="shared" si="36"/>
        <v>0</v>
      </c>
      <c r="BD42" s="233">
        <f t="shared" si="27"/>
        <v>0</v>
      </c>
      <c r="BE42" s="233">
        <f t="shared" si="37"/>
        <v>0</v>
      </c>
      <c r="BF42" s="233">
        <f t="shared" si="38"/>
        <v>0</v>
      </c>
      <c r="BG42" s="233">
        <f t="shared" si="39"/>
        <v>191915</v>
      </c>
      <c r="BH42" s="186" t="str">
        <f t="shared" si="40"/>
        <v/>
      </c>
      <c r="BI42" s="233">
        <f t="shared" si="41"/>
        <v>0</v>
      </c>
      <c r="BJ42" s="233">
        <f t="shared" si="42"/>
        <v>0</v>
      </c>
      <c r="BK42" s="233">
        <f t="shared" si="43"/>
        <v>399715.44671278348</v>
      </c>
      <c r="BL42" s="233">
        <f t="shared" si="44"/>
        <v>0</v>
      </c>
      <c r="BM42" s="233">
        <f t="shared" si="45"/>
        <v>153532</v>
      </c>
      <c r="BN42" s="233">
        <f t="shared" si="46"/>
        <v>124744.75</v>
      </c>
    </row>
    <row r="43" spans="1:66" s="198" customFormat="1" hidden="1" outlineLevel="1">
      <c r="A43" s="176" t="s">
        <v>283</v>
      </c>
      <c r="B43" s="176" t="s">
        <v>238</v>
      </c>
      <c r="C43" s="176"/>
      <c r="D43" s="176"/>
      <c r="E43" s="176"/>
      <c r="F43" s="176" t="s">
        <v>244</v>
      </c>
      <c r="G43" s="176">
        <f>_xlfn.XLOOKUP(AN43,[2]ySQL_0_24102024094604!$B:$B,[2]ySQL_0_24102024094604!$D:$D,0)</f>
        <v>0</v>
      </c>
      <c r="H43" s="176" t="s">
        <v>284</v>
      </c>
      <c r="I43" s="177">
        <v>60</v>
      </c>
      <c r="J43" s="194">
        <v>12665</v>
      </c>
      <c r="K43" s="194"/>
      <c r="L43" s="194"/>
      <c r="M43" s="194"/>
      <c r="N43" s="177">
        <v>4.83</v>
      </c>
      <c r="O43" s="177">
        <v>7.32</v>
      </c>
      <c r="P43" s="177">
        <v>8.06</v>
      </c>
      <c r="Q43" s="177">
        <v>9</v>
      </c>
      <c r="R43" s="177">
        <v>4</v>
      </c>
      <c r="S43" s="177">
        <v>3</v>
      </c>
      <c r="T43" s="179">
        <v>6.2516380382000003</v>
      </c>
      <c r="U43" s="177">
        <v>21.31</v>
      </c>
      <c r="V43" s="177">
        <v>0</v>
      </c>
      <c r="W43" s="177">
        <f>6-$W$3</f>
        <v>5.09</v>
      </c>
      <c r="X43" s="180">
        <v>27986</v>
      </c>
      <c r="Y43" s="180"/>
      <c r="Z43" s="180">
        <v>0</v>
      </c>
      <c r="AA43" s="180">
        <v>10895</v>
      </c>
      <c r="AB43" s="180">
        <v>0</v>
      </c>
      <c r="AC43" s="180">
        <v>38881</v>
      </c>
      <c r="AD43" s="195">
        <v>617380</v>
      </c>
      <c r="AE43" s="177" t="s">
        <v>147</v>
      </c>
      <c r="AF43" s="182">
        <v>45027</v>
      </c>
      <c r="AG43" s="177"/>
      <c r="AH43" s="177"/>
      <c r="AI43" s="196"/>
      <c r="AJ43" s="196"/>
      <c r="AK43" s="177">
        <v>6</v>
      </c>
      <c r="AL43" s="177"/>
      <c r="AM43" s="177"/>
      <c r="AN43" s="177" t="s">
        <v>285</v>
      </c>
      <c r="AO43" s="177"/>
      <c r="AP43" s="196"/>
      <c r="AQ43" s="196"/>
      <c r="AR43" s="177" t="str">
        <f t="shared" si="28"/>
        <v>New Lease</v>
      </c>
      <c r="AS43" s="182" t="str">
        <f t="shared" si="29"/>
        <v>Q2 2023</v>
      </c>
      <c r="AT43" s="182" t="str">
        <f t="shared" si="30"/>
        <v>1H2023</v>
      </c>
      <c r="AU43" s="184" t="str">
        <f t="shared" si="31"/>
        <v>&lt; 20K</v>
      </c>
      <c r="AV43" s="179">
        <f t="shared" si="26"/>
        <v>12665</v>
      </c>
      <c r="AW43" s="233">
        <f t="shared" si="32"/>
        <v>61171.950000000004</v>
      </c>
      <c r="AX43" s="233">
        <f t="shared" si="33"/>
        <v>92707.8</v>
      </c>
      <c r="AY43" s="198">
        <f t="shared" si="25"/>
        <v>102079.90000000001</v>
      </c>
      <c r="AZ43" s="233">
        <f>Q43*AV43</f>
        <v>113985</v>
      </c>
      <c r="BA43" s="233">
        <f t="shared" si="34"/>
        <v>113985</v>
      </c>
      <c r="BB43" s="233">
        <f t="shared" si="35"/>
        <v>113985</v>
      </c>
      <c r="BC43" s="233">
        <f t="shared" si="36"/>
        <v>0</v>
      </c>
      <c r="BD43" s="233">
        <f t="shared" si="27"/>
        <v>0</v>
      </c>
      <c r="BE43" s="233">
        <f t="shared" si="37"/>
        <v>0</v>
      </c>
      <c r="BF43" s="233">
        <f t="shared" si="38"/>
        <v>12665</v>
      </c>
      <c r="BG43" s="233">
        <f t="shared" si="39"/>
        <v>64464.85</v>
      </c>
      <c r="BH43" s="186" t="str">
        <f t="shared" si="40"/>
        <v/>
      </c>
      <c r="BI43" s="233">
        <f t="shared" si="41"/>
        <v>0</v>
      </c>
      <c r="BJ43" s="233">
        <f t="shared" si="42"/>
        <v>0</v>
      </c>
      <c r="BK43" s="233">
        <f t="shared" si="43"/>
        <v>79176.995753802999</v>
      </c>
      <c r="BL43" s="233">
        <f t="shared" si="44"/>
        <v>269891.14999999997</v>
      </c>
      <c r="BM43" s="233">
        <f t="shared" si="45"/>
        <v>50660</v>
      </c>
      <c r="BN43" s="233">
        <f t="shared" si="46"/>
        <v>37995</v>
      </c>
    </row>
    <row r="44" spans="1:66" s="198" customFormat="1" hidden="1" outlineLevel="1">
      <c r="A44" s="176" t="s">
        <v>286</v>
      </c>
      <c r="B44" s="176" t="s">
        <v>143</v>
      </c>
      <c r="C44" s="176"/>
      <c r="D44" s="176"/>
      <c r="E44" s="176"/>
      <c r="F44" s="176" t="s">
        <v>153</v>
      </c>
      <c r="G44" s="176">
        <f>_xlfn.XLOOKUP(AN44,[2]ySQL_0_24102024094604!$B:$B,[2]ySQL_0_24102024094604!$D:$D,0)</f>
        <v>0</v>
      </c>
      <c r="H44" s="176" t="s">
        <v>287</v>
      </c>
      <c r="I44" s="177">
        <v>60</v>
      </c>
      <c r="J44" s="194">
        <v>2323</v>
      </c>
      <c r="K44" s="194"/>
      <c r="L44" s="194"/>
      <c r="M44" s="194"/>
      <c r="N44" s="177">
        <v>6.19</v>
      </c>
      <c r="O44" s="177">
        <v>6.1</v>
      </c>
      <c r="P44" s="177">
        <v>8.7899999999999991</v>
      </c>
      <c r="Q44" s="177">
        <v>8.7899999999999991</v>
      </c>
      <c r="R44" s="179">
        <v>4</v>
      </c>
      <c r="S44" s="179">
        <v>3</v>
      </c>
      <c r="T44" s="179">
        <v>6.5171950627999999</v>
      </c>
      <c r="U44" s="197">
        <v>39</v>
      </c>
      <c r="V44" s="177">
        <v>0</v>
      </c>
      <c r="W44" s="177">
        <f>12-$W$3</f>
        <v>11.09</v>
      </c>
      <c r="X44" s="180">
        <v>8200</v>
      </c>
      <c r="Y44" s="180"/>
      <c r="Z44" s="180">
        <v>0</v>
      </c>
      <c r="AA44" s="180">
        <v>0</v>
      </c>
      <c r="AB44" s="180">
        <v>0</v>
      </c>
      <c r="AC44" s="180">
        <v>8200</v>
      </c>
      <c r="AD44" s="195">
        <v>125821</v>
      </c>
      <c r="AE44" s="177" t="s">
        <v>147</v>
      </c>
      <c r="AF44" s="182">
        <v>44851</v>
      </c>
      <c r="AG44" s="197">
        <v>12.071548299100952</v>
      </c>
      <c r="AH44" s="197">
        <v>10.854456508036581</v>
      </c>
      <c r="AI44" s="196">
        <f>AG44/Q44-1</f>
        <v>0.37332745154732128</v>
      </c>
      <c r="AJ44" s="196">
        <f>AH44/Q44-1</f>
        <v>0.23486422161963394</v>
      </c>
      <c r="AK44" s="177">
        <v>4.5</v>
      </c>
      <c r="AL44" s="177"/>
      <c r="AM44" s="177"/>
      <c r="AN44" s="177" t="s">
        <v>288</v>
      </c>
      <c r="AO44" s="177"/>
      <c r="AP44" s="196">
        <f>AG44/O44-1</f>
        <v>0.97894234411491032</v>
      </c>
      <c r="AQ44" s="196">
        <f>AH44/O44-1</f>
        <v>0.77941909967812806</v>
      </c>
      <c r="AR44" s="177" t="str">
        <f t="shared" si="28"/>
        <v>New Lease</v>
      </c>
      <c r="AS44" s="182" t="str">
        <f t="shared" si="29"/>
        <v>Q4 2022</v>
      </c>
      <c r="AT44" s="182" t="str">
        <f t="shared" si="30"/>
        <v>2H2022</v>
      </c>
      <c r="AU44" s="184" t="str">
        <f t="shared" si="31"/>
        <v>&lt; 20K</v>
      </c>
      <c r="AV44" s="179">
        <f t="shared" si="26"/>
        <v>2323</v>
      </c>
      <c r="AW44" s="233">
        <f t="shared" si="32"/>
        <v>14379.37</v>
      </c>
      <c r="AX44" s="233">
        <f t="shared" si="33"/>
        <v>14170.3</v>
      </c>
      <c r="AY44" s="233">
        <f>J44*P44</f>
        <v>20419.169999999998</v>
      </c>
      <c r="AZ44" s="233">
        <f>Q44*AV44</f>
        <v>20419.169999999998</v>
      </c>
      <c r="BA44" s="233">
        <f t="shared" si="34"/>
        <v>20419.169999999998</v>
      </c>
      <c r="BB44" s="233">
        <f t="shared" si="35"/>
        <v>20419.169999999998</v>
      </c>
      <c r="BC44" s="233">
        <f t="shared" si="36"/>
        <v>28042.206698811511</v>
      </c>
      <c r="BD44" s="233">
        <f t="shared" si="27"/>
        <v>25214.902468168977</v>
      </c>
      <c r="BE44" s="233">
        <f t="shared" si="37"/>
        <v>0</v>
      </c>
      <c r="BF44" s="233">
        <f t="shared" si="38"/>
        <v>2323</v>
      </c>
      <c r="BG44" s="233">
        <f t="shared" si="39"/>
        <v>25762.07</v>
      </c>
      <c r="BH44" s="186" t="str">
        <f t="shared" si="40"/>
        <v/>
      </c>
      <c r="BI44" s="233">
        <f t="shared" si="41"/>
        <v>0</v>
      </c>
      <c r="BJ44" s="233">
        <f t="shared" si="42"/>
        <v>0</v>
      </c>
      <c r="BK44" s="233">
        <f t="shared" si="43"/>
        <v>15139.4441308844</v>
      </c>
      <c r="BL44" s="233">
        <f t="shared" si="44"/>
        <v>90597</v>
      </c>
      <c r="BM44" s="233">
        <f t="shared" si="45"/>
        <v>9292</v>
      </c>
      <c r="BN44" s="233">
        <f t="shared" si="46"/>
        <v>6969</v>
      </c>
    </row>
    <row r="45" spans="1:66" s="198" customFormat="1" hidden="1" outlineLevel="1">
      <c r="A45" s="176" t="s">
        <v>289</v>
      </c>
      <c r="B45" s="176" t="s">
        <v>143</v>
      </c>
      <c r="C45" s="176" t="s">
        <v>290</v>
      </c>
      <c r="D45" s="192" t="s">
        <v>291</v>
      </c>
      <c r="E45" s="192">
        <f>O45/N45-1</f>
        <v>-9.9999999999999978E-2</v>
      </c>
      <c r="F45" s="176" t="s">
        <v>144</v>
      </c>
      <c r="G45" s="176" t="str">
        <f>_xlfn.XLOOKUP(AN45,[2]ySQL_0_24102024094604!$B:$B,[2]ySQL_0_24102024094604!$D:$D,0)</f>
        <v>Yes</v>
      </c>
      <c r="H45" s="176" t="s">
        <v>292</v>
      </c>
      <c r="I45" s="177">
        <v>88</v>
      </c>
      <c r="J45" s="194">
        <v>46156</v>
      </c>
      <c r="K45" s="194"/>
      <c r="L45" s="194"/>
      <c r="M45" s="194"/>
      <c r="N45" s="177">
        <v>5</v>
      </c>
      <c r="O45" s="177">
        <v>4.5</v>
      </c>
      <c r="P45" s="177">
        <v>5.25</v>
      </c>
      <c r="Q45" s="177">
        <v>5.25</v>
      </c>
      <c r="R45" s="179">
        <v>3</v>
      </c>
      <c r="S45" s="179">
        <v>3</v>
      </c>
      <c r="T45" s="179">
        <v>18.425070622300002</v>
      </c>
      <c r="U45" s="197">
        <v>18.399999999999999</v>
      </c>
      <c r="V45" s="177">
        <v>0</v>
      </c>
      <c r="W45" s="177">
        <v>9</v>
      </c>
      <c r="X45" s="180">
        <v>111439.05</v>
      </c>
      <c r="Y45" s="180"/>
      <c r="Z45" s="180">
        <v>150000</v>
      </c>
      <c r="AA45" s="180">
        <v>0</v>
      </c>
      <c r="AB45" s="180">
        <v>80773</v>
      </c>
      <c r="AC45" s="180">
        <v>342212.05</v>
      </c>
      <c r="AD45" s="195">
        <v>1857317.44</v>
      </c>
      <c r="AE45" s="177" t="s">
        <v>161</v>
      </c>
      <c r="AF45" s="182">
        <v>44880</v>
      </c>
      <c r="AG45" s="197">
        <v>5.7670622795543878</v>
      </c>
      <c r="AH45" s="197">
        <v>5.3867935435363448</v>
      </c>
      <c r="AI45" s="196">
        <f>AG45/Q45-1</f>
        <v>9.8488053248454888E-2</v>
      </c>
      <c r="AJ45" s="196">
        <f>AH45/Q45-1</f>
        <v>2.6055913054541913E-2</v>
      </c>
      <c r="AK45" s="177">
        <v>9</v>
      </c>
      <c r="AL45" s="177"/>
      <c r="AM45" s="177"/>
      <c r="AN45" s="177" t="s">
        <v>293</v>
      </c>
      <c r="AP45" s="196">
        <f>AG45/O45-1</f>
        <v>0.28156939545653059</v>
      </c>
      <c r="AQ45" s="196">
        <f>AH45/O45-1</f>
        <v>0.19706523189696545</v>
      </c>
      <c r="AR45" s="177" t="str">
        <f t="shared" si="28"/>
        <v>New Lease</v>
      </c>
      <c r="AS45" s="182" t="str">
        <f t="shared" si="29"/>
        <v>Q4 2022</v>
      </c>
      <c r="AT45" s="182" t="str">
        <f t="shared" si="30"/>
        <v>2H2022</v>
      </c>
      <c r="AU45" s="184" t="str">
        <f t="shared" si="31"/>
        <v>20-50K</v>
      </c>
      <c r="AV45" s="179">
        <f t="shared" si="26"/>
        <v>46156</v>
      </c>
      <c r="AW45" s="233">
        <f t="shared" si="32"/>
        <v>230780</v>
      </c>
      <c r="AX45" s="233">
        <f t="shared" si="33"/>
        <v>207702</v>
      </c>
      <c r="AY45" s="233">
        <f>J45*P45</f>
        <v>242319</v>
      </c>
      <c r="AZ45" s="233">
        <f>Q45*AV45</f>
        <v>242319</v>
      </c>
      <c r="BA45" s="233">
        <f t="shared" si="34"/>
        <v>242319</v>
      </c>
      <c r="BB45" s="233">
        <f t="shared" si="35"/>
        <v>242319</v>
      </c>
      <c r="BC45" s="233">
        <f t="shared" si="36"/>
        <v>266184.52657511231</v>
      </c>
      <c r="BD45" s="233">
        <f t="shared" si="27"/>
        <v>248632.84279546354</v>
      </c>
      <c r="BE45" s="233">
        <f t="shared" si="37"/>
        <v>0</v>
      </c>
      <c r="BF45" s="233">
        <f t="shared" si="38"/>
        <v>46156</v>
      </c>
      <c r="BG45" s="233">
        <f t="shared" si="39"/>
        <v>415404</v>
      </c>
      <c r="BH45" s="186">
        <f t="shared" si="40"/>
        <v>242319</v>
      </c>
      <c r="BI45" s="233">
        <f t="shared" si="41"/>
        <v>4</v>
      </c>
      <c r="BJ45" s="233">
        <f t="shared" si="42"/>
        <v>969276</v>
      </c>
      <c r="BK45" s="233">
        <f t="shared" si="43"/>
        <v>850427.55964287883</v>
      </c>
      <c r="BL45" s="233">
        <f t="shared" si="44"/>
        <v>849270.39999999991</v>
      </c>
      <c r="BM45" s="233">
        <f t="shared" si="45"/>
        <v>138468</v>
      </c>
      <c r="BN45" s="233">
        <f t="shared" si="46"/>
        <v>138468</v>
      </c>
    </row>
    <row r="46" spans="1:66" s="198" customFormat="1" hidden="1" outlineLevel="1">
      <c r="A46" s="176" t="s">
        <v>294</v>
      </c>
      <c r="B46" s="176" t="s">
        <v>252</v>
      </c>
      <c r="C46" s="176"/>
      <c r="D46" s="176"/>
      <c r="E46" s="176"/>
      <c r="F46" s="176" t="s">
        <v>144</v>
      </c>
      <c r="G46" s="176">
        <f>_xlfn.XLOOKUP(AN46,[2]ySQL_0_24102024094604!$B:$B,[2]ySQL_0_24102024094604!$D:$D,0)</f>
        <v>0</v>
      </c>
      <c r="H46" s="176" t="s">
        <v>295</v>
      </c>
      <c r="I46" s="177">
        <v>36</v>
      </c>
      <c r="J46" s="178">
        <v>1971</v>
      </c>
      <c r="K46" s="178">
        <f>_xlfn.XLOOKUP(AN46,'[3]Main Data Table'!$B:$B,'[3]Main Data Table'!$AB:$AB,0)</f>
        <v>2315417.6018076534</v>
      </c>
      <c r="L46" s="178">
        <v>21987</v>
      </c>
      <c r="M46" s="190">
        <f>Q46/(K46/L46)</f>
        <v>7.7676553836157972E-2</v>
      </c>
      <c r="N46" s="177">
        <f>9.55-1.66</f>
        <v>7.8900000000000006</v>
      </c>
      <c r="O46" s="177">
        <v>8.89</v>
      </c>
      <c r="P46" s="177">
        <v>8.15</v>
      </c>
      <c r="Q46" s="177">
        <f>9.84-1.66</f>
        <v>8.18</v>
      </c>
      <c r="R46" s="177">
        <v>3</v>
      </c>
      <c r="S46" s="177">
        <v>3</v>
      </c>
      <c r="T46" s="179">
        <f>AC46/AD46*100</f>
        <v>2.999992327939875</v>
      </c>
      <c r="U46" s="185"/>
      <c r="V46" s="177">
        <v>0</v>
      </c>
      <c r="W46" s="177">
        <v>0</v>
      </c>
      <c r="X46" s="188">
        <v>1798.73</v>
      </c>
      <c r="Y46" s="188"/>
      <c r="Z46" s="188">
        <v>0</v>
      </c>
      <c r="AA46" s="188">
        <v>0</v>
      </c>
      <c r="AB46" s="188">
        <v>0</v>
      </c>
      <c r="AC46" s="188">
        <f>X46+Z46+AA46+AB46</f>
        <v>1798.73</v>
      </c>
      <c r="AD46" s="189">
        <v>59957.82</v>
      </c>
      <c r="AE46" s="177" t="s">
        <v>147</v>
      </c>
      <c r="AF46" s="182">
        <v>45412</v>
      </c>
      <c r="AG46" s="177"/>
      <c r="AH46" s="177"/>
      <c r="AI46" s="183"/>
      <c r="AJ46" s="183"/>
      <c r="AK46" s="177"/>
      <c r="AL46" s="177"/>
      <c r="AM46" s="177"/>
      <c r="AN46" s="177" t="s">
        <v>296</v>
      </c>
      <c r="AO46" s="177"/>
      <c r="AP46" s="183"/>
      <c r="AQ46" s="183"/>
      <c r="AR46" s="177" t="str">
        <f t="shared" si="28"/>
        <v>Renewal</v>
      </c>
      <c r="AS46" s="182" t="str">
        <f t="shared" si="29"/>
        <v>Q2 2024</v>
      </c>
      <c r="AT46" s="182" t="str">
        <f t="shared" si="30"/>
        <v>1H2024</v>
      </c>
      <c r="AU46" s="184" t="str">
        <f t="shared" si="31"/>
        <v>&lt; 20K</v>
      </c>
      <c r="AV46" s="179">
        <f t="shared" si="26"/>
        <v>1971</v>
      </c>
      <c r="AW46" s="233">
        <f t="shared" si="32"/>
        <v>15551.19</v>
      </c>
      <c r="AX46" s="233">
        <f t="shared" si="33"/>
        <v>17522.190000000002</v>
      </c>
      <c r="AY46" s="198">
        <f t="shared" ref="AY46:AY55" si="47">IF(P46="","",J46*P46)</f>
        <v>16063.650000000001</v>
      </c>
      <c r="AZ46" s="233">
        <f>IFERROR(Q46*AV46,"")</f>
        <v>16122.779999999999</v>
      </c>
      <c r="BA46" s="233">
        <f t="shared" si="34"/>
        <v>16122.779999999999</v>
      </c>
      <c r="BB46" s="233">
        <f t="shared" si="35"/>
        <v>16122.779999999999</v>
      </c>
      <c r="BC46" s="233">
        <f t="shared" si="36"/>
        <v>0</v>
      </c>
      <c r="BD46" s="233">
        <f t="shared" si="27"/>
        <v>0</v>
      </c>
      <c r="BE46" s="233">
        <f t="shared" si="37"/>
        <v>0</v>
      </c>
      <c r="BF46" s="233">
        <f t="shared" si="38"/>
        <v>0</v>
      </c>
      <c r="BG46" s="233">
        <f t="shared" si="39"/>
        <v>0</v>
      </c>
      <c r="BH46" s="186" t="str">
        <f t="shared" si="40"/>
        <v/>
      </c>
      <c r="BI46" s="233">
        <f t="shared" si="41"/>
        <v>0</v>
      </c>
      <c r="BJ46" s="233">
        <f t="shared" si="42"/>
        <v>0</v>
      </c>
      <c r="BK46" s="233">
        <f t="shared" si="43"/>
        <v>5912.9848783694933</v>
      </c>
      <c r="BL46" s="233">
        <f t="shared" si="44"/>
        <v>0</v>
      </c>
      <c r="BM46" s="233">
        <f t="shared" si="45"/>
        <v>5913</v>
      </c>
      <c r="BN46" s="233">
        <f t="shared" si="46"/>
        <v>5913</v>
      </c>
    </row>
    <row r="47" spans="1:66" s="198" customFormat="1" hidden="1" outlineLevel="1">
      <c r="A47" s="176" t="s">
        <v>297</v>
      </c>
      <c r="B47" s="176" t="s">
        <v>143</v>
      </c>
      <c r="C47" s="176"/>
      <c r="D47" s="176"/>
      <c r="E47" s="176"/>
      <c r="F47" s="176" t="s">
        <v>173</v>
      </c>
      <c r="G47" s="176">
        <f>_xlfn.XLOOKUP(AN47,[2]ySQL_0_24102024094604!$B:$B,[2]ySQL_0_24102024094604!$D:$D,0)</f>
        <v>0</v>
      </c>
      <c r="H47" s="176" t="s">
        <v>298</v>
      </c>
      <c r="I47" s="177">
        <v>84</v>
      </c>
      <c r="J47" s="194">
        <v>22060</v>
      </c>
      <c r="K47" s="194"/>
      <c r="L47" s="194"/>
      <c r="M47" s="194"/>
      <c r="N47" s="177"/>
      <c r="O47" s="177">
        <v>12</v>
      </c>
      <c r="P47" s="177" t="s">
        <v>167</v>
      </c>
      <c r="Q47" s="177">
        <v>12.5</v>
      </c>
      <c r="R47" s="177">
        <v>3.5</v>
      </c>
      <c r="S47" s="177">
        <v>3.5</v>
      </c>
      <c r="T47" s="179">
        <v>10.590590753100001</v>
      </c>
      <c r="U47" s="177">
        <v>13.26</v>
      </c>
      <c r="V47" s="177">
        <v>0</v>
      </c>
      <c r="W47" s="177">
        <f>6-$W$3</f>
        <v>5.09</v>
      </c>
      <c r="X47" s="180">
        <v>163516.26999999999</v>
      </c>
      <c r="Y47" s="180">
        <f>Z47/J47</f>
        <v>3.0544691749773345</v>
      </c>
      <c r="Z47" s="180">
        <v>67381.59</v>
      </c>
      <c r="AA47" s="180">
        <v>0</v>
      </c>
      <c r="AB47" s="180">
        <v>0</v>
      </c>
      <c r="AC47" s="180">
        <v>230897.86</v>
      </c>
      <c r="AD47" s="195">
        <v>2180217</v>
      </c>
      <c r="AE47" s="177" t="s">
        <v>147</v>
      </c>
      <c r="AF47" s="182">
        <v>44747</v>
      </c>
      <c r="AG47" s="177">
        <v>13.397779773086691</v>
      </c>
      <c r="AH47" s="177">
        <v>10.799330146749877</v>
      </c>
      <c r="AI47" s="196">
        <f>AG47/Q47-1</f>
        <v>7.1822381846935235E-2</v>
      </c>
      <c r="AJ47" s="196">
        <f>AH47/Q47-1</f>
        <v>-0.13605358826000979</v>
      </c>
      <c r="AK47" s="177">
        <v>5.5</v>
      </c>
      <c r="AL47" s="177"/>
      <c r="AM47" s="177"/>
      <c r="AN47" s="177" t="s">
        <v>299</v>
      </c>
      <c r="AO47" s="177"/>
      <c r="AP47" s="196">
        <f>AG47/O47-1</f>
        <v>0.11648164775722436</v>
      </c>
      <c r="AQ47" s="196">
        <f>AH47/O47-1</f>
        <v>-0.10005582110417688</v>
      </c>
      <c r="AR47" s="177" t="str">
        <f t="shared" si="28"/>
        <v>New Lease</v>
      </c>
      <c r="AS47" s="182" t="str">
        <f t="shared" si="29"/>
        <v>Q3 2022</v>
      </c>
      <c r="AT47" s="182" t="str">
        <f t="shared" si="30"/>
        <v>2H2022</v>
      </c>
      <c r="AU47" s="184" t="str">
        <f t="shared" si="31"/>
        <v>20-50K</v>
      </c>
      <c r="AV47" s="179">
        <v>0</v>
      </c>
      <c r="AW47" s="233">
        <f t="shared" si="32"/>
        <v>0</v>
      </c>
      <c r="AX47" s="233">
        <f t="shared" si="33"/>
        <v>264720</v>
      </c>
      <c r="AY47" s="198" t="str">
        <f t="shared" si="47"/>
        <v/>
      </c>
      <c r="AZ47" s="233">
        <f>Q47*AV47</f>
        <v>0</v>
      </c>
      <c r="BA47" s="233">
        <f t="shared" si="34"/>
        <v>275750</v>
      </c>
      <c r="BB47" s="233" t="str">
        <f t="shared" si="35"/>
        <v/>
      </c>
      <c r="BC47" s="233">
        <f t="shared" si="36"/>
        <v>295555.02179429244</v>
      </c>
      <c r="BD47" s="233">
        <f t="shared" si="27"/>
        <v>238233.22303730229</v>
      </c>
      <c r="BE47" s="233">
        <f t="shared" si="37"/>
        <v>0</v>
      </c>
      <c r="BF47" s="233">
        <f t="shared" si="38"/>
        <v>22060</v>
      </c>
      <c r="BG47" s="233">
        <f t="shared" si="39"/>
        <v>112285.4</v>
      </c>
      <c r="BH47" s="186" t="str">
        <f t="shared" si="40"/>
        <v/>
      </c>
      <c r="BI47" s="233">
        <f t="shared" si="41"/>
        <v>0</v>
      </c>
      <c r="BJ47" s="233">
        <f t="shared" si="42"/>
        <v>0</v>
      </c>
      <c r="BK47" s="233">
        <f t="shared" si="43"/>
        <v>233628.43201338602</v>
      </c>
      <c r="BL47" s="233">
        <f t="shared" si="44"/>
        <v>292515.59999999998</v>
      </c>
      <c r="BM47" s="233">
        <f t="shared" si="45"/>
        <v>77210</v>
      </c>
      <c r="BN47" s="233">
        <f t="shared" si="46"/>
        <v>77210</v>
      </c>
    </row>
    <row r="48" spans="1:66" s="198" customFormat="1" hidden="1" outlineLevel="1">
      <c r="A48" s="176" t="s">
        <v>300</v>
      </c>
      <c r="B48" s="176" t="s">
        <v>157</v>
      </c>
      <c r="C48" s="176"/>
      <c r="D48" s="176"/>
      <c r="E48" s="176"/>
      <c r="F48" s="176" t="s">
        <v>181</v>
      </c>
      <c r="G48" s="176">
        <f>_xlfn.XLOOKUP(AN48,[2]ySQL_0_24102024094604!$B:$B,[2]ySQL_0_24102024094604!$D:$D,0)</f>
        <v>0</v>
      </c>
      <c r="H48" s="176" t="s">
        <v>301</v>
      </c>
      <c r="I48" s="177">
        <v>62</v>
      </c>
      <c r="J48" s="178">
        <v>1894</v>
      </c>
      <c r="K48" s="178">
        <f>_xlfn.XLOOKUP(AN48,'[3]Main Data Table'!$B:$B,'[3]Main Data Table'!$AB:$AB,0)</f>
        <v>5434351.140865257</v>
      </c>
      <c r="L48" s="178">
        <v>53101</v>
      </c>
      <c r="M48" s="190">
        <f>Q48/(K48/L48)</f>
        <v>0.1538989160473789</v>
      </c>
      <c r="N48" s="177">
        <v>15.3</v>
      </c>
      <c r="O48" s="177">
        <v>9.25</v>
      </c>
      <c r="P48" s="177">
        <v>15</v>
      </c>
      <c r="Q48" s="177">
        <v>15.75</v>
      </c>
      <c r="R48" s="177">
        <v>3.25</v>
      </c>
      <c r="S48" s="177">
        <v>3</v>
      </c>
      <c r="T48" s="179">
        <f>AC48/AD48*100</f>
        <v>7.606764559604569</v>
      </c>
      <c r="U48" s="185"/>
      <c r="V48" s="177">
        <v>0</v>
      </c>
      <c r="W48" s="177">
        <v>0</v>
      </c>
      <c r="X48" s="188">
        <v>7201.3499999999995</v>
      </c>
      <c r="Y48" s="188"/>
      <c r="Z48" s="188">
        <v>0</v>
      </c>
      <c r="AA48" s="188">
        <v>0</v>
      </c>
      <c r="AB48" s="188">
        <v>4971.75</v>
      </c>
      <c r="AC48" s="188">
        <f>X48+Z48+AA48+AB48</f>
        <v>12173.099999999999</v>
      </c>
      <c r="AD48" s="189">
        <v>160029.93</v>
      </c>
      <c r="AE48" s="177" t="s">
        <v>147</v>
      </c>
      <c r="AF48" s="182">
        <v>45407</v>
      </c>
      <c r="AG48" s="177"/>
      <c r="AH48" s="177"/>
      <c r="AI48" s="183"/>
      <c r="AJ48" s="183"/>
      <c r="AK48" s="177"/>
      <c r="AL48" s="177"/>
      <c r="AM48" s="177"/>
      <c r="AN48" s="177" t="s">
        <v>302</v>
      </c>
      <c r="AO48" s="177"/>
      <c r="AP48" s="183"/>
      <c r="AQ48" s="183"/>
      <c r="AR48" s="177" t="str">
        <f t="shared" si="28"/>
        <v>Renewal</v>
      </c>
      <c r="AS48" s="182" t="str">
        <f t="shared" si="29"/>
        <v>Q2 2024</v>
      </c>
      <c r="AT48" s="182" t="str">
        <f t="shared" si="30"/>
        <v>1H2024</v>
      </c>
      <c r="AU48" s="184" t="str">
        <f t="shared" si="31"/>
        <v>&lt; 20K</v>
      </c>
      <c r="AV48" s="179">
        <f t="shared" ref="AV48:AV58" si="48">IF(N48="","",J48)</f>
        <v>1894</v>
      </c>
      <c r="AW48" s="233">
        <f t="shared" si="32"/>
        <v>28978.2</v>
      </c>
      <c r="AX48" s="233">
        <f t="shared" si="33"/>
        <v>17519.5</v>
      </c>
      <c r="AY48" s="198">
        <f t="shared" si="47"/>
        <v>28410</v>
      </c>
      <c r="AZ48" s="233">
        <f>IFERROR(Q48*AV48,"")</f>
        <v>29830.5</v>
      </c>
      <c r="BA48" s="233">
        <f t="shared" si="34"/>
        <v>29830.5</v>
      </c>
      <c r="BB48" s="233">
        <f t="shared" si="35"/>
        <v>29830.5</v>
      </c>
      <c r="BC48" s="233">
        <f t="shared" si="36"/>
        <v>0</v>
      </c>
      <c r="BD48" s="233">
        <f t="shared" si="27"/>
        <v>0</v>
      </c>
      <c r="BE48" s="233">
        <f t="shared" si="37"/>
        <v>0</v>
      </c>
      <c r="BF48" s="233">
        <f t="shared" si="38"/>
        <v>0</v>
      </c>
      <c r="BG48" s="233">
        <f t="shared" si="39"/>
        <v>0</v>
      </c>
      <c r="BH48" s="186">
        <f t="shared" si="40"/>
        <v>29830.5</v>
      </c>
      <c r="BI48" s="233">
        <f t="shared" si="41"/>
        <v>2</v>
      </c>
      <c r="BJ48" s="233">
        <f t="shared" si="42"/>
        <v>59661</v>
      </c>
      <c r="BK48" s="233">
        <f t="shared" si="43"/>
        <v>14407.212075891053</v>
      </c>
      <c r="BL48" s="233">
        <f t="shared" si="44"/>
        <v>0</v>
      </c>
      <c r="BM48" s="233">
        <f t="shared" si="45"/>
        <v>6155.5</v>
      </c>
      <c r="BN48" s="233">
        <f t="shared" si="46"/>
        <v>5682</v>
      </c>
    </row>
    <row r="49" spans="1:66" s="198" customFormat="1" hidden="1" outlineLevel="1">
      <c r="A49" s="176" t="s">
        <v>303</v>
      </c>
      <c r="B49" s="176" t="s">
        <v>143</v>
      </c>
      <c r="C49" s="176"/>
      <c r="D49" s="176"/>
      <c r="E49" s="176"/>
      <c r="F49" s="176" t="s">
        <v>185</v>
      </c>
      <c r="G49" s="176">
        <f>_xlfn.XLOOKUP(AN49,[2]ySQL_0_24102024094604!$B:$B,[2]ySQL_0_24102024094604!$D:$D,0)</f>
        <v>0</v>
      </c>
      <c r="H49" s="176" t="s">
        <v>304</v>
      </c>
      <c r="I49" s="177">
        <v>87</v>
      </c>
      <c r="J49" s="194">
        <v>114027</v>
      </c>
      <c r="K49" s="194"/>
      <c r="L49" s="194"/>
      <c r="M49" s="194"/>
      <c r="N49" s="177">
        <v>4.32</v>
      </c>
      <c r="O49" s="177">
        <v>3.61</v>
      </c>
      <c r="P49" s="177" t="s">
        <v>167</v>
      </c>
      <c r="Q49" s="177">
        <v>3.5</v>
      </c>
      <c r="R49" s="177">
        <v>3</v>
      </c>
      <c r="S49" s="177">
        <v>3</v>
      </c>
      <c r="T49" s="179">
        <v>16.5323725525</v>
      </c>
      <c r="U49" s="177">
        <v>23.14</v>
      </c>
      <c r="V49" s="177">
        <v>0</v>
      </c>
      <c r="W49" s="177">
        <f>12-$W$3</f>
        <v>11.09</v>
      </c>
      <c r="X49" s="180">
        <v>185014.5</v>
      </c>
      <c r="Y49" s="180">
        <f>Z49/J49</f>
        <v>1.973216869688758</v>
      </c>
      <c r="Z49" s="180">
        <v>225000</v>
      </c>
      <c r="AA49" s="180">
        <v>0</v>
      </c>
      <c r="AB49" s="180">
        <v>99773.64</v>
      </c>
      <c r="AC49" s="180">
        <v>509788.14</v>
      </c>
      <c r="AD49" s="195">
        <v>3083575.2</v>
      </c>
      <c r="AE49" s="177" t="s">
        <v>147</v>
      </c>
      <c r="AF49" s="182">
        <v>44593</v>
      </c>
      <c r="AG49" s="177">
        <v>4.3708098221899867</v>
      </c>
      <c r="AH49" s="177">
        <v>4.0320236940114222</v>
      </c>
      <c r="AI49" s="196">
        <f>AG49/Q49-1</f>
        <v>0.2488028063399963</v>
      </c>
      <c r="AJ49" s="196">
        <f>AH49/Q49-1</f>
        <v>0.15200676971754912</v>
      </c>
      <c r="AK49" s="177"/>
      <c r="AL49" s="177"/>
      <c r="AM49" s="177"/>
      <c r="AN49" s="177" t="s">
        <v>187</v>
      </c>
      <c r="AO49" s="177"/>
      <c r="AP49" s="196">
        <f>AG49/O49-1</f>
        <v>0.2107506432659243</v>
      </c>
      <c r="AQ49" s="196">
        <f>AH49/O49-1</f>
        <v>0.11690407036327488</v>
      </c>
      <c r="AR49" s="177" t="str">
        <f t="shared" si="28"/>
        <v>New Lease</v>
      </c>
      <c r="AS49" s="182" t="str">
        <f t="shared" si="29"/>
        <v>Q1 2022</v>
      </c>
      <c r="AT49" s="182" t="str">
        <f t="shared" si="30"/>
        <v>1H2022</v>
      </c>
      <c r="AU49" s="184" t="str">
        <f t="shared" si="31"/>
        <v>&gt;100K</v>
      </c>
      <c r="AV49" s="179">
        <f t="shared" si="48"/>
        <v>114027</v>
      </c>
      <c r="AW49" s="233">
        <f t="shared" si="32"/>
        <v>492596.64</v>
      </c>
      <c r="AX49" s="233">
        <f t="shared" si="33"/>
        <v>411637.47</v>
      </c>
      <c r="AY49" s="198" t="str">
        <f t="shared" si="47"/>
        <v/>
      </c>
      <c r="AZ49" s="233">
        <f>Q49*AV49</f>
        <v>399094.5</v>
      </c>
      <c r="BA49" s="233">
        <f t="shared" si="34"/>
        <v>399094.5</v>
      </c>
      <c r="BB49" s="233">
        <f t="shared" si="35"/>
        <v>399094.5</v>
      </c>
      <c r="BC49" s="233">
        <f t="shared" si="36"/>
        <v>498390.33159485762</v>
      </c>
      <c r="BD49" s="233">
        <f t="shared" si="27"/>
        <v>459759.56575704046</v>
      </c>
      <c r="BE49" s="233">
        <f t="shared" si="37"/>
        <v>0</v>
      </c>
      <c r="BF49" s="233">
        <f t="shared" si="38"/>
        <v>114027</v>
      </c>
      <c r="BG49" s="233">
        <f t="shared" si="39"/>
        <v>1264559.43</v>
      </c>
      <c r="BH49" s="186">
        <f t="shared" si="40"/>
        <v>399094.5</v>
      </c>
      <c r="BI49" s="233">
        <f t="shared" si="41"/>
        <v>3.0000004510209988</v>
      </c>
      <c r="BJ49" s="233">
        <f t="shared" si="42"/>
        <v>1197283.68</v>
      </c>
      <c r="BK49" s="233">
        <f t="shared" si="43"/>
        <v>1885136.8450439174</v>
      </c>
      <c r="BL49" s="233">
        <f t="shared" si="44"/>
        <v>2638584.7800000003</v>
      </c>
      <c r="BM49" s="233">
        <f t="shared" si="45"/>
        <v>342081</v>
      </c>
      <c r="BN49" s="233">
        <f t="shared" si="46"/>
        <v>342081</v>
      </c>
    </row>
    <row r="50" spans="1:66" s="198" customFormat="1" hidden="1" outlineLevel="1">
      <c r="A50" s="176" t="s">
        <v>305</v>
      </c>
      <c r="B50" s="176" t="s">
        <v>157</v>
      </c>
      <c r="C50" s="176"/>
      <c r="D50" s="176"/>
      <c r="E50" s="176"/>
      <c r="F50" s="176" t="s">
        <v>173</v>
      </c>
      <c r="G50" s="176">
        <f>_xlfn.XLOOKUP(AN50,[2]ySQL_0_24102024094604!$B:$B,[2]ySQL_0_24102024094604!$D:$D,0)</f>
        <v>0</v>
      </c>
      <c r="H50" s="176" t="s">
        <v>306</v>
      </c>
      <c r="I50" s="177">
        <v>36</v>
      </c>
      <c r="J50" s="178">
        <v>6792</v>
      </c>
      <c r="K50" s="178">
        <f>_xlfn.XLOOKUP(AN50,'[3]Main Data Table'!$B:$B,'[3]Main Data Table'!$AB:$AB,0)</f>
        <v>2299436.4633107767</v>
      </c>
      <c r="L50" s="178">
        <v>6792</v>
      </c>
      <c r="M50" s="190">
        <f>Q50/(K50/L50)</f>
        <v>5.6121576768507007E-2</v>
      </c>
      <c r="N50" s="177">
        <v>16.39</v>
      </c>
      <c r="O50" s="177">
        <v>16.71</v>
      </c>
      <c r="P50" s="177">
        <v>18.600000000000001</v>
      </c>
      <c r="Q50" s="177">
        <v>19</v>
      </c>
      <c r="R50" s="177">
        <v>3</v>
      </c>
      <c r="S50" s="177">
        <v>3</v>
      </c>
      <c r="T50" s="179">
        <f>AC50/AD50*100</f>
        <v>15.041583963024177</v>
      </c>
      <c r="U50" s="185"/>
      <c r="V50" s="177">
        <v>0</v>
      </c>
      <c r="W50" s="177">
        <v>0</v>
      </c>
      <c r="X50" s="188">
        <v>0</v>
      </c>
      <c r="Y50" s="180">
        <f>Z50/J50</f>
        <v>8.8339222614840995</v>
      </c>
      <c r="Z50" s="188">
        <v>60000</v>
      </c>
      <c r="AA50" s="188">
        <v>0</v>
      </c>
      <c r="AB50" s="188">
        <v>0</v>
      </c>
      <c r="AC50" s="188">
        <f>X50+Z50+AA50+AB50</f>
        <v>60000</v>
      </c>
      <c r="AD50" s="189">
        <v>398894.16</v>
      </c>
      <c r="AE50" s="177" t="s">
        <v>147</v>
      </c>
      <c r="AF50" s="182">
        <v>45386</v>
      </c>
      <c r="AG50" s="177"/>
      <c r="AH50" s="177"/>
      <c r="AI50" s="183"/>
      <c r="AJ50" s="183"/>
      <c r="AK50" s="177"/>
      <c r="AL50" s="177"/>
      <c r="AM50" s="177"/>
      <c r="AN50" s="177" t="s">
        <v>307</v>
      </c>
      <c r="AO50" s="177"/>
      <c r="AP50" s="183"/>
      <c r="AQ50" s="183"/>
      <c r="AR50" s="177" t="str">
        <f t="shared" si="28"/>
        <v>Renewal</v>
      </c>
      <c r="AS50" s="182" t="str">
        <f t="shared" si="29"/>
        <v>Q2 2024</v>
      </c>
      <c r="AT50" s="182" t="str">
        <f t="shared" si="30"/>
        <v>1H2024</v>
      </c>
      <c r="AU50" s="184" t="str">
        <f t="shared" si="31"/>
        <v>&lt; 20K</v>
      </c>
      <c r="AV50" s="179">
        <f t="shared" si="48"/>
        <v>6792</v>
      </c>
      <c r="AW50" s="233">
        <f t="shared" si="32"/>
        <v>111320.88</v>
      </c>
      <c r="AX50" s="233">
        <f t="shared" si="33"/>
        <v>113494.32</v>
      </c>
      <c r="AY50" s="198">
        <f t="shared" si="47"/>
        <v>126331.20000000001</v>
      </c>
      <c r="AZ50" s="233">
        <f>IFERROR(Q50*AV50,"")</f>
        <v>129048</v>
      </c>
      <c r="BA50" s="233">
        <f t="shared" si="34"/>
        <v>129048</v>
      </c>
      <c r="BB50" s="233">
        <f t="shared" si="35"/>
        <v>129048</v>
      </c>
      <c r="BC50" s="233">
        <f t="shared" si="36"/>
        <v>0</v>
      </c>
      <c r="BD50" s="233">
        <f t="shared" si="27"/>
        <v>0</v>
      </c>
      <c r="BE50" s="233">
        <f t="shared" si="37"/>
        <v>0</v>
      </c>
      <c r="BF50" s="233">
        <f t="shared" si="38"/>
        <v>0</v>
      </c>
      <c r="BG50" s="233">
        <f t="shared" si="39"/>
        <v>0</v>
      </c>
      <c r="BH50" s="186" t="str">
        <f t="shared" si="40"/>
        <v/>
      </c>
      <c r="BI50" s="233">
        <f t="shared" si="41"/>
        <v>0</v>
      </c>
      <c r="BJ50" s="233">
        <f t="shared" si="42"/>
        <v>0</v>
      </c>
      <c r="BK50" s="233">
        <f t="shared" si="43"/>
        <v>102162.43827686021</v>
      </c>
      <c r="BL50" s="233">
        <f t="shared" si="44"/>
        <v>0</v>
      </c>
      <c r="BM50" s="233">
        <f t="shared" si="45"/>
        <v>20376</v>
      </c>
      <c r="BN50" s="233">
        <f t="shared" si="46"/>
        <v>20376</v>
      </c>
    </row>
    <row r="51" spans="1:66" s="198" customFormat="1" hidden="1" outlineLevel="1">
      <c r="A51" s="176" t="s">
        <v>308</v>
      </c>
      <c r="B51" s="176" t="s">
        <v>238</v>
      </c>
      <c r="C51" s="176"/>
      <c r="D51" s="176"/>
      <c r="E51" s="176"/>
      <c r="F51" s="176" t="s">
        <v>181</v>
      </c>
      <c r="G51" s="176">
        <f>_xlfn.XLOOKUP(AN51,[2]ySQL_0_24102024094604!$B:$B,[2]ySQL_0_24102024094604!$D:$D,0)</f>
        <v>0</v>
      </c>
      <c r="H51" s="176" t="s">
        <v>309</v>
      </c>
      <c r="I51" s="177">
        <v>60</v>
      </c>
      <c r="J51" s="194">
        <v>34205</v>
      </c>
      <c r="K51" s="194"/>
      <c r="L51" s="194"/>
      <c r="M51" s="194"/>
      <c r="N51" s="177">
        <v>3.44</v>
      </c>
      <c r="O51" s="177">
        <v>5.37</v>
      </c>
      <c r="P51" s="177" t="s">
        <v>167</v>
      </c>
      <c r="Q51" s="177">
        <v>8.25</v>
      </c>
      <c r="R51" s="177">
        <v>3</v>
      </c>
      <c r="S51" s="177">
        <v>2.5</v>
      </c>
      <c r="T51" s="179">
        <v>5.1044049657999997</v>
      </c>
      <c r="U51" s="177">
        <v>28.43</v>
      </c>
      <c r="V51" s="177">
        <v>0</v>
      </c>
      <c r="W51" s="177">
        <f>6-$W$3</f>
        <v>5.09</v>
      </c>
      <c r="X51" s="180">
        <v>66350.62</v>
      </c>
      <c r="Y51" s="180">
        <f>Z51/J51</f>
        <v>0.29595526969741265</v>
      </c>
      <c r="Z51" s="180">
        <v>10123.15</v>
      </c>
      <c r="AA51" s="180">
        <v>0</v>
      </c>
      <c r="AB51" s="180">
        <v>0</v>
      </c>
      <c r="AC51" s="180">
        <v>76473.77</v>
      </c>
      <c r="AD51" s="195">
        <v>1498191.67</v>
      </c>
      <c r="AE51" s="177" t="s">
        <v>147</v>
      </c>
      <c r="AF51" s="182">
        <v>44693</v>
      </c>
      <c r="AG51" s="177">
        <v>8.9421291367500118</v>
      </c>
      <c r="AH51" s="177">
        <v>8.2461327123921908</v>
      </c>
      <c r="AI51" s="196">
        <f>AG51/Q51-1</f>
        <v>8.3894440818183202E-2</v>
      </c>
      <c r="AJ51" s="196">
        <f>AH51/Q51-1</f>
        <v>-4.6876213427993196E-4</v>
      </c>
      <c r="AK51" s="177"/>
      <c r="AL51" s="177"/>
      <c r="AM51" s="177"/>
      <c r="AN51" s="177" t="s">
        <v>310</v>
      </c>
      <c r="AO51" s="177"/>
      <c r="AP51" s="196">
        <f>AG51/O51-1</f>
        <v>0.66520095656424805</v>
      </c>
      <c r="AQ51" s="196">
        <f>AH51/O51-1</f>
        <v>0.53559268387191628</v>
      </c>
      <c r="AR51" s="177" t="str">
        <f t="shared" si="28"/>
        <v>New Lease</v>
      </c>
      <c r="AS51" s="182" t="str">
        <f t="shared" si="29"/>
        <v>Q2 2022</v>
      </c>
      <c r="AT51" s="182" t="str">
        <f t="shared" si="30"/>
        <v>1H2022</v>
      </c>
      <c r="AU51" s="184" t="str">
        <f t="shared" si="31"/>
        <v>20-50K</v>
      </c>
      <c r="AV51" s="179">
        <f t="shared" si="48"/>
        <v>34205</v>
      </c>
      <c r="AW51" s="233">
        <f t="shared" si="32"/>
        <v>117665.2</v>
      </c>
      <c r="AX51" s="233">
        <f t="shared" si="33"/>
        <v>183680.85</v>
      </c>
      <c r="AY51" s="198" t="str">
        <f t="shared" si="47"/>
        <v/>
      </c>
      <c r="AZ51" s="233">
        <f>Q51*AV51</f>
        <v>282191.25</v>
      </c>
      <c r="BA51" s="233">
        <f t="shared" si="34"/>
        <v>282191.25</v>
      </c>
      <c r="BB51" s="233">
        <f t="shared" si="35"/>
        <v>282191.25</v>
      </c>
      <c r="BC51" s="233">
        <f t="shared" si="36"/>
        <v>305865.52712253417</v>
      </c>
      <c r="BD51" s="233">
        <f t="shared" si="27"/>
        <v>282058.96942737489</v>
      </c>
      <c r="BE51" s="233">
        <f t="shared" si="37"/>
        <v>0</v>
      </c>
      <c r="BF51" s="233">
        <f t="shared" si="38"/>
        <v>34205</v>
      </c>
      <c r="BG51" s="233">
        <f t="shared" si="39"/>
        <v>174103.44999999998</v>
      </c>
      <c r="BH51" s="186" t="str">
        <f t="shared" si="40"/>
        <v/>
      </c>
      <c r="BI51" s="233">
        <f t="shared" si="41"/>
        <v>0</v>
      </c>
      <c r="BJ51" s="233">
        <f t="shared" si="42"/>
        <v>0</v>
      </c>
      <c r="BK51" s="233">
        <f t="shared" si="43"/>
        <v>174596.17185518899</v>
      </c>
      <c r="BL51" s="233">
        <f t="shared" si="44"/>
        <v>972448.15</v>
      </c>
      <c r="BM51" s="233">
        <f t="shared" si="45"/>
        <v>102615</v>
      </c>
      <c r="BN51" s="233">
        <f t="shared" si="46"/>
        <v>85512.5</v>
      </c>
    </row>
    <row r="52" spans="1:66" s="198" customFormat="1" hidden="1" outlineLevel="1">
      <c r="A52" s="176" t="s">
        <v>311</v>
      </c>
      <c r="B52" s="176" t="s">
        <v>157</v>
      </c>
      <c r="C52" s="176"/>
      <c r="D52" s="176"/>
      <c r="E52" s="176"/>
      <c r="F52" s="176" t="s">
        <v>173</v>
      </c>
      <c r="G52" s="176">
        <f>_xlfn.XLOOKUP(AN52,[2]ySQL_0_24102024094604!$B:$B,[2]ySQL_0_24102024094604!$D:$D,0)</f>
        <v>0</v>
      </c>
      <c r="H52" s="176" t="s">
        <v>312</v>
      </c>
      <c r="I52" s="177">
        <v>61</v>
      </c>
      <c r="J52" s="178">
        <v>5444</v>
      </c>
      <c r="K52" s="178">
        <f>VLOOKUP(AN52,'[4]Performance Table'!$B$4:$BJ$388,61,0)</f>
        <v>21984241.829999998</v>
      </c>
      <c r="L52" s="178">
        <f>VLOOKUP(H52,'[5]Leasing Activity Report'!$F$4:$J$25,5,0)</f>
        <v>99919</v>
      </c>
      <c r="M52" s="190">
        <f>Q52/(K52/L52)</f>
        <v>7.9537994237939127E-2</v>
      </c>
      <c r="N52" s="177">
        <v>15.7</v>
      </c>
      <c r="O52" s="177">
        <v>17.010000000000002</v>
      </c>
      <c r="P52" s="177">
        <v>17.5</v>
      </c>
      <c r="Q52" s="177">
        <v>17.5</v>
      </c>
      <c r="R52" s="177">
        <v>4</v>
      </c>
      <c r="S52" s="177">
        <v>3.5</v>
      </c>
      <c r="T52" s="179">
        <f>AC52/AD52*100</f>
        <v>6.5333457355678792</v>
      </c>
      <c r="U52" s="177"/>
      <c r="V52" s="177">
        <v>0</v>
      </c>
      <c r="W52" s="177">
        <v>0</v>
      </c>
      <c r="X52" s="188">
        <v>25887.81</v>
      </c>
      <c r="Y52" s="188"/>
      <c r="Z52" s="188" t="s">
        <v>167</v>
      </c>
      <c r="AA52" s="188"/>
      <c r="AB52" s="188">
        <v>7938.99</v>
      </c>
      <c r="AC52" s="188">
        <f>SUM(X52:AB52)</f>
        <v>33826.800000000003</v>
      </c>
      <c r="AD52" s="189">
        <v>517756.15999999997</v>
      </c>
      <c r="AE52" s="177" t="s">
        <v>161</v>
      </c>
      <c r="AF52" s="182">
        <v>45363</v>
      </c>
      <c r="AG52" s="177"/>
      <c r="AH52" s="177"/>
      <c r="AI52" s="183"/>
      <c r="AJ52" s="183"/>
      <c r="AK52" s="177"/>
      <c r="AL52" s="177"/>
      <c r="AM52" s="177"/>
      <c r="AN52" s="177" t="s">
        <v>313</v>
      </c>
      <c r="AO52" s="177"/>
      <c r="AP52" s="183"/>
      <c r="AQ52" s="183"/>
      <c r="AR52" s="177" t="str">
        <f t="shared" si="28"/>
        <v>Renewal</v>
      </c>
      <c r="AS52" s="182" t="str">
        <f t="shared" si="29"/>
        <v>Q1 2024</v>
      </c>
      <c r="AT52" s="182" t="str">
        <f t="shared" si="30"/>
        <v>1H2024</v>
      </c>
      <c r="AU52" s="184" t="str">
        <f t="shared" si="31"/>
        <v>&lt; 20K</v>
      </c>
      <c r="AV52" s="179">
        <f t="shared" si="48"/>
        <v>5444</v>
      </c>
      <c r="AW52" s="233">
        <f t="shared" si="32"/>
        <v>85470.8</v>
      </c>
      <c r="AX52" s="233">
        <f t="shared" si="33"/>
        <v>92602.44</v>
      </c>
      <c r="AY52" s="198">
        <f t="shared" si="47"/>
        <v>95270</v>
      </c>
      <c r="AZ52" s="233">
        <f>IFERROR(Q52*AV52,"")</f>
        <v>95270</v>
      </c>
      <c r="BA52" s="233">
        <f t="shared" si="34"/>
        <v>95270</v>
      </c>
      <c r="BB52" s="233">
        <f t="shared" si="35"/>
        <v>95270</v>
      </c>
      <c r="BC52" s="233">
        <f t="shared" si="36"/>
        <v>0</v>
      </c>
      <c r="BD52" s="233">
        <f t="shared" si="27"/>
        <v>0</v>
      </c>
      <c r="BE52" s="233">
        <f t="shared" si="37"/>
        <v>0</v>
      </c>
      <c r="BF52" s="233">
        <f t="shared" si="38"/>
        <v>0</v>
      </c>
      <c r="BG52" s="233">
        <f t="shared" si="39"/>
        <v>0</v>
      </c>
      <c r="BH52" s="186">
        <f t="shared" si="40"/>
        <v>95270</v>
      </c>
      <c r="BI52" s="233">
        <f t="shared" si="41"/>
        <v>0.99997774745460266</v>
      </c>
      <c r="BJ52" s="233">
        <f t="shared" si="42"/>
        <v>95267.87999999999</v>
      </c>
      <c r="BK52" s="233">
        <f t="shared" si="43"/>
        <v>35567.534184431534</v>
      </c>
      <c r="BL52" s="233">
        <f t="shared" si="44"/>
        <v>0</v>
      </c>
      <c r="BM52" s="233">
        <f t="shared" si="45"/>
        <v>21776</v>
      </c>
      <c r="BN52" s="233">
        <f t="shared" si="46"/>
        <v>19054</v>
      </c>
    </row>
    <row r="53" spans="1:66" s="198" customFormat="1" hidden="1" outlineLevel="1">
      <c r="A53" s="176" t="s">
        <v>314</v>
      </c>
      <c r="B53" s="176" t="s">
        <v>238</v>
      </c>
      <c r="C53" s="176"/>
      <c r="D53" s="176"/>
      <c r="E53" s="176"/>
      <c r="F53" s="176" t="s">
        <v>181</v>
      </c>
      <c r="G53" s="176">
        <f>_xlfn.XLOOKUP(AN53,[2]ySQL_0_24102024094604!$B:$B,[2]ySQL_0_24102024094604!$D:$D,0)</f>
        <v>0</v>
      </c>
      <c r="H53" s="176" t="s">
        <v>315</v>
      </c>
      <c r="I53" s="177">
        <v>60</v>
      </c>
      <c r="J53" s="194">
        <v>20000</v>
      </c>
      <c r="K53" s="194"/>
      <c r="L53" s="194"/>
      <c r="M53" s="194"/>
      <c r="N53" s="177">
        <v>3.75</v>
      </c>
      <c r="O53" s="177">
        <v>5</v>
      </c>
      <c r="P53" s="177" t="s">
        <v>167</v>
      </c>
      <c r="Q53" s="177">
        <v>7.5</v>
      </c>
      <c r="R53" s="177">
        <v>3</v>
      </c>
      <c r="S53" s="177">
        <v>0</v>
      </c>
      <c r="T53" s="179">
        <v>21.576630054900001</v>
      </c>
      <c r="U53" s="177">
        <v>30</v>
      </c>
      <c r="V53" s="177">
        <v>0</v>
      </c>
      <c r="W53" s="177">
        <f>6-$W$3</f>
        <v>5.09</v>
      </c>
      <c r="X53" s="180">
        <v>31854.81</v>
      </c>
      <c r="Y53" s="180">
        <f>Z53/J53</f>
        <v>5</v>
      </c>
      <c r="Z53" s="180">
        <v>100000</v>
      </c>
      <c r="AA53" s="180">
        <v>0</v>
      </c>
      <c r="AB53" s="180">
        <v>0</v>
      </c>
      <c r="AC53" s="180">
        <v>131854.81</v>
      </c>
      <c r="AD53" s="195">
        <v>611100.11</v>
      </c>
      <c r="AE53" s="177" t="s">
        <v>147</v>
      </c>
      <c r="AF53" s="182">
        <v>44666</v>
      </c>
      <c r="AG53" s="177">
        <v>9.1106167649272276</v>
      </c>
      <c r="AH53" s="177">
        <v>8.1593826574784192</v>
      </c>
      <c r="AI53" s="196">
        <f>AG53/Q53-1</f>
        <v>0.21474890199029706</v>
      </c>
      <c r="AJ53" s="196">
        <f>AH53/Q53-1</f>
        <v>8.7917687663789268E-2</v>
      </c>
      <c r="AK53" s="177"/>
      <c r="AL53" s="177"/>
      <c r="AM53" s="177"/>
      <c r="AN53" s="177" t="s">
        <v>316</v>
      </c>
      <c r="AO53" s="177"/>
      <c r="AP53" s="196">
        <f>AG53/O53-1</f>
        <v>0.82212335298544548</v>
      </c>
      <c r="AQ53" s="196">
        <f>AH53/O53-1</f>
        <v>0.63187653149568379</v>
      </c>
      <c r="AR53" s="177" t="str">
        <f t="shared" si="28"/>
        <v>New Lease</v>
      </c>
      <c r="AS53" s="182" t="str">
        <f t="shared" si="29"/>
        <v>Q2 2022</v>
      </c>
      <c r="AT53" s="182" t="str">
        <f t="shared" si="30"/>
        <v>1H2022</v>
      </c>
      <c r="AU53" s="184" t="str">
        <f t="shared" si="31"/>
        <v>20-50K</v>
      </c>
      <c r="AV53" s="179">
        <f t="shared" si="48"/>
        <v>20000</v>
      </c>
      <c r="AW53" s="233">
        <f t="shared" si="32"/>
        <v>75000</v>
      </c>
      <c r="AX53" s="233">
        <f t="shared" si="33"/>
        <v>100000</v>
      </c>
      <c r="AY53" s="198" t="str">
        <f t="shared" si="47"/>
        <v/>
      </c>
      <c r="AZ53" s="233">
        <f>Q53*AV53</f>
        <v>150000</v>
      </c>
      <c r="BA53" s="233">
        <f t="shared" si="34"/>
        <v>150000</v>
      </c>
      <c r="BB53" s="233">
        <f t="shared" si="35"/>
        <v>150000</v>
      </c>
      <c r="BC53" s="233">
        <f t="shared" si="36"/>
        <v>182212.33529854455</v>
      </c>
      <c r="BD53" s="233">
        <f t="shared" si="27"/>
        <v>163187.65314956839</v>
      </c>
      <c r="BE53" s="233">
        <f t="shared" si="37"/>
        <v>0</v>
      </c>
      <c r="BF53" s="233">
        <f t="shared" si="38"/>
        <v>20000</v>
      </c>
      <c r="BG53" s="233">
        <f t="shared" si="39"/>
        <v>101800</v>
      </c>
      <c r="BH53" s="186" t="str">
        <f t="shared" si="40"/>
        <v/>
      </c>
      <c r="BI53" s="233">
        <f t="shared" si="41"/>
        <v>0</v>
      </c>
      <c r="BJ53" s="233">
        <f t="shared" si="42"/>
        <v>0</v>
      </c>
      <c r="BK53" s="233">
        <f t="shared" si="43"/>
        <v>431532.60109800001</v>
      </c>
      <c r="BL53" s="233">
        <f t="shared" si="44"/>
        <v>600000</v>
      </c>
      <c r="BM53" s="233">
        <f t="shared" si="45"/>
        <v>60000</v>
      </c>
      <c r="BN53" s="233">
        <f t="shared" si="46"/>
        <v>0</v>
      </c>
    </row>
    <row r="54" spans="1:66" s="198" customFormat="1" hidden="1" outlineLevel="1">
      <c r="A54" s="176" t="s">
        <v>317</v>
      </c>
      <c r="B54" s="176" t="s">
        <v>157</v>
      </c>
      <c r="C54" s="176"/>
      <c r="D54" s="176"/>
      <c r="E54" s="176"/>
      <c r="F54" s="176" t="s">
        <v>173</v>
      </c>
      <c r="G54" s="176">
        <f>_xlfn.XLOOKUP(AN54,[2]ySQL_0_24102024094604!$B:$B,[2]ySQL_0_24102024094604!$D:$D,0)</f>
        <v>0</v>
      </c>
      <c r="H54" s="176" t="s">
        <v>318</v>
      </c>
      <c r="I54" s="177">
        <v>85</v>
      </c>
      <c r="J54" s="178">
        <v>21000</v>
      </c>
      <c r="K54" s="178">
        <f>VLOOKUP(AN54,'[4]Performance Table'!$B$4:$BJ$388,61,0)</f>
        <v>9213159.8800000008</v>
      </c>
      <c r="L54" s="178">
        <f>VLOOKUP(H54,'[5]Leasing Activity Report'!$F$4:$J$25,5,0)</f>
        <v>41500</v>
      </c>
      <c r="M54" s="190">
        <f>Q54/(K54/L54)</f>
        <v>7.6575247709692401E-2</v>
      </c>
      <c r="N54" s="177">
        <v>9.73</v>
      </c>
      <c r="O54" s="177">
        <v>16.86</v>
      </c>
      <c r="P54" s="177">
        <v>17</v>
      </c>
      <c r="Q54" s="177">
        <v>17</v>
      </c>
      <c r="R54" s="177">
        <v>3.5</v>
      </c>
      <c r="S54" s="177">
        <v>3.5</v>
      </c>
      <c r="T54" s="179">
        <f>AC54/AD54*100</f>
        <v>11.657971415109158</v>
      </c>
      <c r="U54" s="177"/>
      <c r="V54" s="177">
        <v>0</v>
      </c>
      <c r="W54" s="177">
        <v>0</v>
      </c>
      <c r="X54" s="188">
        <v>194989.38</v>
      </c>
      <c r="Y54" s="188"/>
      <c r="Z54" s="188">
        <v>100000</v>
      </c>
      <c r="AA54" s="188"/>
      <c r="AB54" s="188">
        <v>29750.7</v>
      </c>
      <c r="AC54" s="188">
        <f>SUM(X54:AB54)</f>
        <v>324740.08</v>
      </c>
      <c r="AD54" s="189">
        <v>2785562.5</v>
      </c>
      <c r="AE54" s="177" t="s">
        <v>161</v>
      </c>
      <c r="AF54" s="182">
        <v>45362</v>
      </c>
      <c r="AG54" s="177"/>
      <c r="AH54" s="177"/>
      <c r="AI54" s="183"/>
      <c r="AJ54" s="183"/>
      <c r="AK54" s="177"/>
      <c r="AL54" s="177"/>
      <c r="AM54" s="177"/>
      <c r="AN54" s="177" t="s">
        <v>319</v>
      </c>
      <c r="AO54" s="177"/>
      <c r="AP54" s="183"/>
      <c r="AQ54" s="183"/>
      <c r="AR54" s="177" t="str">
        <f t="shared" si="28"/>
        <v>Renewal</v>
      </c>
      <c r="AS54" s="182" t="str">
        <f t="shared" si="29"/>
        <v>Q1 2024</v>
      </c>
      <c r="AT54" s="182" t="str">
        <f t="shared" si="30"/>
        <v>1H2024</v>
      </c>
      <c r="AU54" s="184" t="str">
        <f t="shared" si="31"/>
        <v>20-50K</v>
      </c>
      <c r="AV54" s="179">
        <f t="shared" si="48"/>
        <v>21000</v>
      </c>
      <c r="AW54" s="233">
        <f t="shared" si="32"/>
        <v>204330</v>
      </c>
      <c r="AX54" s="233">
        <f t="shared" si="33"/>
        <v>354060</v>
      </c>
      <c r="AY54" s="198">
        <f t="shared" si="47"/>
        <v>357000</v>
      </c>
      <c r="AZ54" s="233">
        <f>IFERROR(Q54*AV54,"")</f>
        <v>357000</v>
      </c>
      <c r="BA54" s="233">
        <f t="shared" si="34"/>
        <v>357000</v>
      </c>
      <c r="BB54" s="233">
        <f t="shared" si="35"/>
        <v>357000</v>
      </c>
      <c r="BC54" s="233">
        <f t="shared" si="36"/>
        <v>0</v>
      </c>
      <c r="BD54" s="233">
        <f t="shared" si="27"/>
        <v>0</v>
      </c>
      <c r="BE54" s="233">
        <f t="shared" si="37"/>
        <v>0</v>
      </c>
      <c r="BF54" s="233">
        <f t="shared" si="38"/>
        <v>0</v>
      </c>
      <c r="BG54" s="233">
        <f t="shared" si="39"/>
        <v>0</v>
      </c>
      <c r="BH54" s="186">
        <f t="shared" si="40"/>
        <v>357000</v>
      </c>
      <c r="BI54" s="233">
        <f t="shared" si="41"/>
        <v>1.0000235294117648</v>
      </c>
      <c r="BJ54" s="233">
        <f t="shared" si="42"/>
        <v>357008.4</v>
      </c>
      <c r="BK54" s="233">
        <f t="shared" si="43"/>
        <v>244817.39971729231</v>
      </c>
      <c r="BL54" s="233">
        <f t="shared" si="44"/>
        <v>0</v>
      </c>
      <c r="BM54" s="233">
        <f t="shared" si="45"/>
        <v>73500</v>
      </c>
      <c r="BN54" s="233">
        <f t="shared" si="46"/>
        <v>73500</v>
      </c>
    </row>
    <row r="55" spans="1:66" s="198" customFormat="1" hidden="1" outlineLevel="1">
      <c r="A55" s="176" t="s">
        <v>320</v>
      </c>
      <c r="B55" s="176" t="s">
        <v>143</v>
      </c>
      <c r="C55" s="176"/>
      <c r="D55" s="176"/>
      <c r="E55" s="176"/>
      <c r="F55" s="176" t="s">
        <v>244</v>
      </c>
      <c r="G55" s="176">
        <f>_xlfn.XLOOKUP(AN55,[2]ySQL_0_24102024094604!$B:$B,[2]ySQL_0_24102024094604!$D:$D,0)</f>
        <v>0</v>
      </c>
      <c r="H55" s="176" t="s">
        <v>321</v>
      </c>
      <c r="I55" s="177">
        <v>60</v>
      </c>
      <c r="J55" s="194">
        <v>115200</v>
      </c>
      <c r="K55" s="194"/>
      <c r="L55" s="194"/>
      <c r="M55" s="194"/>
      <c r="N55" s="177">
        <v>3.49</v>
      </c>
      <c r="O55" s="177">
        <v>3.7</v>
      </c>
      <c r="P55" s="177" t="s">
        <v>167</v>
      </c>
      <c r="Q55" s="177">
        <v>3.8</v>
      </c>
      <c r="R55" s="177">
        <v>3</v>
      </c>
      <c r="S55" s="177">
        <v>3</v>
      </c>
      <c r="T55" s="179">
        <v>14.1147244806</v>
      </c>
      <c r="U55" s="177">
        <v>18</v>
      </c>
      <c r="V55" s="177">
        <v>0</v>
      </c>
      <c r="W55" s="177">
        <v>0</v>
      </c>
      <c r="X55" s="180">
        <v>170000</v>
      </c>
      <c r="Y55" s="180">
        <f>Z55/J55</f>
        <v>1.9965277777777777</v>
      </c>
      <c r="Z55" s="180">
        <v>230000</v>
      </c>
      <c r="AA55" s="180">
        <v>0</v>
      </c>
      <c r="AB55" s="180">
        <v>0</v>
      </c>
      <c r="AC55" s="180">
        <v>400000</v>
      </c>
      <c r="AD55" s="195">
        <v>2833920</v>
      </c>
      <c r="AE55" s="177" t="s">
        <v>147</v>
      </c>
      <c r="AF55" s="182">
        <v>44424</v>
      </c>
      <c r="AG55" s="177">
        <v>4.497862583137616</v>
      </c>
      <c r="AH55" s="177">
        <v>4.2196689406786989</v>
      </c>
      <c r="AI55" s="196">
        <f>AG55/Q55-1</f>
        <v>0.18364804819410963</v>
      </c>
      <c r="AJ55" s="196">
        <f>AH55/Q55-1</f>
        <v>0.11043919491544707</v>
      </c>
      <c r="AK55" s="177"/>
      <c r="AL55" s="177"/>
      <c r="AM55" s="177"/>
      <c r="AN55" s="177" t="s">
        <v>322</v>
      </c>
      <c r="AO55" s="177"/>
      <c r="AP55" s="196">
        <f>AG55/O55-1</f>
        <v>0.21563853598313942</v>
      </c>
      <c r="AQ55" s="196">
        <f>AH55/O55-1</f>
        <v>0.14045106504829685</v>
      </c>
      <c r="AR55" s="177" t="str">
        <f t="shared" si="28"/>
        <v>New Lease</v>
      </c>
      <c r="AS55" s="182" t="str">
        <f t="shared" si="29"/>
        <v>Q3 2021</v>
      </c>
      <c r="AT55" s="182" t="str">
        <f t="shared" si="30"/>
        <v>2H2021</v>
      </c>
      <c r="AU55" s="184" t="str">
        <f t="shared" si="31"/>
        <v>&gt;100K</v>
      </c>
      <c r="AV55" s="179">
        <f t="shared" si="48"/>
        <v>115200</v>
      </c>
      <c r="AW55" s="233">
        <f t="shared" si="32"/>
        <v>402048</v>
      </c>
      <c r="AX55" s="233">
        <f t="shared" si="33"/>
        <v>426240</v>
      </c>
      <c r="AY55" s="198" t="str">
        <f t="shared" si="47"/>
        <v/>
      </c>
      <c r="AZ55" s="233">
        <f>Q55*AV55</f>
        <v>437760</v>
      </c>
      <c r="BA55" s="233">
        <f t="shared" si="34"/>
        <v>437760</v>
      </c>
      <c r="BB55" s="233">
        <f t="shared" si="35"/>
        <v>437760</v>
      </c>
      <c r="BC55" s="233">
        <f t="shared" si="36"/>
        <v>518153.76957745338</v>
      </c>
      <c r="BD55" s="233">
        <f t="shared" si="27"/>
        <v>486105.86196618609</v>
      </c>
      <c r="BE55" s="233">
        <f t="shared" si="37"/>
        <v>0</v>
      </c>
      <c r="BF55" s="233">
        <f t="shared" si="38"/>
        <v>115200</v>
      </c>
      <c r="BG55" s="233">
        <f t="shared" si="39"/>
        <v>0</v>
      </c>
      <c r="BH55" s="186" t="str">
        <f t="shared" si="40"/>
        <v/>
      </c>
      <c r="BI55" s="233">
        <f t="shared" si="41"/>
        <v>0</v>
      </c>
      <c r="BJ55" s="233">
        <f t="shared" si="42"/>
        <v>0</v>
      </c>
      <c r="BK55" s="233">
        <f t="shared" si="43"/>
        <v>1626016.26016512</v>
      </c>
      <c r="BL55" s="233">
        <f t="shared" si="44"/>
        <v>2073600</v>
      </c>
      <c r="BM55" s="233">
        <f t="shared" si="45"/>
        <v>345600</v>
      </c>
      <c r="BN55" s="233">
        <f t="shared" si="46"/>
        <v>345600</v>
      </c>
    </row>
    <row r="56" spans="1:66" s="198" customFormat="1" hidden="1" outlineLevel="1">
      <c r="A56" s="176" t="s">
        <v>323</v>
      </c>
      <c r="B56" s="176" t="s">
        <v>238</v>
      </c>
      <c r="C56" s="176"/>
      <c r="D56" s="176"/>
      <c r="E56" s="176"/>
      <c r="F56" s="176" t="s">
        <v>173</v>
      </c>
      <c r="G56" s="176">
        <f>_xlfn.XLOOKUP(AN56,[2]ySQL_0_24102024094604!$B:$B,[2]ySQL_0_24102024094604!$D:$D,0)</f>
        <v>0</v>
      </c>
      <c r="H56" s="176" t="s">
        <v>324</v>
      </c>
      <c r="I56" s="177">
        <v>36</v>
      </c>
      <c r="J56" s="194">
        <v>22500</v>
      </c>
      <c r="K56" s="194"/>
      <c r="L56" s="194"/>
      <c r="M56" s="194"/>
      <c r="N56" s="177">
        <v>8.58</v>
      </c>
      <c r="O56" s="177">
        <v>13.06</v>
      </c>
      <c r="P56" s="177">
        <v>13.5</v>
      </c>
      <c r="Q56" s="177">
        <v>13.5</v>
      </c>
      <c r="R56" s="179">
        <v>3</v>
      </c>
      <c r="S56" s="179">
        <v>3</v>
      </c>
      <c r="T56" s="179">
        <v>48.814846744500002</v>
      </c>
      <c r="U56" s="197">
        <v>36</v>
      </c>
      <c r="V56" s="177">
        <v>0</v>
      </c>
      <c r="W56" s="177">
        <f>6-$W$3</f>
        <v>5.09</v>
      </c>
      <c r="X56" s="180">
        <v>65418.05</v>
      </c>
      <c r="Y56" s="180">
        <f>Z56/J56</f>
        <v>16.016220000000001</v>
      </c>
      <c r="Z56" s="180">
        <v>360364.95</v>
      </c>
      <c r="AA56" s="180">
        <v>0</v>
      </c>
      <c r="AB56" s="180">
        <v>0</v>
      </c>
      <c r="AC56" s="180">
        <v>425783</v>
      </c>
      <c r="AD56" s="195">
        <v>872240.78</v>
      </c>
      <c r="AE56" s="177" t="s">
        <v>147</v>
      </c>
      <c r="AF56" s="182">
        <v>44837</v>
      </c>
      <c r="AG56" s="197">
        <v>13.008608220745169</v>
      </c>
      <c r="AH56" s="197">
        <v>12.158787875423236</v>
      </c>
      <c r="AI56" s="196">
        <f>AG56/Q56-1</f>
        <v>-3.6399391055913388E-2</v>
      </c>
      <c r="AJ56" s="196">
        <f>AH56/Q56-1</f>
        <v>-9.9349046264945451E-2</v>
      </c>
      <c r="AK56" s="177"/>
      <c r="AL56" s="177"/>
      <c r="AM56" s="177"/>
      <c r="AN56" s="177" t="s">
        <v>325</v>
      </c>
      <c r="AO56" s="177"/>
      <c r="AP56" s="196">
        <f>AG56/O56-1</f>
        <v>-3.9350520103240694E-3</v>
      </c>
      <c r="AQ56" s="196">
        <f>AH56/O56-1</f>
        <v>-6.9005522555648069E-2</v>
      </c>
      <c r="AR56" s="177" t="str">
        <f t="shared" si="28"/>
        <v>New Lease</v>
      </c>
      <c r="AS56" s="182" t="str">
        <f t="shared" si="29"/>
        <v>Q4 2022</v>
      </c>
      <c r="AT56" s="182" t="str">
        <f t="shared" si="30"/>
        <v>2H2022</v>
      </c>
      <c r="AU56" s="184" t="str">
        <f t="shared" si="31"/>
        <v>20-50K</v>
      </c>
      <c r="AV56" s="179">
        <f t="shared" si="48"/>
        <v>22500</v>
      </c>
      <c r="AW56" s="233">
        <f t="shared" si="32"/>
        <v>193050</v>
      </c>
      <c r="AX56" s="233">
        <f t="shared" si="33"/>
        <v>293850</v>
      </c>
      <c r="AY56" s="233">
        <f>J56*P56</f>
        <v>303750</v>
      </c>
      <c r="AZ56" s="233">
        <f>Q56*AV56</f>
        <v>303750</v>
      </c>
      <c r="BA56" s="233">
        <f t="shared" si="34"/>
        <v>303750</v>
      </c>
      <c r="BB56" s="233">
        <f t="shared" si="35"/>
        <v>303750</v>
      </c>
      <c r="BC56" s="233">
        <f t="shared" si="36"/>
        <v>292693.68496676628</v>
      </c>
      <c r="BD56" s="233">
        <f t="shared" si="27"/>
        <v>273572.72719702282</v>
      </c>
      <c r="BE56" s="233">
        <f t="shared" si="37"/>
        <v>0</v>
      </c>
      <c r="BF56" s="233">
        <f t="shared" si="38"/>
        <v>22500</v>
      </c>
      <c r="BG56" s="233">
        <f t="shared" si="39"/>
        <v>114525</v>
      </c>
      <c r="BH56" s="186" t="str">
        <f t="shared" si="40"/>
        <v/>
      </c>
      <c r="BI56" s="233">
        <f t="shared" si="41"/>
        <v>0</v>
      </c>
      <c r="BJ56" s="233">
        <f t="shared" si="42"/>
        <v>0</v>
      </c>
      <c r="BK56" s="233">
        <f t="shared" si="43"/>
        <v>1098334.0517512499</v>
      </c>
      <c r="BL56" s="233">
        <f t="shared" si="44"/>
        <v>810000</v>
      </c>
      <c r="BM56" s="233">
        <f t="shared" si="45"/>
        <v>67500</v>
      </c>
      <c r="BN56" s="233">
        <f t="shared" si="46"/>
        <v>67500</v>
      </c>
    </row>
    <row r="57" spans="1:66" s="198" customFormat="1" hidden="1" outlineLevel="1">
      <c r="A57" s="176" t="s">
        <v>326</v>
      </c>
      <c r="B57" s="176" t="s">
        <v>157</v>
      </c>
      <c r="C57" s="176"/>
      <c r="D57" s="176"/>
      <c r="E57" s="176"/>
      <c r="F57" s="176" t="s">
        <v>244</v>
      </c>
      <c r="G57" s="176">
        <f>_xlfn.XLOOKUP(AN57,[2]ySQL_0_24102024094604!$B:$B,[2]ySQL_0_24102024094604!$D:$D,0)</f>
        <v>0</v>
      </c>
      <c r="H57" s="176" t="s">
        <v>327</v>
      </c>
      <c r="I57" s="177">
        <v>60</v>
      </c>
      <c r="J57" s="178">
        <v>20983</v>
      </c>
      <c r="K57" s="178">
        <f>VLOOKUP(AN57,'[4]Performance Table'!$B$4:$BJ$388,61,0)</f>
        <v>4385434.0999999996</v>
      </c>
      <c r="L57" s="178">
        <f>VLOOKUP(H57,'[5]Leasing Activity Report'!$F$4:$J$25,5,0)</f>
        <v>36122</v>
      </c>
      <c r="M57" s="190">
        <f>Q57/(K57/L57)</f>
        <v>8.6074694407105565E-2</v>
      </c>
      <c r="N57" s="177">
        <v>5.85</v>
      </c>
      <c r="O57" s="177">
        <v>5.85</v>
      </c>
      <c r="P57" s="177">
        <v>9.9</v>
      </c>
      <c r="Q57" s="177">
        <v>10.45</v>
      </c>
      <c r="R57" s="177">
        <v>3</v>
      </c>
      <c r="S57" s="177">
        <v>3</v>
      </c>
      <c r="T57" s="179">
        <f>AC57/AD57*100</f>
        <v>4.50000018898122</v>
      </c>
      <c r="U57" s="177"/>
      <c r="V57" s="177">
        <v>0</v>
      </c>
      <c r="W57" s="177">
        <v>0</v>
      </c>
      <c r="X57" s="188">
        <v>52386.16</v>
      </c>
      <c r="Y57" s="188"/>
      <c r="Z57" s="188" t="s">
        <v>167</v>
      </c>
      <c r="AA57" s="188"/>
      <c r="AB57" s="188">
        <v>0</v>
      </c>
      <c r="AC57" s="188">
        <f>SUM(X57:AB57)</f>
        <v>52386.16</v>
      </c>
      <c r="AD57" s="189">
        <v>1164136.8400000001</v>
      </c>
      <c r="AE57" s="177" t="s">
        <v>161</v>
      </c>
      <c r="AF57" s="182">
        <v>45349</v>
      </c>
      <c r="AG57" s="177"/>
      <c r="AH57" s="177"/>
      <c r="AI57" s="183"/>
      <c r="AJ57" s="183"/>
      <c r="AK57" s="177"/>
      <c r="AL57" s="177"/>
      <c r="AM57" s="177"/>
      <c r="AN57" s="177" t="s">
        <v>328</v>
      </c>
      <c r="AO57" s="177"/>
      <c r="AP57" s="183"/>
      <c r="AQ57" s="183"/>
      <c r="AR57" s="177" t="str">
        <f t="shared" si="28"/>
        <v>Renewal</v>
      </c>
      <c r="AS57" s="182" t="str">
        <f t="shared" si="29"/>
        <v>Q1 2024</v>
      </c>
      <c r="AT57" s="182" t="str">
        <f t="shared" si="30"/>
        <v>1H2024</v>
      </c>
      <c r="AU57" s="184" t="str">
        <f t="shared" si="31"/>
        <v>20-50K</v>
      </c>
      <c r="AV57" s="179">
        <f t="shared" si="48"/>
        <v>20983</v>
      </c>
      <c r="AW57" s="233">
        <f t="shared" si="32"/>
        <v>122750.54999999999</v>
      </c>
      <c r="AX57" s="233">
        <f t="shared" si="33"/>
        <v>122750.54999999999</v>
      </c>
      <c r="AY57" s="198">
        <f>IF(P57="","",J57*P57)</f>
        <v>207731.7</v>
      </c>
      <c r="AZ57" s="233">
        <f>IFERROR(Q57*AV57,"")</f>
        <v>219272.34999999998</v>
      </c>
      <c r="BA57" s="233">
        <f t="shared" si="34"/>
        <v>219272.34999999998</v>
      </c>
      <c r="BB57" s="233">
        <f t="shared" si="35"/>
        <v>219272.34999999998</v>
      </c>
      <c r="BC57" s="233">
        <f t="shared" si="36"/>
        <v>0</v>
      </c>
      <c r="BD57" s="233">
        <f t="shared" si="27"/>
        <v>0</v>
      </c>
      <c r="BE57" s="233">
        <f t="shared" si="37"/>
        <v>0</v>
      </c>
      <c r="BF57" s="233">
        <f t="shared" si="38"/>
        <v>0</v>
      </c>
      <c r="BG57" s="233">
        <f t="shared" si="39"/>
        <v>0</v>
      </c>
      <c r="BH57" s="186" t="str">
        <f t="shared" si="40"/>
        <v/>
      </c>
      <c r="BI57" s="233">
        <f t="shared" si="41"/>
        <v>0</v>
      </c>
      <c r="BJ57" s="233">
        <f t="shared" si="42"/>
        <v>0</v>
      </c>
      <c r="BK57" s="233">
        <f t="shared" si="43"/>
        <v>94423.503965392942</v>
      </c>
      <c r="BL57" s="233">
        <f t="shared" si="44"/>
        <v>0</v>
      </c>
      <c r="BM57" s="233">
        <f t="shared" si="45"/>
        <v>62949</v>
      </c>
      <c r="BN57" s="233">
        <f t="shared" si="46"/>
        <v>62949</v>
      </c>
    </row>
    <row r="58" spans="1:66" s="198" customFormat="1" hidden="1" outlineLevel="1">
      <c r="A58" s="176" t="s">
        <v>329</v>
      </c>
      <c r="B58" s="176" t="s">
        <v>143</v>
      </c>
      <c r="C58" s="176"/>
      <c r="D58" s="176"/>
      <c r="E58" s="176"/>
      <c r="F58" s="176" t="s">
        <v>158</v>
      </c>
      <c r="G58" s="176">
        <f>_xlfn.XLOOKUP(AN58,[2]ySQL_0_24102024094604!$B:$B,[2]ySQL_0_24102024094604!$D:$D,0)</f>
        <v>0</v>
      </c>
      <c r="H58" s="176" t="s">
        <v>330</v>
      </c>
      <c r="I58" s="177">
        <v>36</v>
      </c>
      <c r="J58" s="194">
        <v>25137</v>
      </c>
      <c r="K58" s="194"/>
      <c r="L58" s="194"/>
      <c r="M58" s="194"/>
      <c r="N58" s="177">
        <v>2.5299999999999998</v>
      </c>
      <c r="O58" s="177">
        <v>2.4700000000000002</v>
      </c>
      <c r="P58" s="177" t="s">
        <v>167</v>
      </c>
      <c r="Q58" s="177">
        <v>3.5</v>
      </c>
      <c r="R58" s="177">
        <v>2.75</v>
      </c>
      <c r="S58" s="177">
        <v>0</v>
      </c>
      <c r="T58" s="179">
        <v>5.9998715967000003</v>
      </c>
      <c r="U58" s="177">
        <v>22</v>
      </c>
      <c r="V58" s="177">
        <v>0</v>
      </c>
      <c r="W58" s="177">
        <f>9-$W$3</f>
        <v>8.09</v>
      </c>
      <c r="X58" s="180">
        <v>26167</v>
      </c>
      <c r="Y58" s="180"/>
      <c r="Z58" s="180">
        <v>0</v>
      </c>
      <c r="AA58" s="180">
        <v>0</v>
      </c>
      <c r="AB58" s="180">
        <v>0</v>
      </c>
      <c r="AC58" s="180">
        <v>26167</v>
      </c>
      <c r="AD58" s="195">
        <v>436126</v>
      </c>
      <c r="AE58" s="177" t="s">
        <v>147</v>
      </c>
      <c r="AF58" s="182">
        <v>44578</v>
      </c>
      <c r="AG58" s="177">
        <v>3.5148331407989923</v>
      </c>
      <c r="AH58" s="177">
        <v>3.4909949448789792</v>
      </c>
      <c r="AI58" s="196">
        <f>AG58/Q58-1</f>
        <v>4.2380402282835572E-3</v>
      </c>
      <c r="AJ58" s="196">
        <f>AH58/Q58-1</f>
        <v>-2.572872891720257E-3</v>
      </c>
      <c r="AK58" s="177"/>
      <c r="AL58" s="177"/>
      <c r="AM58" s="177"/>
      <c r="AN58" s="177" t="s">
        <v>331</v>
      </c>
      <c r="AO58" s="177"/>
      <c r="AP58" s="196">
        <f>AG58/O58-1</f>
        <v>0.4230093687445311</v>
      </c>
      <c r="AQ58" s="196">
        <f>AH58/O58-1</f>
        <v>0.41335827727893881</v>
      </c>
      <c r="AR58" s="177" t="str">
        <f t="shared" si="28"/>
        <v>New Lease</v>
      </c>
      <c r="AS58" s="182" t="str">
        <f t="shared" si="29"/>
        <v>Q1 2022</v>
      </c>
      <c r="AT58" s="182" t="str">
        <f t="shared" si="30"/>
        <v>1H2022</v>
      </c>
      <c r="AU58" s="184" t="str">
        <f t="shared" si="31"/>
        <v>20-50K</v>
      </c>
      <c r="AV58" s="179">
        <f t="shared" si="48"/>
        <v>25137</v>
      </c>
      <c r="AW58" s="233">
        <f t="shared" si="32"/>
        <v>63596.609999999993</v>
      </c>
      <c r="AX58" s="233">
        <f t="shared" si="33"/>
        <v>62088.390000000007</v>
      </c>
      <c r="AY58" s="198" t="str">
        <f>IF(P58="","",J58*P58)</f>
        <v/>
      </c>
      <c r="AZ58" s="233">
        <f>Q58*AV58</f>
        <v>87979.5</v>
      </c>
      <c r="BA58" s="233">
        <f t="shared" si="34"/>
        <v>87979.5</v>
      </c>
      <c r="BB58" s="233">
        <f t="shared" si="35"/>
        <v>87979.5</v>
      </c>
      <c r="BC58" s="233">
        <f t="shared" si="36"/>
        <v>88352.360660264269</v>
      </c>
      <c r="BD58" s="233">
        <f t="shared" si="27"/>
        <v>87753.139929422905</v>
      </c>
      <c r="BE58" s="233">
        <f t="shared" si="37"/>
        <v>0</v>
      </c>
      <c r="BF58" s="233">
        <f t="shared" si="38"/>
        <v>25137</v>
      </c>
      <c r="BG58" s="233">
        <f t="shared" si="39"/>
        <v>203358.33</v>
      </c>
      <c r="BH58" s="186" t="str">
        <f t="shared" si="40"/>
        <v/>
      </c>
      <c r="BI58" s="233">
        <f t="shared" si="41"/>
        <v>0</v>
      </c>
      <c r="BJ58" s="233">
        <f t="shared" si="42"/>
        <v>0</v>
      </c>
      <c r="BK58" s="233">
        <f t="shared" si="43"/>
        <v>150818.77232624791</v>
      </c>
      <c r="BL58" s="233">
        <f t="shared" si="44"/>
        <v>553014</v>
      </c>
      <c r="BM58" s="233">
        <f t="shared" si="45"/>
        <v>69126.75</v>
      </c>
      <c r="BN58" s="233">
        <f t="shared" si="46"/>
        <v>0</v>
      </c>
    </row>
    <row r="59" spans="1:66" s="198" customFormat="1" hidden="1" outlineLevel="1">
      <c r="A59" s="176" t="s">
        <v>332</v>
      </c>
      <c r="B59" s="176" t="s">
        <v>143</v>
      </c>
      <c r="C59" s="176"/>
      <c r="D59" s="176"/>
      <c r="E59" s="176"/>
      <c r="F59" s="176" t="s">
        <v>185</v>
      </c>
      <c r="G59" s="176">
        <f>_xlfn.XLOOKUP(AN59,[2]ySQL_0_24102024094604!$B:$B,[2]ySQL_0_24102024094604!$D:$D,0)</f>
        <v>0</v>
      </c>
      <c r="H59" s="176" t="s">
        <v>333</v>
      </c>
      <c r="I59" s="177">
        <v>38</v>
      </c>
      <c r="J59" s="194">
        <v>47107</v>
      </c>
      <c r="K59" s="194"/>
      <c r="L59" s="194"/>
      <c r="M59" s="194"/>
      <c r="N59" s="177"/>
      <c r="O59" s="177">
        <v>3</v>
      </c>
      <c r="P59" s="177" t="s">
        <v>167</v>
      </c>
      <c r="Q59" s="177">
        <v>3.25</v>
      </c>
      <c r="R59" s="177">
        <v>2.5</v>
      </c>
      <c r="S59" s="177">
        <v>3</v>
      </c>
      <c r="T59" s="179">
        <v>27.441435760299999</v>
      </c>
      <c r="U59" s="177">
        <v>20.13</v>
      </c>
      <c r="V59" s="177">
        <v>0</v>
      </c>
      <c r="W59" s="177">
        <f>9-$W$3</f>
        <v>8.09</v>
      </c>
      <c r="X59" s="180">
        <v>28353.7</v>
      </c>
      <c r="Y59" s="180">
        <f>Z59/J59</f>
        <v>1.6092512790031206</v>
      </c>
      <c r="Z59" s="180">
        <v>75807</v>
      </c>
      <c r="AA59" s="180">
        <v>0</v>
      </c>
      <c r="AB59" s="180">
        <v>25516</v>
      </c>
      <c r="AC59" s="180">
        <v>129676.7</v>
      </c>
      <c r="AD59" s="195">
        <v>472558</v>
      </c>
      <c r="AE59" s="177" t="s">
        <v>147</v>
      </c>
      <c r="AF59" s="182">
        <v>44355</v>
      </c>
      <c r="AG59" s="177">
        <v>3.7731014642004386</v>
      </c>
      <c r="AH59" s="177">
        <v>4.0879867097081934</v>
      </c>
      <c r="AI59" s="196">
        <f>AG59/Q59-1</f>
        <v>0.16095429667705807</v>
      </c>
      <c r="AJ59" s="196">
        <f>AH59/Q59-1</f>
        <v>0.25784206452559788</v>
      </c>
      <c r="AK59" s="177"/>
      <c r="AL59" s="177"/>
      <c r="AM59" s="177"/>
      <c r="AN59" s="177" t="s">
        <v>187</v>
      </c>
      <c r="AO59" s="177"/>
      <c r="AP59" s="196">
        <f>AG59/O59-1</f>
        <v>0.25770048806681278</v>
      </c>
      <c r="AQ59" s="196">
        <f>AH59/O59-1</f>
        <v>0.36266223656939789</v>
      </c>
      <c r="AR59" s="177" t="str">
        <f t="shared" si="28"/>
        <v>New Lease</v>
      </c>
      <c r="AS59" s="182" t="str">
        <f t="shared" si="29"/>
        <v>Q2 2021</v>
      </c>
      <c r="AT59" s="182" t="str">
        <f t="shared" si="30"/>
        <v>1H2021</v>
      </c>
      <c r="AU59" s="184" t="str">
        <f t="shared" si="31"/>
        <v>20-50K</v>
      </c>
      <c r="AV59" s="179">
        <v>0</v>
      </c>
      <c r="AW59" s="233">
        <f t="shared" si="32"/>
        <v>0</v>
      </c>
      <c r="AX59" s="233">
        <f t="shared" si="33"/>
        <v>141321</v>
      </c>
      <c r="AY59" s="198" t="str">
        <f>IF(P59="","",J59*P59)</f>
        <v/>
      </c>
      <c r="AZ59" s="233">
        <f>Q59*AV59</f>
        <v>0</v>
      </c>
      <c r="BA59" s="233">
        <f t="shared" si="34"/>
        <v>153097.75</v>
      </c>
      <c r="BB59" s="233" t="str">
        <f t="shared" si="35"/>
        <v/>
      </c>
      <c r="BC59" s="233">
        <f t="shared" si="36"/>
        <v>177739.49067409005</v>
      </c>
      <c r="BD59" s="233">
        <f t="shared" si="27"/>
        <v>192572.78993422387</v>
      </c>
      <c r="BE59" s="233">
        <f t="shared" si="37"/>
        <v>0</v>
      </c>
      <c r="BF59" s="233">
        <f t="shared" si="38"/>
        <v>47107</v>
      </c>
      <c r="BG59" s="233">
        <f t="shared" si="39"/>
        <v>381095.63</v>
      </c>
      <c r="BH59" s="186">
        <f t="shared" si="40"/>
        <v>153097.75</v>
      </c>
      <c r="BI59" s="233">
        <f t="shared" si="41"/>
        <v>1.9999771387887804</v>
      </c>
      <c r="BJ59" s="233">
        <f t="shared" si="42"/>
        <v>306192</v>
      </c>
      <c r="BK59" s="233">
        <f t="shared" si="43"/>
        <v>1292683.714360452</v>
      </c>
      <c r="BL59" s="233">
        <f t="shared" si="44"/>
        <v>948263.90999999992</v>
      </c>
      <c r="BM59" s="233">
        <f t="shared" si="45"/>
        <v>117767.5</v>
      </c>
      <c r="BN59" s="233">
        <f t="shared" si="46"/>
        <v>141321</v>
      </c>
    </row>
    <row r="60" spans="1:66" s="198" customFormat="1" hidden="1" outlineLevel="1">
      <c r="A60" s="176" t="s">
        <v>334</v>
      </c>
      <c r="B60" s="176" t="s">
        <v>143</v>
      </c>
      <c r="C60" s="176" t="s">
        <v>335</v>
      </c>
      <c r="D60" s="176" t="s">
        <v>335</v>
      </c>
      <c r="E60" s="176"/>
      <c r="F60" s="176" t="s">
        <v>144</v>
      </c>
      <c r="G60" s="176">
        <f>_xlfn.XLOOKUP(AN60,[2]ySQL_0_24102024094604!$B:$B,[2]ySQL_0_24102024094604!$D:$D,0)</f>
        <v>0</v>
      </c>
      <c r="H60" s="176" t="s">
        <v>336</v>
      </c>
      <c r="I60" s="177">
        <v>62</v>
      </c>
      <c r="J60" s="194">
        <v>9250</v>
      </c>
      <c r="K60" s="194"/>
      <c r="L60" s="194"/>
      <c r="M60" s="194"/>
      <c r="N60" s="177"/>
      <c r="O60" s="177">
        <v>7</v>
      </c>
      <c r="P60" s="177" t="s">
        <v>167</v>
      </c>
      <c r="Q60" s="177">
        <v>8</v>
      </c>
      <c r="R60" s="179">
        <v>3</v>
      </c>
      <c r="S60" s="179">
        <v>3</v>
      </c>
      <c r="T60" s="179">
        <v>15.455296713199999</v>
      </c>
      <c r="U60" s="197">
        <v>12.3</v>
      </c>
      <c r="V60" s="177">
        <v>0</v>
      </c>
      <c r="W60" s="177">
        <v>0</v>
      </c>
      <c r="X60" s="180">
        <v>23690.43</v>
      </c>
      <c r="Y60" s="180"/>
      <c r="Z60" s="180">
        <v>25000</v>
      </c>
      <c r="AA60" s="180">
        <v>0</v>
      </c>
      <c r="AB60" s="180">
        <v>12333.33</v>
      </c>
      <c r="AC60" s="180">
        <v>61023.76</v>
      </c>
      <c r="AD60" s="195">
        <v>394840.43</v>
      </c>
      <c r="AE60" s="177" t="s">
        <v>161</v>
      </c>
      <c r="AF60" s="182">
        <v>44874</v>
      </c>
      <c r="AG60" s="197">
        <v>9.7897035422592538</v>
      </c>
      <c r="AH60" s="197" t="s">
        <v>167</v>
      </c>
      <c r="AI60" s="196">
        <f>AG60/Q60-1</f>
        <v>0.22371294278240672</v>
      </c>
      <c r="AJ60" s="196"/>
      <c r="AK60" s="177">
        <v>8.3000000000000007</v>
      </c>
      <c r="AL60" s="177"/>
      <c r="AM60" s="177"/>
      <c r="AN60" s="177" t="s">
        <v>337</v>
      </c>
      <c r="AP60" s="196">
        <f>AG60/O60-1</f>
        <v>0.39852907746560762</v>
      </c>
      <c r="AQ60" s="196"/>
      <c r="AR60" s="177" t="str">
        <f t="shared" si="28"/>
        <v>New Lease</v>
      </c>
      <c r="AS60" s="182" t="str">
        <f t="shared" si="29"/>
        <v>Q4 2022</v>
      </c>
      <c r="AT60" s="182" t="str">
        <f t="shared" si="30"/>
        <v>2H2022</v>
      </c>
      <c r="AU60" s="184" t="str">
        <f t="shared" si="31"/>
        <v>&lt; 20K</v>
      </c>
      <c r="AV60" s="179">
        <v>0</v>
      </c>
      <c r="AW60" s="233">
        <f t="shared" si="32"/>
        <v>0</v>
      </c>
      <c r="AX60" s="233">
        <f t="shared" si="33"/>
        <v>64750</v>
      </c>
      <c r="AY60" s="233"/>
      <c r="AZ60" s="233">
        <f>Q60*AV60</f>
        <v>0</v>
      </c>
      <c r="BA60" s="233">
        <f t="shared" si="34"/>
        <v>74000</v>
      </c>
      <c r="BB60" s="233" t="str">
        <f t="shared" si="35"/>
        <v/>
      </c>
      <c r="BC60" s="233">
        <f t="shared" si="36"/>
        <v>90554.757765898103</v>
      </c>
      <c r="BD60" s="233"/>
      <c r="BE60" s="233">
        <f t="shared" si="37"/>
        <v>0</v>
      </c>
      <c r="BF60" s="233">
        <f t="shared" si="38"/>
        <v>9250</v>
      </c>
      <c r="BG60" s="233">
        <f t="shared" si="39"/>
        <v>0</v>
      </c>
      <c r="BH60" s="186">
        <f t="shared" si="40"/>
        <v>74000</v>
      </c>
      <c r="BI60" s="233">
        <f t="shared" si="41"/>
        <v>1.9999994594594594</v>
      </c>
      <c r="BJ60" s="233">
        <f t="shared" si="42"/>
        <v>147999.96</v>
      </c>
      <c r="BK60" s="233">
        <f t="shared" si="43"/>
        <v>142961.49459709998</v>
      </c>
      <c r="BL60" s="233">
        <f t="shared" si="44"/>
        <v>113775</v>
      </c>
      <c r="BM60" s="233">
        <f t="shared" si="45"/>
        <v>27750</v>
      </c>
      <c r="BN60" s="233">
        <f t="shared" si="46"/>
        <v>27750</v>
      </c>
    </row>
    <row r="61" spans="1:66" s="198" customFormat="1" hidden="1" outlineLevel="1">
      <c r="A61" s="176" t="s">
        <v>338</v>
      </c>
      <c r="B61" s="176" t="s">
        <v>238</v>
      </c>
      <c r="C61" s="176"/>
      <c r="D61" s="176"/>
      <c r="E61" s="176"/>
      <c r="F61" s="176" t="s">
        <v>181</v>
      </c>
      <c r="G61" s="176">
        <f>_xlfn.XLOOKUP(AN61,[2]ySQL_0_24102024094604!$B:$B,[2]ySQL_0_24102024094604!$D:$D,0)</f>
        <v>0</v>
      </c>
      <c r="H61" s="176" t="s">
        <v>339</v>
      </c>
      <c r="I61" s="177">
        <v>120</v>
      </c>
      <c r="J61" s="194">
        <v>42560</v>
      </c>
      <c r="K61" s="194"/>
      <c r="L61" s="194"/>
      <c r="M61" s="194"/>
      <c r="N61" s="177">
        <v>3.44</v>
      </c>
      <c r="O61" s="177">
        <v>5.125</v>
      </c>
      <c r="P61" s="177" t="s">
        <v>167</v>
      </c>
      <c r="Q61" s="177">
        <v>8</v>
      </c>
      <c r="R61" s="177">
        <v>2.5</v>
      </c>
      <c r="S61" s="177">
        <v>3</v>
      </c>
      <c r="T61" s="179">
        <v>11.503561916600001</v>
      </c>
      <c r="U61" s="177">
        <v>36.15</v>
      </c>
      <c r="V61" s="177">
        <v>0.5</v>
      </c>
      <c r="W61" s="177">
        <f>6-$W$3</f>
        <v>5.09</v>
      </c>
      <c r="X61" s="180">
        <v>227169.25</v>
      </c>
      <c r="Y61" s="180">
        <f>Z61/J61</f>
        <v>4.2293233082706765</v>
      </c>
      <c r="Z61" s="180">
        <v>180000</v>
      </c>
      <c r="AA61" s="180">
        <v>0</v>
      </c>
      <c r="AB61" s="180">
        <v>28373.33</v>
      </c>
      <c r="AC61" s="180">
        <v>435542.58</v>
      </c>
      <c r="AD61" s="195">
        <v>3786154.09</v>
      </c>
      <c r="AE61" s="177" t="s">
        <v>147</v>
      </c>
      <c r="AF61" s="182">
        <v>44691</v>
      </c>
      <c r="AG61" s="177">
        <v>8.9124843513796872</v>
      </c>
      <c r="AH61" s="177">
        <v>8.2138487711778332</v>
      </c>
      <c r="AI61" s="196">
        <f>AG61/Q61-1</f>
        <v>0.1140605439224609</v>
      </c>
      <c r="AJ61" s="196">
        <f>AH61/Q61-1</f>
        <v>2.6731096397229148E-2</v>
      </c>
      <c r="AK61" s="177"/>
      <c r="AL61" s="177"/>
      <c r="AM61" s="177"/>
      <c r="AN61" s="177" t="s">
        <v>340</v>
      </c>
      <c r="AO61" s="177"/>
      <c r="AP61" s="196">
        <f>AG61/O61-1</f>
        <v>0.73902133685457305</v>
      </c>
      <c r="AQ61" s="196">
        <f>AH61/O61-1</f>
        <v>0.60270219925421142</v>
      </c>
      <c r="AR61" s="177" t="str">
        <f t="shared" si="28"/>
        <v>New Lease</v>
      </c>
      <c r="AS61" s="182" t="str">
        <f t="shared" si="29"/>
        <v>Q2 2022</v>
      </c>
      <c r="AT61" s="182" t="str">
        <f t="shared" si="30"/>
        <v>1H2022</v>
      </c>
      <c r="AU61" s="184" t="str">
        <f t="shared" si="31"/>
        <v>20-50K</v>
      </c>
      <c r="AV61" s="179">
        <f t="shared" ref="AV61:AV85" si="49">IF(N61="","",J61)</f>
        <v>42560</v>
      </c>
      <c r="AW61" s="233">
        <f t="shared" si="32"/>
        <v>146406.39999999999</v>
      </c>
      <c r="AX61" s="233">
        <f t="shared" si="33"/>
        <v>218120</v>
      </c>
      <c r="AY61" s="198" t="str">
        <f t="shared" ref="AY61:AY74" si="50">IF(P61="","",J61*P61)</f>
        <v/>
      </c>
      <c r="AZ61" s="233">
        <f>Q61*AV61</f>
        <v>340480</v>
      </c>
      <c r="BA61" s="233">
        <f t="shared" si="34"/>
        <v>340480</v>
      </c>
      <c r="BB61" s="233">
        <f t="shared" si="35"/>
        <v>340480</v>
      </c>
      <c r="BC61" s="233">
        <f t="shared" si="36"/>
        <v>379315.33399471949</v>
      </c>
      <c r="BD61" s="233">
        <f t="shared" ref="BD61:BD98" si="51">AH61*J61</f>
        <v>349581.40370132856</v>
      </c>
      <c r="BE61" s="233">
        <f t="shared" si="37"/>
        <v>21280</v>
      </c>
      <c r="BF61" s="233">
        <f t="shared" si="38"/>
        <v>42560</v>
      </c>
      <c r="BG61" s="233">
        <f t="shared" si="39"/>
        <v>216630.39999999999</v>
      </c>
      <c r="BH61" s="186">
        <f t="shared" si="40"/>
        <v>340480</v>
      </c>
      <c r="BI61" s="233">
        <f t="shared" si="41"/>
        <v>0.99999988251879712</v>
      </c>
      <c r="BJ61" s="233">
        <f t="shared" si="42"/>
        <v>340479.96</v>
      </c>
      <c r="BK61" s="233">
        <f t="shared" si="43"/>
        <v>489591.59517049603</v>
      </c>
      <c r="BL61" s="233">
        <f t="shared" si="44"/>
        <v>1538544</v>
      </c>
      <c r="BM61" s="233">
        <f t="shared" si="45"/>
        <v>106400</v>
      </c>
      <c r="BN61" s="233">
        <f t="shared" si="46"/>
        <v>127680</v>
      </c>
    </row>
    <row r="62" spans="1:66" s="198" customFormat="1" hidden="1" outlineLevel="1">
      <c r="A62" s="176" t="s">
        <v>341</v>
      </c>
      <c r="B62" s="176" t="s">
        <v>143</v>
      </c>
      <c r="C62" s="176"/>
      <c r="D62" s="176"/>
      <c r="E62" s="176"/>
      <c r="F62" s="176" t="s">
        <v>173</v>
      </c>
      <c r="G62" s="176" t="str">
        <f>_xlfn.XLOOKUP(AN62,[2]ySQL_0_24102024094604!$B:$B,[2]ySQL_0_24102024094604!$D:$D,0)</f>
        <v>Yes</v>
      </c>
      <c r="H62" s="176" t="s">
        <v>342</v>
      </c>
      <c r="I62" s="177">
        <v>63</v>
      </c>
      <c r="J62" s="178">
        <v>40800</v>
      </c>
      <c r="K62" s="178">
        <f>_xlfn.XLOOKUP(AP62,'[3]Main Data Table'!$B:$B,'[3]Main Data Table'!$AB:$AB,0)</f>
        <v>10079700.140000001</v>
      </c>
      <c r="L62" s="178">
        <v>40800</v>
      </c>
      <c r="M62" s="190">
        <f>Q62/(K62/L62)</f>
        <v>5.9704157032592034E-2</v>
      </c>
      <c r="N62" s="177">
        <v>10.33</v>
      </c>
      <c r="O62" s="177">
        <v>16.829999999999998</v>
      </c>
      <c r="P62" s="177">
        <v>13.91</v>
      </c>
      <c r="Q62" s="177">
        <v>14.75</v>
      </c>
      <c r="R62" s="177">
        <v>4</v>
      </c>
      <c r="S62" s="177">
        <v>4</v>
      </c>
      <c r="T62" s="179"/>
      <c r="U62" s="177"/>
      <c r="V62" s="177">
        <v>1</v>
      </c>
      <c r="W62" s="177">
        <v>6</v>
      </c>
      <c r="X62" s="180">
        <v>246910.18</v>
      </c>
      <c r="Y62" s="180"/>
      <c r="Z62" s="332">
        <v>20000</v>
      </c>
      <c r="AA62" s="180"/>
      <c r="AB62" s="180">
        <v>150450</v>
      </c>
      <c r="AC62" s="180">
        <f>SUM(X62:AB62)</f>
        <v>417360.18</v>
      </c>
      <c r="AD62" s="181">
        <v>3292135.68</v>
      </c>
      <c r="AE62" s="177" t="s">
        <v>161</v>
      </c>
      <c r="AF62" s="182">
        <v>45504</v>
      </c>
      <c r="AG62" s="177"/>
      <c r="AH62" s="177"/>
      <c r="AI62" s="183"/>
      <c r="AJ62" s="183"/>
      <c r="AK62" s="177"/>
      <c r="AL62" s="177"/>
      <c r="AM62" s="177"/>
      <c r="AN62" s="177" t="s">
        <v>343</v>
      </c>
      <c r="AO62" s="177"/>
      <c r="AP62" s="177" t="s">
        <v>343</v>
      </c>
      <c r="AQ62" s="177"/>
      <c r="AR62" s="177" t="str">
        <f t="shared" si="28"/>
        <v>New Lease</v>
      </c>
      <c r="AS62" s="182" t="str">
        <f t="shared" si="29"/>
        <v>Q3 2024</v>
      </c>
      <c r="AT62" s="182" t="str">
        <f t="shared" si="30"/>
        <v>2H2024</v>
      </c>
      <c r="AU62" s="184" t="str">
        <f t="shared" si="31"/>
        <v>20-50K</v>
      </c>
      <c r="AV62" s="179">
        <f t="shared" si="49"/>
        <v>40800</v>
      </c>
      <c r="AW62" s="233">
        <f t="shared" si="32"/>
        <v>421464</v>
      </c>
      <c r="AX62" s="233">
        <f t="shared" si="33"/>
        <v>686663.99999999988</v>
      </c>
      <c r="AY62" s="198">
        <f t="shared" si="50"/>
        <v>567528</v>
      </c>
      <c r="AZ62" s="233">
        <f t="shared" ref="AZ62:AZ72" si="52">IFERROR(Q62*AV62,"")</f>
        <v>601800</v>
      </c>
      <c r="BA62" s="233">
        <f t="shared" si="34"/>
        <v>601800</v>
      </c>
      <c r="BB62" s="233">
        <f t="shared" si="35"/>
        <v>601800</v>
      </c>
      <c r="BC62" s="233">
        <f t="shared" si="36"/>
        <v>0</v>
      </c>
      <c r="BD62" s="233">
        <f t="shared" si="51"/>
        <v>0</v>
      </c>
      <c r="BE62" s="233">
        <f t="shared" si="37"/>
        <v>40800</v>
      </c>
      <c r="BF62" s="233">
        <f t="shared" si="38"/>
        <v>40800</v>
      </c>
      <c r="BG62" s="233">
        <f t="shared" si="39"/>
        <v>244800</v>
      </c>
      <c r="BH62" s="186">
        <f t="shared" si="40"/>
        <v>601800</v>
      </c>
      <c r="BI62" s="233">
        <f t="shared" si="41"/>
        <v>3</v>
      </c>
      <c r="BJ62" s="233">
        <f t="shared" si="42"/>
        <v>1805400</v>
      </c>
      <c r="BK62" s="233">
        <f t="shared" si="43"/>
        <v>0</v>
      </c>
      <c r="BL62" s="233">
        <f t="shared" si="44"/>
        <v>0</v>
      </c>
      <c r="BM62" s="233">
        <f t="shared" si="45"/>
        <v>163200</v>
      </c>
      <c r="BN62" s="233">
        <f t="shared" si="46"/>
        <v>163200</v>
      </c>
    </row>
    <row r="63" spans="1:66" s="198" customFormat="1" hidden="1" outlineLevel="1">
      <c r="A63" s="176" t="s">
        <v>344</v>
      </c>
      <c r="B63" s="176" t="s">
        <v>143</v>
      </c>
      <c r="C63" s="176"/>
      <c r="D63" s="176"/>
      <c r="E63" s="176"/>
      <c r="F63" s="176" t="s">
        <v>201</v>
      </c>
      <c r="G63" s="176">
        <f>_xlfn.XLOOKUP(AN63,[2]ySQL_0_24102024094604!$B:$B,[2]ySQL_0_24102024094604!$D:$D,0)</f>
        <v>0</v>
      </c>
      <c r="H63" s="176" t="s">
        <v>345</v>
      </c>
      <c r="I63" s="177">
        <v>120</v>
      </c>
      <c r="J63" s="178">
        <v>22961</v>
      </c>
      <c r="K63" s="178">
        <f>VLOOKUP(AN63,'[4]Performance Table'!$B$4:$BJ$388,61,0)</f>
        <v>3076696.03</v>
      </c>
      <c r="L63" s="178">
        <f>VLOOKUP(H63,'[5]Leasing Activity Report'!$F$4:$J$25,5,0)</f>
        <v>22900</v>
      </c>
      <c r="M63" s="190">
        <f>Q63/(K63/L63)</f>
        <v>9.6759639918019461E-2</v>
      </c>
      <c r="N63" s="177">
        <v>12.64</v>
      </c>
      <c r="O63" s="177">
        <v>12.78</v>
      </c>
      <c r="P63" s="177">
        <v>12.83</v>
      </c>
      <c r="Q63" s="177">
        <v>13</v>
      </c>
      <c r="R63" s="177">
        <v>3</v>
      </c>
      <c r="S63" s="177">
        <v>4</v>
      </c>
      <c r="T63" s="179">
        <f>AC63/AD63*100</f>
        <v>7.000000055525069</v>
      </c>
      <c r="U63" s="177"/>
      <c r="V63" s="177">
        <v>1</v>
      </c>
      <c r="W63" s="177">
        <v>9</v>
      </c>
      <c r="X63" s="188">
        <v>239531.45</v>
      </c>
      <c r="Y63" s="188"/>
      <c r="Z63" s="188" t="s">
        <v>167</v>
      </c>
      <c r="AA63" s="188"/>
      <c r="AB63" s="188">
        <v>0</v>
      </c>
      <c r="AC63" s="188">
        <f>SUM(X63:AB63)</f>
        <v>239531.45</v>
      </c>
      <c r="AD63" s="189">
        <v>3421877.83</v>
      </c>
      <c r="AE63" s="177" t="s">
        <v>161</v>
      </c>
      <c r="AF63" s="182">
        <v>45376</v>
      </c>
      <c r="AG63" s="177"/>
      <c r="AH63" s="177"/>
      <c r="AI63" s="183"/>
      <c r="AJ63" s="183"/>
      <c r="AK63" s="177"/>
      <c r="AL63" s="177"/>
      <c r="AM63" s="177"/>
      <c r="AN63" s="177" t="s">
        <v>346</v>
      </c>
      <c r="AO63" s="177"/>
      <c r="AP63" s="183"/>
      <c r="AQ63" s="183"/>
      <c r="AR63" s="177" t="str">
        <f t="shared" si="28"/>
        <v>New Lease</v>
      </c>
      <c r="AS63" s="182" t="str">
        <f t="shared" si="29"/>
        <v>Q1 2024</v>
      </c>
      <c r="AT63" s="182" t="str">
        <f t="shared" si="30"/>
        <v>1H2024</v>
      </c>
      <c r="AU63" s="184" t="str">
        <f t="shared" si="31"/>
        <v>20-50K</v>
      </c>
      <c r="AV63" s="179">
        <f t="shared" si="49"/>
        <v>22961</v>
      </c>
      <c r="AW63" s="233">
        <f t="shared" si="32"/>
        <v>290227.04000000004</v>
      </c>
      <c r="AX63" s="233">
        <f t="shared" si="33"/>
        <v>293441.57999999996</v>
      </c>
      <c r="AY63" s="198">
        <f t="shared" si="50"/>
        <v>294589.63</v>
      </c>
      <c r="AZ63" s="233">
        <f t="shared" si="52"/>
        <v>298493</v>
      </c>
      <c r="BA63" s="233">
        <f t="shared" si="34"/>
        <v>298493</v>
      </c>
      <c r="BB63" s="233">
        <f t="shared" si="35"/>
        <v>298493</v>
      </c>
      <c r="BC63" s="233">
        <f t="shared" si="36"/>
        <v>0</v>
      </c>
      <c r="BD63" s="233">
        <f t="shared" si="51"/>
        <v>0</v>
      </c>
      <c r="BE63" s="233">
        <f t="shared" si="37"/>
        <v>22961</v>
      </c>
      <c r="BF63" s="233">
        <f t="shared" si="38"/>
        <v>22961</v>
      </c>
      <c r="BG63" s="233">
        <f t="shared" si="39"/>
        <v>206649</v>
      </c>
      <c r="BH63" s="186" t="str">
        <f t="shared" si="40"/>
        <v/>
      </c>
      <c r="BI63" s="233">
        <f t="shared" si="41"/>
        <v>0</v>
      </c>
      <c r="BJ63" s="233">
        <f t="shared" si="42"/>
        <v>0</v>
      </c>
      <c r="BK63" s="233">
        <f t="shared" si="43"/>
        <v>160727.0012749111</v>
      </c>
      <c r="BL63" s="233">
        <f t="shared" si="44"/>
        <v>0</v>
      </c>
      <c r="BM63" s="233">
        <f t="shared" si="45"/>
        <v>68883</v>
      </c>
      <c r="BN63" s="233">
        <f t="shared" si="46"/>
        <v>91844</v>
      </c>
    </row>
    <row r="64" spans="1:66" s="198" customFormat="1" hidden="1" outlineLevel="1">
      <c r="A64" s="176" t="s">
        <v>347</v>
      </c>
      <c r="B64" s="176" t="s">
        <v>143</v>
      </c>
      <c r="C64" s="176"/>
      <c r="D64" s="176"/>
      <c r="E64" s="176"/>
      <c r="F64" s="176" t="s">
        <v>158</v>
      </c>
      <c r="G64" s="176">
        <f>_xlfn.XLOOKUP(AN64,[2]ySQL_0_24102024094604!$B:$B,[2]ySQL_0_24102024094604!$D:$D,0)</f>
        <v>0</v>
      </c>
      <c r="H64" s="176" t="s">
        <v>348</v>
      </c>
      <c r="I64" s="177">
        <v>17</v>
      </c>
      <c r="J64" s="178">
        <v>12000</v>
      </c>
      <c r="K64" s="178">
        <f>VLOOKUP(AN64,'[4]Performance Table'!$B$4:$BJ$388,61,0)</f>
        <v>9808093.4700000007</v>
      </c>
      <c r="L64" s="178">
        <f>VLOOKUP(H64,'[5]Leasing Activity Report'!$F$4:$J$25,5,0)</f>
        <v>168000</v>
      </c>
      <c r="M64" s="190">
        <f>Q64/(K64/L64)</f>
        <v>6.9713854388869317E-2</v>
      </c>
      <c r="N64" s="177">
        <v>3.09</v>
      </c>
      <c r="O64" s="177">
        <v>3.55</v>
      </c>
      <c r="P64" s="177">
        <v>4.07</v>
      </c>
      <c r="Q64" s="177">
        <v>4.07</v>
      </c>
      <c r="R64" s="177">
        <v>3</v>
      </c>
      <c r="S64" s="177">
        <v>3</v>
      </c>
      <c r="T64" s="179">
        <f>AC64/AD64*100</f>
        <v>0</v>
      </c>
      <c r="U64" s="177"/>
      <c r="V64" s="177">
        <v>1</v>
      </c>
      <c r="W64" s="177">
        <v>6</v>
      </c>
      <c r="X64" s="188">
        <v>0</v>
      </c>
      <c r="Y64" s="188"/>
      <c r="Z64" s="188" t="s">
        <v>167</v>
      </c>
      <c r="AA64" s="188"/>
      <c r="AB64" s="188">
        <v>0</v>
      </c>
      <c r="AC64" s="188">
        <f>SUM(X64:AB64)</f>
        <v>0</v>
      </c>
      <c r="AD64" s="189">
        <v>70630</v>
      </c>
      <c r="AE64" s="177" t="s">
        <v>161</v>
      </c>
      <c r="AF64" s="182">
        <v>45348</v>
      </c>
      <c r="AG64" s="177"/>
      <c r="AH64" s="177"/>
      <c r="AI64" s="183"/>
      <c r="AJ64" s="183"/>
      <c r="AK64" s="177"/>
      <c r="AL64" s="177"/>
      <c r="AM64" s="177"/>
      <c r="AN64" s="177" t="s">
        <v>164</v>
      </c>
      <c r="AO64" s="177"/>
      <c r="AP64" s="183"/>
      <c r="AQ64" s="183"/>
      <c r="AR64" s="177" t="str">
        <f t="shared" si="28"/>
        <v>New Lease</v>
      </c>
      <c r="AS64" s="182" t="str">
        <f t="shared" si="29"/>
        <v>Q1 2024</v>
      </c>
      <c r="AT64" s="182" t="str">
        <f t="shared" si="30"/>
        <v>1H2024</v>
      </c>
      <c r="AU64" s="184" t="str">
        <f t="shared" si="31"/>
        <v>&lt; 20K</v>
      </c>
      <c r="AV64" s="179">
        <f t="shared" si="49"/>
        <v>12000</v>
      </c>
      <c r="AW64" s="233">
        <f t="shared" si="32"/>
        <v>37080</v>
      </c>
      <c r="AX64" s="233">
        <f t="shared" si="33"/>
        <v>42600</v>
      </c>
      <c r="AY64" s="198">
        <f t="shared" si="50"/>
        <v>48840</v>
      </c>
      <c r="AZ64" s="233">
        <f t="shared" si="52"/>
        <v>48840</v>
      </c>
      <c r="BA64" s="233">
        <f t="shared" si="34"/>
        <v>48840</v>
      </c>
      <c r="BB64" s="233">
        <f t="shared" si="35"/>
        <v>48840</v>
      </c>
      <c r="BC64" s="233">
        <f t="shared" si="36"/>
        <v>0</v>
      </c>
      <c r="BD64" s="233">
        <f t="shared" si="51"/>
        <v>0</v>
      </c>
      <c r="BE64" s="233">
        <f t="shared" si="37"/>
        <v>12000</v>
      </c>
      <c r="BF64" s="233">
        <f t="shared" si="38"/>
        <v>12000</v>
      </c>
      <c r="BG64" s="233">
        <f t="shared" si="39"/>
        <v>72000</v>
      </c>
      <c r="BH64" s="186" t="str">
        <f t="shared" si="40"/>
        <v/>
      </c>
      <c r="BI64" s="233">
        <f t="shared" si="41"/>
        <v>0</v>
      </c>
      <c r="BJ64" s="233">
        <f t="shared" si="42"/>
        <v>0</v>
      </c>
      <c r="BK64" s="233">
        <f t="shared" si="43"/>
        <v>0</v>
      </c>
      <c r="BL64" s="233">
        <f t="shared" si="44"/>
        <v>0</v>
      </c>
      <c r="BM64" s="233">
        <f t="shared" si="45"/>
        <v>36000</v>
      </c>
      <c r="BN64" s="233">
        <f t="shared" si="46"/>
        <v>36000</v>
      </c>
    </row>
    <row r="65" spans="1:66" s="198" customFormat="1" hidden="1" outlineLevel="1">
      <c r="A65" s="176" t="s">
        <v>349</v>
      </c>
      <c r="B65" s="176" t="s">
        <v>143</v>
      </c>
      <c r="C65" s="176" t="s">
        <v>290</v>
      </c>
      <c r="D65" s="192" t="s">
        <v>291</v>
      </c>
      <c r="E65" s="192">
        <f>O65/N65-1</f>
        <v>0.11680000000000001</v>
      </c>
      <c r="F65" s="176" t="s">
        <v>153</v>
      </c>
      <c r="G65" s="176" t="str">
        <f>_xlfn.XLOOKUP(AN65,[2]ySQL_0_24102024094604!$B:$B,[2]ySQL_0_24102024094604!$D:$D,0)</f>
        <v>Yes</v>
      </c>
      <c r="H65" s="176" t="s">
        <v>350</v>
      </c>
      <c r="I65" s="177">
        <v>25</v>
      </c>
      <c r="J65" s="178">
        <v>15372</v>
      </c>
      <c r="K65" s="178"/>
      <c r="L65" s="178"/>
      <c r="M65" s="178"/>
      <c r="N65" s="177">
        <v>12.5</v>
      </c>
      <c r="O65" s="177">
        <v>13.96</v>
      </c>
      <c r="P65" s="177">
        <v>12.5</v>
      </c>
      <c r="Q65" s="177">
        <v>12.5</v>
      </c>
      <c r="R65" s="177">
        <v>4</v>
      </c>
      <c r="S65" s="177">
        <v>3</v>
      </c>
      <c r="T65" s="179">
        <v>7.9215686275000001</v>
      </c>
      <c r="U65" s="177">
        <v>10.87</v>
      </c>
      <c r="V65" s="177">
        <v>1</v>
      </c>
      <c r="W65" s="177">
        <v>6</v>
      </c>
      <c r="X65" s="180">
        <v>31051.439999999999</v>
      </c>
      <c r="Y65" s="180"/>
      <c r="Z65" s="180">
        <v>0</v>
      </c>
      <c r="AA65" s="180">
        <v>0</v>
      </c>
      <c r="AB65" s="180">
        <v>0</v>
      </c>
      <c r="AC65" s="180">
        <v>31051.439999999999</v>
      </c>
      <c r="AD65" s="181">
        <v>408995</v>
      </c>
      <c r="AE65" s="177" t="s">
        <v>161</v>
      </c>
      <c r="AF65" s="182">
        <v>45257</v>
      </c>
      <c r="AG65" s="177"/>
      <c r="AH65" s="177"/>
      <c r="AI65" s="183"/>
      <c r="AJ65" s="183"/>
      <c r="AK65" s="177"/>
      <c r="AL65" s="177"/>
      <c r="AM65" s="177"/>
      <c r="AN65" s="177" t="s">
        <v>351</v>
      </c>
      <c r="AO65" s="177"/>
      <c r="AP65" s="183"/>
      <c r="AQ65" s="183"/>
      <c r="AR65" s="177" t="str">
        <f t="shared" si="28"/>
        <v>New Lease</v>
      </c>
      <c r="AS65" s="182" t="str">
        <f t="shared" si="29"/>
        <v>Q4 2023</v>
      </c>
      <c r="AT65" s="182" t="str">
        <f t="shared" si="30"/>
        <v>2H2023</v>
      </c>
      <c r="AU65" s="184" t="str">
        <f t="shared" si="31"/>
        <v>&lt; 20K</v>
      </c>
      <c r="AV65" s="179">
        <f t="shared" si="49"/>
        <v>15372</v>
      </c>
      <c r="AW65" s="233">
        <f t="shared" si="32"/>
        <v>192150</v>
      </c>
      <c r="AX65" s="233">
        <f t="shared" si="33"/>
        <v>214593.12000000002</v>
      </c>
      <c r="AY65" s="198">
        <f t="shared" si="50"/>
        <v>192150</v>
      </c>
      <c r="AZ65" s="233">
        <f t="shared" si="52"/>
        <v>192150</v>
      </c>
      <c r="BA65" s="233">
        <f t="shared" si="34"/>
        <v>192150</v>
      </c>
      <c r="BB65" s="233">
        <f t="shared" si="35"/>
        <v>192150</v>
      </c>
      <c r="BC65" s="233">
        <f t="shared" si="36"/>
        <v>0</v>
      </c>
      <c r="BD65" s="233">
        <f t="shared" si="51"/>
        <v>0</v>
      </c>
      <c r="BE65" s="233">
        <f t="shared" si="37"/>
        <v>15372</v>
      </c>
      <c r="BF65" s="233">
        <f t="shared" si="38"/>
        <v>15372</v>
      </c>
      <c r="BG65" s="233">
        <f t="shared" si="39"/>
        <v>92232</v>
      </c>
      <c r="BH65" s="186" t="str">
        <f t="shared" si="40"/>
        <v/>
      </c>
      <c r="BI65" s="233">
        <f t="shared" si="41"/>
        <v>0</v>
      </c>
      <c r="BJ65" s="233">
        <f t="shared" si="42"/>
        <v>0</v>
      </c>
      <c r="BK65" s="233">
        <f t="shared" si="43"/>
        <v>121770.35294193</v>
      </c>
      <c r="BL65" s="233">
        <f t="shared" si="44"/>
        <v>167093.63999999998</v>
      </c>
      <c r="BM65" s="233">
        <f t="shared" si="45"/>
        <v>61488</v>
      </c>
      <c r="BN65" s="233">
        <f t="shared" si="46"/>
        <v>46116</v>
      </c>
    </row>
    <row r="66" spans="1:66" s="198" customFormat="1" hidden="1" outlineLevel="1">
      <c r="A66" s="176" t="s">
        <v>311</v>
      </c>
      <c r="B66" s="176" t="s">
        <v>157</v>
      </c>
      <c r="C66" s="176"/>
      <c r="D66" s="176"/>
      <c r="E66" s="176"/>
      <c r="F66" s="176" t="s">
        <v>173</v>
      </c>
      <c r="G66" s="176">
        <f>_xlfn.XLOOKUP(AN66,[2]ySQL_0_24102024094604!$B:$B,[2]ySQL_0_24102024094604!$D:$D,0)</f>
        <v>0</v>
      </c>
      <c r="H66" s="176" t="s">
        <v>352</v>
      </c>
      <c r="I66" s="177">
        <v>61</v>
      </c>
      <c r="J66" s="178">
        <v>5000</v>
      </c>
      <c r="K66" s="178">
        <f>VLOOKUP(AN66,'[4]Performance Table'!$B$4:$BJ$388,61,0)</f>
        <v>21984241.829999998</v>
      </c>
      <c r="L66" s="178">
        <f>VLOOKUP(H66,'[5]Leasing Activity Report'!$F$4:$J$25,5,0)</f>
        <v>99919</v>
      </c>
      <c r="M66" s="190">
        <f>Q66/(K66/L66)</f>
        <v>7.4992965995771169E-2</v>
      </c>
      <c r="N66" s="177">
        <v>14.65</v>
      </c>
      <c r="O66" s="177">
        <v>16.36</v>
      </c>
      <c r="P66" s="177">
        <v>16</v>
      </c>
      <c r="Q66" s="177">
        <v>16.5</v>
      </c>
      <c r="R66" s="177">
        <v>4</v>
      </c>
      <c r="S66" s="177">
        <v>3.5</v>
      </c>
      <c r="T66" s="179">
        <f>AC66/AD66*100</f>
        <v>14.109600468397135</v>
      </c>
      <c r="U66" s="177"/>
      <c r="V66" s="177">
        <v>0</v>
      </c>
      <c r="W66" s="177">
        <v>0</v>
      </c>
      <c r="X66" s="188">
        <v>31383.63</v>
      </c>
      <c r="Y66" s="188"/>
      <c r="Z66" s="188">
        <v>25000</v>
      </c>
      <c r="AA66" s="188"/>
      <c r="AB66" s="188">
        <v>6875</v>
      </c>
      <c r="AC66" s="188">
        <f>SUM(X66:AB66)</f>
        <v>63258.630000000005</v>
      </c>
      <c r="AD66" s="189">
        <v>448337.5</v>
      </c>
      <c r="AE66" s="177" t="s">
        <v>161</v>
      </c>
      <c r="AF66" s="182">
        <v>45315</v>
      </c>
      <c r="AG66" s="177"/>
      <c r="AH66" s="177"/>
      <c r="AI66" s="183"/>
      <c r="AJ66" s="183"/>
      <c r="AK66" s="177"/>
      <c r="AL66" s="177"/>
      <c r="AM66" s="177"/>
      <c r="AN66" s="177" t="s">
        <v>313</v>
      </c>
      <c r="AO66" s="177"/>
      <c r="AP66" s="183"/>
      <c r="AQ66" s="183"/>
      <c r="AR66" s="177" t="str">
        <f t="shared" si="28"/>
        <v>Renewal</v>
      </c>
      <c r="AS66" s="182" t="str">
        <f t="shared" si="29"/>
        <v>Q1 2024</v>
      </c>
      <c r="AT66" s="182" t="str">
        <f t="shared" si="30"/>
        <v>1H2024</v>
      </c>
      <c r="AU66" s="184" t="str">
        <f t="shared" si="31"/>
        <v>&lt; 20K</v>
      </c>
      <c r="AV66" s="179">
        <f t="shared" si="49"/>
        <v>5000</v>
      </c>
      <c r="AW66" s="233">
        <f t="shared" si="32"/>
        <v>73250</v>
      </c>
      <c r="AX66" s="233">
        <f t="shared" si="33"/>
        <v>81800</v>
      </c>
      <c r="AY66" s="198">
        <f t="shared" si="50"/>
        <v>80000</v>
      </c>
      <c r="AZ66" s="233">
        <f t="shared" si="52"/>
        <v>82500</v>
      </c>
      <c r="BA66" s="233">
        <f t="shared" si="34"/>
        <v>82500</v>
      </c>
      <c r="BB66" s="233">
        <f t="shared" si="35"/>
        <v>82500</v>
      </c>
      <c r="BC66" s="233">
        <f t="shared" si="36"/>
        <v>0</v>
      </c>
      <c r="BD66" s="233">
        <f t="shared" si="51"/>
        <v>0</v>
      </c>
      <c r="BE66" s="233">
        <f t="shared" si="37"/>
        <v>0</v>
      </c>
      <c r="BF66" s="233">
        <f t="shared" si="38"/>
        <v>0</v>
      </c>
      <c r="BG66" s="233">
        <f t="shared" si="39"/>
        <v>0</v>
      </c>
      <c r="BH66" s="186">
        <f t="shared" si="40"/>
        <v>82500</v>
      </c>
      <c r="BI66" s="233">
        <f t="shared" si="41"/>
        <v>1</v>
      </c>
      <c r="BJ66" s="233">
        <f t="shared" si="42"/>
        <v>82500</v>
      </c>
      <c r="BK66" s="233">
        <f t="shared" si="43"/>
        <v>70548.002341985673</v>
      </c>
      <c r="BL66" s="233">
        <f t="shared" si="44"/>
        <v>0</v>
      </c>
      <c r="BM66" s="233">
        <f t="shared" si="45"/>
        <v>20000</v>
      </c>
      <c r="BN66" s="233">
        <f t="shared" si="46"/>
        <v>17500</v>
      </c>
    </row>
    <row r="67" spans="1:66" s="198" customFormat="1" hidden="1" outlineLevel="1">
      <c r="A67" s="176" t="s">
        <v>353</v>
      </c>
      <c r="B67" s="176" t="s">
        <v>157</v>
      </c>
      <c r="C67" s="176"/>
      <c r="D67" s="176"/>
      <c r="E67" s="176"/>
      <c r="F67" s="176" t="s">
        <v>274</v>
      </c>
      <c r="G67" s="176">
        <f>_xlfn.XLOOKUP(AN67,[2]ySQL_0_24102024094604!$B:$B,[2]ySQL_0_24102024094604!$D:$D,0)</f>
        <v>0</v>
      </c>
      <c r="H67" s="176" t="s">
        <v>354</v>
      </c>
      <c r="I67" s="177">
        <v>36</v>
      </c>
      <c r="J67" s="178">
        <v>35510</v>
      </c>
      <c r="K67" s="178">
        <f>VLOOKUP(AN67,'[4]Performance Table'!$B$4:$BJ$388,61,0)</f>
        <v>4574707.03</v>
      </c>
      <c r="L67" s="178">
        <f>VLOOKUP(H67,'[5]Leasing Activity Report'!$F$4:$J$25,5,0)</f>
        <v>60350</v>
      </c>
      <c r="M67" s="190">
        <f>Q67/(K67/L67)</f>
        <v>9.2344711307119479E-2</v>
      </c>
      <c r="N67" s="177">
        <v>4.43</v>
      </c>
      <c r="O67" s="177">
        <v>5.52</v>
      </c>
      <c r="P67" s="177">
        <v>7.38</v>
      </c>
      <c r="Q67" s="177">
        <v>7</v>
      </c>
      <c r="R67" s="177">
        <v>4</v>
      </c>
      <c r="S67" s="177">
        <v>3</v>
      </c>
      <c r="T67" s="179">
        <f>AC67/AD67*100</f>
        <v>3.6180132969279932</v>
      </c>
      <c r="U67" s="177"/>
      <c r="V67" s="177">
        <v>0</v>
      </c>
      <c r="W67" s="177">
        <v>9</v>
      </c>
      <c r="X67" s="188">
        <v>28071.93</v>
      </c>
      <c r="Y67" s="188"/>
      <c r="Z67" s="188" t="s">
        <v>167</v>
      </c>
      <c r="AA67" s="188"/>
      <c r="AB67" s="188">
        <v>0</v>
      </c>
      <c r="AC67" s="188">
        <f>SUM(X67:AB67)</f>
        <v>28071.93</v>
      </c>
      <c r="AD67" s="189">
        <v>775893.5</v>
      </c>
      <c r="AE67" s="177" t="s">
        <v>147</v>
      </c>
      <c r="AF67" s="182">
        <v>45299</v>
      </c>
      <c r="AG67" s="177"/>
      <c r="AH67" s="177"/>
      <c r="AI67" s="183"/>
      <c r="AJ67" s="183"/>
      <c r="AK67" s="177"/>
      <c r="AL67" s="177"/>
      <c r="AM67" s="177"/>
      <c r="AN67" s="177" t="s">
        <v>355</v>
      </c>
      <c r="AO67" s="177"/>
      <c r="AP67" s="183"/>
      <c r="AQ67" s="183"/>
      <c r="AR67" s="177" t="str">
        <f t="shared" si="28"/>
        <v>Renewal</v>
      </c>
      <c r="AS67" s="182" t="str">
        <f t="shared" si="29"/>
        <v>Q1 2024</v>
      </c>
      <c r="AT67" s="182" t="str">
        <f t="shared" si="30"/>
        <v>1H2024</v>
      </c>
      <c r="AU67" s="184" t="str">
        <f t="shared" si="31"/>
        <v>20-50K</v>
      </c>
      <c r="AV67" s="179">
        <f t="shared" si="49"/>
        <v>35510</v>
      </c>
      <c r="AW67" s="233">
        <f t="shared" si="32"/>
        <v>157309.29999999999</v>
      </c>
      <c r="AX67" s="233">
        <f t="shared" si="33"/>
        <v>196015.19999999998</v>
      </c>
      <c r="AY67" s="198">
        <f t="shared" si="50"/>
        <v>262063.8</v>
      </c>
      <c r="AZ67" s="233">
        <f t="shared" si="52"/>
        <v>248570</v>
      </c>
      <c r="BA67" s="233">
        <f t="shared" si="34"/>
        <v>248570</v>
      </c>
      <c r="BB67" s="233">
        <f t="shared" si="35"/>
        <v>248570</v>
      </c>
      <c r="BC67" s="233">
        <f t="shared" si="36"/>
        <v>0</v>
      </c>
      <c r="BD67" s="233">
        <f t="shared" si="51"/>
        <v>0</v>
      </c>
      <c r="BE67" s="233">
        <f t="shared" si="37"/>
        <v>0</v>
      </c>
      <c r="BF67" s="233">
        <f t="shared" si="38"/>
        <v>0</v>
      </c>
      <c r="BG67" s="233">
        <f t="shared" si="39"/>
        <v>319590</v>
      </c>
      <c r="BH67" s="186" t="str">
        <f t="shared" si="40"/>
        <v/>
      </c>
      <c r="BI67" s="233">
        <f t="shared" si="41"/>
        <v>0</v>
      </c>
      <c r="BJ67" s="233">
        <f t="shared" si="42"/>
        <v>0</v>
      </c>
      <c r="BK67" s="233">
        <f t="shared" si="43"/>
        <v>128475.65217391304</v>
      </c>
      <c r="BL67" s="233">
        <f t="shared" si="44"/>
        <v>0</v>
      </c>
      <c r="BM67" s="233">
        <f t="shared" si="45"/>
        <v>142040</v>
      </c>
      <c r="BN67" s="233">
        <f t="shared" si="46"/>
        <v>106530</v>
      </c>
    </row>
    <row r="68" spans="1:66" s="198" customFormat="1" hidden="1" outlineLevel="1">
      <c r="A68" s="176" t="s">
        <v>356</v>
      </c>
      <c r="B68" s="176" t="s">
        <v>143</v>
      </c>
      <c r="C68" s="176"/>
      <c r="D68" s="176"/>
      <c r="E68" s="176"/>
      <c r="F68" s="176" t="s">
        <v>181</v>
      </c>
      <c r="G68" s="176">
        <f>_xlfn.XLOOKUP(AN68,[2]ySQL_0_24102024094604!$B:$B,[2]ySQL_0_24102024094604!$D:$D,0)</f>
        <v>0</v>
      </c>
      <c r="H68" s="176" t="s">
        <v>357</v>
      </c>
      <c r="I68" s="177">
        <v>61</v>
      </c>
      <c r="J68" s="178">
        <v>23545</v>
      </c>
      <c r="K68" s="178"/>
      <c r="L68" s="178"/>
      <c r="M68" s="178"/>
      <c r="N68" s="177">
        <v>8.94</v>
      </c>
      <c r="O68" s="177">
        <v>6.06</v>
      </c>
      <c r="P68" s="177">
        <v>8</v>
      </c>
      <c r="Q68" s="177">
        <v>8.75</v>
      </c>
      <c r="R68" s="177">
        <v>4</v>
      </c>
      <c r="S68" s="177">
        <v>2</v>
      </c>
      <c r="T68" s="179">
        <v>7.8102882566999998</v>
      </c>
      <c r="U68" s="177">
        <v>41.29</v>
      </c>
      <c r="V68" s="177">
        <v>1</v>
      </c>
      <c r="W68" s="177">
        <v>9</v>
      </c>
      <c r="X68" s="180">
        <v>71615.360000000001</v>
      </c>
      <c r="Y68" s="180"/>
      <c r="Z68" s="180" t="s">
        <v>167</v>
      </c>
      <c r="AA68" s="180" t="s">
        <v>167</v>
      </c>
      <c r="AB68" s="180">
        <v>17168.23</v>
      </c>
      <c r="AC68" s="180">
        <v>88783.59</v>
      </c>
      <c r="AD68" s="181">
        <v>1136378</v>
      </c>
      <c r="AE68" s="177" t="s">
        <v>147</v>
      </c>
      <c r="AF68" s="182">
        <v>45245</v>
      </c>
      <c r="AG68" s="177"/>
      <c r="AH68" s="177"/>
      <c r="AI68" s="183"/>
      <c r="AJ68" s="183"/>
      <c r="AK68" s="177"/>
      <c r="AL68" s="177"/>
      <c r="AM68" s="177"/>
      <c r="AN68" s="177" t="s">
        <v>358</v>
      </c>
      <c r="AO68" s="177"/>
      <c r="AP68" s="183"/>
      <c r="AQ68" s="183"/>
      <c r="AR68" s="177" t="str">
        <f t="shared" si="28"/>
        <v>New Lease</v>
      </c>
      <c r="AS68" s="182" t="str">
        <f t="shared" si="29"/>
        <v>Q4 2023</v>
      </c>
      <c r="AT68" s="182" t="str">
        <f t="shared" si="30"/>
        <v>2H2023</v>
      </c>
      <c r="AU68" s="184" t="str">
        <f t="shared" si="31"/>
        <v>20-50K</v>
      </c>
      <c r="AV68" s="179">
        <f t="shared" si="49"/>
        <v>23545</v>
      </c>
      <c r="AW68" s="233">
        <f t="shared" si="32"/>
        <v>210492.3</v>
      </c>
      <c r="AX68" s="233">
        <f t="shared" si="33"/>
        <v>142682.69999999998</v>
      </c>
      <c r="AY68" s="198">
        <f t="shared" si="50"/>
        <v>188360</v>
      </c>
      <c r="AZ68" s="233">
        <f t="shared" si="52"/>
        <v>206018.75</v>
      </c>
      <c r="BA68" s="233">
        <f t="shared" si="34"/>
        <v>206018.75</v>
      </c>
      <c r="BB68" s="233">
        <f t="shared" si="35"/>
        <v>206018.75</v>
      </c>
      <c r="BC68" s="233">
        <f t="shared" si="36"/>
        <v>0</v>
      </c>
      <c r="BD68" s="233">
        <f t="shared" si="51"/>
        <v>0</v>
      </c>
      <c r="BE68" s="233">
        <f t="shared" si="37"/>
        <v>23545</v>
      </c>
      <c r="BF68" s="233">
        <f t="shared" si="38"/>
        <v>23545</v>
      </c>
      <c r="BG68" s="233">
        <f t="shared" si="39"/>
        <v>211905</v>
      </c>
      <c r="BH68" s="186">
        <f t="shared" si="40"/>
        <v>206018.75</v>
      </c>
      <c r="BI68" s="233">
        <f t="shared" si="41"/>
        <v>1.0000000485392713</v>
      </c>
      <c r="BJ68" s="233">
        <f t="shared" si="42"/>
        <v>206018.75999999998</v>
      </c>
      <c r="BK68" s="233">
        <f t="shared" si="43"/>
        <v>183893.23700400151</v>
      </c>
      <c r="BL68" s="233">
        <f t="shared" si="44"/>
        <v>972173.04999999993</v>
      </c>
      <c r="BM68" s="233">
        <f t="shared" si="45"/>
        <v>94180</v>
      </c>
      <c r="BN68" s="233">
        <f t="shared" si="46"/>
        <v>47090</v>
      </c>
    </row>
    <row r="69" spans="1:66" s="198" customFormat="1" hidden="1" outlineLevel="1">
      <c r="A69" s="176" t="s">
        <v>359</v>
      </c>
      <c r="B69" s="176" t="s">
        <v>143</v>
      </c>
      <c r="C69" s="176" t="s">
        <v>290</v>
      </c>
      <c r="D69" s="192" t="s">
        <v>291</v>
      </c>
      <c r="E69" s="192">
        <f>O69/N69-1</f>
        <v>0.11680000000000001</v>
      </c>
      <c r="F69" s="176" t="s">
        <v>153</v>
      </c>
      <c r="G69" s="176" t="str">
        <f>_xlfn.XLOOKUP(AN69,[2]ySQL_0_24102024094604!$B:$B,[2]ySQL_0_24102024094604!$D:$D,0)</f>
        <v>Yes</v>
      </c>
      <c r="H69" s="176" t="s">
        <v>360</v>
      </c>
      <c r="I69" s="177">
        <v>25</v>
      </c>
      <c r="J69" s="178">
        <v>11828</v>
      </c>
      <c r="K69" s="178"/>
      <c r="L69" s="178"/>
      <c r="M69" s="178"/>
      <c r="N69" s="177">
        <v>12.5</v>
      </c>
      <c r="O69" s="177">
        <v>13.96</v>
      </c>
      <c r="P69" s="177">
        <v>12.5</v>
      </c>
      <c r="Q69" s="177">
        <v>12.5</v>
      </c>
      <c r="R69" s="177">
        <v>4</v>
      </c>
      <c r="S69" s="177">
        <v>3</v>
      </c>
      <c r="T69" s="179">
        <v>7.7556339980000004</v>
      </c>
      <c r="U69" s="177">
        <v>10.87</v>
      </c>
      <c r="V69" s="177">
        <v>1</v>
      </c>
      <c r="W69" s="177">
        <v>6</v>
      </c>
      <c r="X69" s="180">
        <v>24425.61</v>
      </c>
      <c r="Y69" s="180"/>
      <c r="Z69" s="180">
        <v>0</v>
      </c>
      <c r="AA69" s="180">
        <v>0</v>
      </c>
      <c r="AB69" s="180">
        <v>0</v>
      </c>
      <c r="AC69" s="180">
        <v>24425.61</v>
      </c>
      <c r="AD69" s="181">
        <v>314702</v>
      </c>
      <c r="AE69" s="177" t="s">
        <v>161</v>
      </c>
      <c r="AF69" s="182">
        <v>45257</v>
      </c>
      <c r="AG69" s="177"/>
      <c r="AH69" s="177"/>
      <c r="AI69" s="183"/>
      <c r="AJ69" s="183"/>
      <c r="AK69" s="177"/>
      <c r="AL69" s="177"/>
      <c r="AM69" s="177"/>
      <c r="AN69" s="177" t="s">
        <v>351</v>
      </c>
      <c r="AO69" s="177"/>
      <c r="AP69" s="183"/>
      <c r="AQ69" s="183"/>
      <c r="AR69" s="177" t="str">
        <f t="shared" ref="AR69:AR100" si="53">IF(B69="Expansion","New Lease",IF(B69="Early Renewal","Renewal",IF(B69="Renewal per Option","Renewal",IF(B69="Renewal","Renewal",B69))))</f>
        <v>New Lease</v>
      </c>
      <c r="AS69" s="182" t="str">
        <f t="shared" ref="AS69:AS100" si="54">"Q"&amp;ROUNDUP(MONTH(AF69)/3,0)&amp;" "&amp;YEAR(AF69)</f>
        <v>Q4 2023</v>
      </c>
      <c r="AT69" s="182" t="str">
        <f t="shared" ref="AT69:AT100" si="55">(MONTH(AF69)&gt;6)+1&amp;"H"&amp;YEAR(AF69)</f>
        <v>2H2023</v>
      </c>
      <c r="AU69" s="184" t="str">
        <f t="shared" ref="AU69:AU100" si="56">IF(J69&lt;$A$223,$A$228,IF(J69&lt;$A$224,$A$229,IF(J69&lt;$A$225,$A$230,IF(J69&gt;$A$225,$A$231))))</f>
        <v>&lt; 20K</v>
      </c>
      <c r="AV69" s="179">
        <f t="shared" si="49"/>
        <v>11828</v>
      </c>
      <c r="AW69" s="233">
        <f t="shared" ref="AW69:AW100" si="57">IFERROR(N69*AV69,"")</f>
        <v>147850</v>
      </c>
      <c r="AX69" s="233">
        <f t="shared" ref="AX69:AX100" si="58">J69*O69</f>
        <v>165118.88</v>
      </c>
      <c r="AY69" s="198">
        <f t="shared" si="50"/>
        <v>147850</v>
      </c>
      <c r="AZ69" s="233">
        <f t="shared" si="52"/>
        <v>147850</v>
      </c>
      <c r="BA69" s="233">
        <f t="shared" ref="BA69:BA100" si="59">J69*Q69</f>
        <v>147850</v>
      </c>
      <c r="BB69" s="233">
        <f t="shared" ref="BB69:BB100" si="60">IF(N69&gt;0,Q69*J69,"")</f>
        <v>147850</v>
      </c>
      <c r="BC69" s="233">
        <f t="shared" ref="BC69:BC98" si="61">AG69*J69</f>
        <v>0</v>
      </c>
      <c r="BD69" s="233">
        <f t="shared" si="51"/>
        <v>0</v>
      </c>
      <c r="BE69" s="233">
        <f t="shared" ref="BE69:BE100" si="62">V69*J69</f>
        <v>11828</v>
      </c>
      <c r="BF69" s="233">
        <f t="shared" ref="BF69:BF100" si="63">IF(AR69="New Lease",J69,0)</f>
        <v>11828</v>
      </c>
      <c r="BG69" s="233">
        <f t="shared" ref="BG69:BG100" si="64">W69*J69</f>
        <v>70968</v>
      </c>
      <c r="BH69" s="186" t="str">
        <f t="shared" ref="BH69:BH100" si="65">IF(BI69&gt;0,Q69*J69,"")</f>
        <v/>
      </c>
      <c r="BI69" s="233">
        <f t="shared" ref="BI69:BI100" si="66">AB69/((J69*Q69)/12)</f>
        <v>0</v>
      </c>
      <c r="BJ69" s="233">
        <f t="shared" ref="BJ69:BJ100" si="67">BI69*J69*Q69</f>
        <v>0</v>
      </c>
      <c r="BK69" s="233">
        <f t="shared" ref="BK69:BK100" si="68">J69*T69</f>
        <v>91733.638928344008</v>
      </c>
      <c r="BL69" s="233">
        <f t="shared" ref="BL69:BL100" si="69">J69*U69</f>
        <v>128570.35999999999</v>
      </c>
      <c r="BM69" s="233">
        <f t="shared" ref="BM69:BM100" si="70">J69*R69</f>
        <v>47312</v>
      </c>
      <c r="BN69" s="233">
        <f t="shared" ref="BN69:BN100" si="71">J69*S69</f>
        <v>35484</v>
      </c>
    </row>
    <row r="70" spans="1:66" s="198" customFormat="1" hidden="1" outlineLevel="1">
      <c r="A70" s="176" t="s">
        <v>361</v>
      </c>
      <c r="B70" s="176" t="s">
        <v>157</v>
      </c>
      <c r="C70" s="176"/>
      <c r="D70" s="176"/>
      <c r="E70" s="176"/>
      <c r="F70" s="176" t="s">
        <v>244</v>
      </c>
      <c r="G70" s="176">
        <f>_xlfn.XLOOKUP(AN70,[2]ySQL_0_24102024094604!$B:$B,[2]ySQL_0_24102024094604!$D:$D,0)</f>
        <v>0</v>
      </c>
      <c r="H70" s="176" t="s">
        <v>362</v>
      </c>
      <c r="I70" s="177">
        <v>68</v>
      </c>
      <c r="J70" s="178">
        <v>5000</v>
      </c>
      <c r="K70" s="178"/>
      <c r="L70" s="178"/>
      <c r="M70" s="178"/>
      <c r="N70" s="177">
        <v>4.72</v>
      </c>
      <c r="O70" s="177">
        <v>7.55</v>
      </c>
      <c r="P70" s="177">
        <v>9</v>
      </c>
      <c r="Q70" s="177">
        <v>9</v>
      </c>
      <c r="R70" s="177">
        <v>4</v>
      </c>
      <c r="S70" s="177">
        <v>3</v>
      </c>
      <c r="T70" s="179">
        <v>7.2499515011</v>
      </c>
      <c r="U70" s="177">
        <v>4.5</v>
      </c>
      <c r="V70" s="177">
        <v>0</v>
      </c>
      <c r="W70" s="177">
        <v>0</v>
      </c>
      <c r="X70" s="180">
        <v>12361.4</v>
      </c>
      <c r="Y70" s="180"/>
      <c r="Z70" s="180">
        <v>0</v>
      </c>
      <c r="AA70" s="180">
        <v>0</v>
      </c>
      <c r="AB70" s="180">
        <v>7554</v>
      </c>
      <c r="AC70" s="180">
        <v>19915.400000000001</v>
      </c>
      <c r="AD70" s="181">
        <v>279995</v>
      </c>
      <c r="AE70" s="177" t="s">
        <v>147</v>
      </c>
      <c r="AF70" s="182">
        <v>45260</v>
      </c>
      <c r="AG70" s="177"/>
      <c r="AH70" s="177"/>
      <c r="AI70" s="183"/>
      <c r="AJ70" s="183"/>
      <c r="AK70" s="177"/>
      <c r="AL70" s="177"/>
      <c r="AM70" s="177"/>
      <c r="AN70" s="177" t="s">
        <v>285</v>
      </c>
      <c r="AO70" s="177"/>
      <c r="AP70" s="183"/>
      <c r="AQ70" s="183"/>
      <c r="AR70" s="177" t="str">
        <f t="shared" si="53"/>
        <v>Renewal</v>
      </c>
      <c r="AS70" s="182" t="str">
        <f t="shared" si="54"/>
        <v>Q4 2023</v>
      </c>
      <c r="AT70" s="182" t="str">
        <f t="shared" si="55"/>
        <v>2H2023</v>
      </c>
      <c r="AU70" s="184" t="str">
        <f t="shared" si="56"/>
        <v>&lt; 20K</v>
      </c>
      <c r="AV70" s="179">
        <f t="shared" si="49"/>
        <v>5000</v>
      </c>
      <c r="AW70" s="233">
        <f t="shared" si="57"/>
        <v>23600</v>
      </c>
      <c r="AX70" s="233">
        <f t="shared" si="58"/>
        <v>37750</v>
      </c>
      <c r="AY70" s="198">
        <f t="shared" si="50"/>
        <v>45000</v>
      </c>
      <c r="AZ70" s="233">
        <f t="shared" si="52"/>
        <v>45000</v>
      </c>
      <c r="BA70" s="233">
        <f t="shared" si="59"/>
        <v>45000</v>
      </c>
      <c r="BB70" s="233">
        <f t="shared" si="60"/>
        <v>45000</v>
      </c>
      <c r="BC70" s="233">
        <f t="shared" si="61"/>
        <v>0</v>
      </c>
      <c r="BD70" s="233">
        <f t="shared" si="51"/>
        <v>0</v>
      </c>
      <c r="BE70" s="233">
        <f t="shared" si="62"/>
        <v>0</v>
      </c>
      <c r="BF70" s="233">
        <f t="shared" si="63"/>
        <v>0</v>
      </c>
      <c r="BG70" s="233">
        <f t="shared" si="64"/>
        <v>0</v>
      </c>
      <c r="BH70" s="186">
        <f t="shared" si="65"/>
        <v>45000</v>
      </c>
      <c r="BI70" s="233">
        <f t="shared" si="66"/>
        <v>2.0144000000000002</v>
      </c>
      <c r="BJ70" s="233">
        <f t="shared" si="67"/>
        <v>90648.000000000015</v>
      </c>
      <c r="BK70" s="233">
        <f t="shared" si="68"/>
        <v>36249.757505499998</v>
      </c>
      <c r="BL70" s="233">
        <f t="shared" si="69"/>
        <v>22500</v>
      </c>
      <c r="BM70" s="233">
        <f t="shared" si="70"/>
        <v>20000</v>
      </c>
      <c r="BN70" s="233">
        <f t="shared" si="71"/>
        <v>15000</v>
      </c>
    </row>
    <row r="71" spans="1:66" s="198" customFormat="1" hidden="1" outlineLevel="1">
      <c r="A71" s="176" t="s">
        <v>363</v>
      </c>
      <c r="B71" s="176" t="s">
        <v>143</v>
      </c>
      <c r="C71" s="176" t="s">
        <v>290</v>
      </c>
      <c r="D71" s="192" t="s">
        <v>291</v>
      </c>
      <c r="E71" s="192">
        <f>O71/N71-1</f>
        <v>0.16666666666666674</v>
      </c>
      <c r="F71" s="176" t="s">
        <v>214</v>
      </c>
      <c r="G71" s="176">
        <f>_xlfn.XLOOKUP(AN71,[2]ySQL_0_24102024094604!$B:$B,[2]ySQL_0_24102024094604!$D:$D,0)</f>
        <v>0</v>
      </c>
      <c r="H71" s="176" t="s">
        <v>364</v>
      </c>
      <c r="I71" s="177">
        <v>61</v>
      </c>
      <c r="J71" s="178">
        <v>17000</v>
      </c>
      <c r="K71" s="178"/>
      <c r="L71" s="178"/>
      <c r="M71" s="178"/>
      <c r="N71" s="177">
        <v>4.5</v>
      </c>
      <c r="O71" s="177">
        <v>5.25</v>
      </c>
      <c r="P71" s="177">
        <v>8</v>
      </c>
      <c r="Q71" s="177">
        <v>8.1</v>
      </c>
      <c r="R71" s="177">
        <v>4</v>
      </c>
      <c r="S71" s="177">
        <v>3</v>
      </c>
      <c r="T71" s="179">
        <v>12.35</v>
      </c>
      <c r="U71" s="177">
        <v>19.66</v>
      </c>
      <c r="V71" s="177">
        <v>1</v>
      </c>
      <c r="W71" s="177">
        <v>9</v>
      </c>
      <c r="X71" s="188">
        <v>63938.7</v>
      </c>
      <c r="Y71" s="188"/>
      <c r="Z71" s="188">
        <v>17000</v>
      </c>
      <c r="AA71" s="188">
        <v>0</v>
      </c>
      <c r="AB71" s="188">
        <v>11475</v>
      </c>
      <c r="AC71" s="188">
        <v>92413.7</v>
      </c>
      <c r="AD71" s="181">
        <v>759539</v>
      </c>
      <c r="AE71" s="177" t="s">
        <v>161</v>
      </c>
      <c r="AF71" s="182">
        <v>45110</v>
      </c>
      <c r="AG71" s="177"/>
      <c r="AH71" s="177"/>
      <c r="AI71" s="183"/>
      <c r="AJ71" s="183"/>
      <c r="AK71" s="177">
        <v>8</v>
      </c>
      <c r="AL71" s="177"/>
      <c r="AM71" s="177"/>
      <c r="AN71" s="177" t="s">
        <v>236</v>
      </c>
      <c r="AO71" s="177"/>
      <c r="AP71" s="183"/>
      <c r="AQ71" s="183"/>
      <c r="AR71" s="177" t="str">
        <f t="shared" si="53"/>
        <v>New Lease</v>
      </c>
      <c r="AS71" s="182" t="str">
        <f t="shared" si="54"/>
        <v>Q3 2023</v>
      </c>
      <c r="AT71" s="182" t="str">
        <f t="shared" si="55"/>
        <v>2H2023</v>
      </c>
      <c r="AU71" s="184" t="str">
        <f t="shared" si="56"/>
        <v>&lt; 20K</v>
      </c>
      <c r="AV71" s="179">
        <f t="shared" si="49"/>
        <v>17000</v>
      </c>
      <c r="AW71" s="233">
        <f t="shared" si="57"/>
        <v>76500</v>
      </c>
      <c r="AX71" s="233">
        <f t="shared" si="58"/>
        <v>89250</v>
      </c>
      <c r="AY71" s="198">
        <f t="shared" si="50"/>
        <v>136000</v>
      </c>
      <c r="AZ71" s="233">
        <f t="shared" si="52"/>
        <v>137700</v>
      </c>
      <c r="BA71" s="233">
        <f t="shared" si="59"/>
        <v>137700</v>
      </c>
      <c r="BB71" s="233">
        <f t="shared" si="60"/>
        <v>137700</v>
      </c>
      <c r="BC71" s="233">
        <f t="shared" si="61"/>
        <v>0</v>
      </c>
      <c r="BD71" s="233">
        <f t="shared" si="51"/>
        <v>0</v>
      </c>
      <c r="BE71" s="233">
        <f t="shared" si="62"/>
        <v>17000</v>
      </c>
      <c r="BF71" s="233">
        <f t="shared" si="63"/>
        <v>17000</v>
      </c>
      <c r="BG71" s="233">
        <f t="shared" si="64"/>
        <v>153000</v>
      </c>
      <c r="BH71" s="186">
        <f t="shared" si="65"/>
        <v>137700</v>
      </c>
      <c r="BI71" s="233">
        <f t="shared" si="66"/>
        <v>1</v>
      </c>
      <c r="BJ71" s="233">
        <f t="shared" si="67"/>
        <v>137700</v>
      </c>
      <c r="BK71" s="233">
        <f t="shared" si="68"/>
        <v>209950</v>
      </c>
      <c r="BL71" s="233">
        <f t="shared" si="69"/>
        <v>334220</v>
      </c>
      <c r="BM71" s="233">
        <f t="shared" si="70"/>
        <v>68000</v>
      </c>
      <c r="BN71" s="233">
        <f t="shared" si="71"/>
        <v>51000</v>
      </c>
    </row>
    <row r="72" spans="1:66" s="198" customFormat="1" hidden="1" outlineLevel="1">
      <c r="A72" s="176" t="s">
        <v>365</v>
      </c>
      <c r="B72" s="176" t="s">
        <v>157</v>
      </c>
      <c r="C72" s="176"/>
      <c r="D72" s="176"/>
      <c r="E72" s="176"/>
      <c r="F72" s="176" t="s">
        <v>244</v>
      </c>
      <c r="G72" s="176">
        <f>_xlfn.XLOOKUP(AN72,[2]ySQL_0_24102024094604!$B:$B,[2]ySQL_0_24102024094604!$D:$D,0)</f>
        <v>0</v>
      </c>
      <c r="H72" s="176" t="s">
        <v>362</v>
      </c>
      <c r="I72" s="177">
        <v>62</v>
      </c>
      <c r="J72" s="178">
        <v>9961</v>
      </c>
      <c r="K72" s="178"/>
      <c r="L72" s="178"/>
      <c r="M72" s="178"/>
      <c r="N72" s="177">
        <v>4.96</v>
      </c>
      <c r="O72" s="177">
        <v>7.55</v>
      </c>
      <c r="P72" s="177">
        <v>9</v>
      </c>
      <c r="Q72" s="177">
        <v>9</v>
      </c>
      <c r="R72" s="177">
        <v>4</v>
      </c>
      <c r="S72" s="177">
        <v>3</v>
      </c>
      <c r="T72" s="179">
        <v>12.8981122442</v>
      </c>
      <c r="U72" s="177">
        <v>8.56</v>
      </c>
      <c r="V72" s="177">
        <v>0</v>
      </c>
      <c r="W72" s="177">
        <v>0</v>
      </c>
      <c r="X72" s="180">
        <v>10955.05</v>
      </c>
      <c r="Y72" s="180">
        <f>Z72/J72</f>
        <v>1.3050898504166248</v>
      </c>
      <c r="Z72" s="180">
        <v>13000</v>
      </c>
      <c r="AA72" s="180">
        <v>0</v>
      </c>
      <c r="AB72" s="180">
        <v>7441.5</v>
      </c>
      <c r="AC72" s="180">
        <v>31396.55</v>
      </c>
      <c r="AD72" s="181">
        <v>503451</v>
      </c>
      <c r="AE72" s="177" t="s">
        <v>147</v>
      </c>
      <c r="AF72" s="182">
        <v>45259</v>
      </c>
      <c r="AG72" s="177"/>
      <c r="AH72" s="177"/>
      <c r="AI72" s="183"/>
      <c r="AJ72" s="183"/>
      <c r="AK72" s="177"/>
      <c r="AL72" s="177"/>
      <c r="AM72" s="177"/>
      <c r="AN72" s="177" t="s">
        <v>285</v>
      </c>
      <c r="AO72" s="177"/>
      <c r="AP72" s="183"/>
      <c r="AQ72" s="183"/>
      <c r="AR72" s="177" t="str">
        <f t="shared" si="53"/>
        <v>Renewal</v>
      </c>
      <c r="AS72" s="182" t="str">
        <f t="shared" si="54"/>
        <v>Q4 2023</v>
      </c>
      <c r="AT72" s="182" t="str">
        <f t="shared" si="55"/>
        <v>2H2023</v>
      </c>
      <c r="AU72" s="184" t="str">
        <f t="shared" si="56"/>
        <v>&lt; 20K</v>
      </c>
      <c r="AV72" s="179">
        <f t="shared" si="49"/>
        <v>9961</v>
      </c>
      <c r="AW72" s="233">
        <f t="shared" si="57"/>
        <v>49406.559999999998</v>
      </c>
      <c r="AX72" s="233">
        <f t="shared" si="58"/>
        <v>75205.55</v>
      </c>
      <c r="AY72" s="198">
        <f t="shared" si="50"/>
        <v>89649</v>
      </c>
      <c r="AZ72" s="233">
        <f t="shared" si="52"/>
        <v>89649</v>
      </c>
      <c r="BA72" s="233">
        <f t="shared" si="59"/>
        <v>89649</v>
      </c>
      <c r="BB72" s="233">
        <f t="shared" si="60"/>
        <v>89649</v>
      </c>
      <c r="BC72" s="233">
        <f t="shared" si="61"/>
        <v>0</v>
      </c>
      <c r="BD72" s="233">
        <f t="shared" si="51"/>
        <v>0</v>
      </c>
      <c r="BE72" s="233">
        <f t="shared" si="62"/>
        <v>0</v>
      </c>
      <c r="BF72" s="233">
        <f t="shared" si="63"/>
        <v>0</v>
      </c>
      <c r="BG72" s="233">
        <f t="shared" si="64"/>
        <v>0</v>
      </c>
      <c r="BH72" s="186">
        <f t="shared" si="65"/>
        <v>89649</v>
      </c>
      <c r="BI72" s="233">
        <f t="shared" si="66"/>
        <v>0.99608473044875012</v>
      </c>
      <c r="BJ72" s="233">
        <f t="shared" si="67"/>
        <v>89298</v>
      </c>
      <c r="BK72" s="233">
        <f t="shared" si="68"/>
        <v>128478.09606447619</v>
      </c>
      <c r="BL72" s="233">
        <f t="shared" si="69"/>
        <v>85266.16</v>
      </c>
      <c r="BM72" s="233">
        <f t="shared" si="70"/>
        <v>39844</v>
      </c>
      <c r="BN72" s="233">
        <f t="shared" si="71"/>
        <v>29883</v>
      </c>
    </row>
    <row r="73" spans="1:66" s="198" customFormat="1" hidden="1" outlineLevel="1">
      <c r="A73" s="176" t="s">
        <v>366</v>
      </c>
      <c r="B73" s="176" t="s">
        <v>143</v>
      </c>
      <c r="C73" s="176"/>
      <c r="D73" s="176"/>
      <c r="E73" s="176"/>
      <c r="F73" s="176" t="s">
        <v>153</v>
      </c>
      <c r="G73" s="176">
        <f>_xlfn.XLOOKUP(AN73,[2]ySQL_0_24102024094604!$B:$B,[2]ySQL_0_24102024094604!$D:$D,0)</f>
        <v>0</v>
      </c>
      <c r="H73" s="176" t="s">
        <v>367</v>
      </c>
      <c r="I73" s="177">
        <v>122</v>
      </c>
      <c r="J73" s="194">
        <v>82460</v>
      </c>
      <c r="K73" s="194"/>
      <c r="L73" s="194"/>
      <c r="M73" s="194"/>
      <c r="N73" s="177">
        <v>5.75</v>
      </c>
      <c r="O73" s="177">
        <v>5.35</v>
      </c>
      <c r="P73" s="177" t="s">
        <v>167</v>
      </c>
      <c r="Q73" s="177">
        <v>5.75</v>
      </c>
      <c r="R73" s="177">
        <v>4</v>
      </c>
      <c r="S73" s="177">
        <v>3</v>
      </c>
      <c r="T73" s="179">
        <v>6.9308468413000002</v>
      </c>
      <c r="U73" s="177">
        <v>19</v>
      </c>
      <c r="V73" s="177">
        <v>1</v>
      </c>
      <c r="W73" s="177">
        <f>6-$W$3</f>
        <v>5.09</v>
      </c>
      <c r="X73" s="180">
        <v>398529.18</v>
      </c>
      <c r="Y73" s="180"/>
      <c r="Z73" s="180">
        <v>0</v>
      </c>
      <c r="AA73" s="180">
        <v>0</v>
      </c>
      <c r="AB73" s="180">
        <v>79049</v>
      </c>
      <c r="AC73" s="180">
        <v>477578.18</v>
      </c>
      <c r="AD73" s="195">
        <v>6890618</v>
      </c>
      <c r="AE73" s="177" t="s">
        <v>147</v>
      </c>
      <c r="AF73" s="182">
        <v>44684</v>
      </c>
      <c r="AG73" s="177">
        <v>10.180204228528893</v>
      </c>
      <c r="AH73" s="177">
        <v>8.4322749269310062</v>
      </c>
      <c r="AI73" s="196">
        <f>AG73/Q73-1</f>
        <v>0.77047030061372057</v>
      </c>
      <c r="AJ73" s="196">
        <f>AH73/Q73-1</f>
        <v>0.46648259598800101</v>
      </c>
      <c r="AK73" s="177">
        <v>7.3</v>
      </c>
      <c r="AL73" s="177"/>
      <c r="AM73" s="177"/>
      <c r="AN73" s="177" t="s">
        <v>368</v>
      </c>
      <c r="AO73" s="177"/>
      <c r="AP73" s="196">
        <f>AG73/O73-1</f>
        <v>0.90284191187455964</v>
      </c>
      <c r="AQ73" s="196">
        <f>AH73/O73-1</f>
        <v>0.57612615456654326</v>
      </c>
      <c r="AR73" s="177" t="str">
        <f t="shared" si="53"/>
        <v>New Lease</v>
      </c>
      <c r="AS73" s="182" t="str">
        <f t="shared" si="54"/>
        <v>Q2 2022</v>
      </c>
      <c r="AT73" s="182" t="str">
        <f t="shared" si="55"/>
        <v>1H2022</v>
      </c>
      <c r="AU73" s="184" t="str">
        <f t="shared" si="56"/>
        <v>50-100K</v>
      </c>
      <c r="AV73" s="179">
        <f t="shared" si="49"/>
        <v>82460</v>
      </c>
      <c r="AW73" s="233">
        <f t="shared" si="57"/>
        <v>474145</v>
      </c>
      <c r="AX73" s="233">
        <f t="shared" si="58"/>
        <v>441160.99999999994</v>
      </c>
      <c r="AY73" s="198" t="str">
        <f t="shared" si="50"/>
        <v/>
      </c>
      <c r="AZ73" s="233">
        <f>Q73*AV73</f>
        <v>474145</v>
      </c>
      <c r="BA73" s="233">
        <f t="shared" si="59"/>
        <v>474145</v>
      </c>
      <c r="BB73" s="233">
        <f t="shared" si="60"/>
        <v>474145</v>
      </c>
      <c r="BC73" s="233">
        <f t="shared" si="61"/>
        <v>839459.64068449254</v>
      </c>
      <c r="BD73" s="233">
        <f t="shared" si="51"/>
        <v>695325.39047473075</v>
      </c>
      <c r="BE73" s="233">
        <f t="shared" si="62"/>
        <v>82460</v>
      </c>
      <c r="BF73" s="233">
        <f t="shared" si="63"/>
        <v>82460</v>
      </c>
      <c r="BG73" s="233">
        <f t="shared" si="64"/>
        <v>419721.39999999997</v>
      </c>
      <c r="BH73" s="186">
        <f t="shared" si="65"/>
        <v>474145</v>
      </c>
      <c r="BI73" s="233">
        <f t="shared" si="66"/>
        <v>2.0006284997205497</v>
      </c>
      <c r="BJ73" s="233">
        <f t="shared" si="67"/>
        <v>948588</v>
      </c>
      <c r="BK73" s="233">
        <f t="shared" si="68"/>
        <v>571517.63053359801</v>
      </c>
      <c r="BL73" s="233">
        <f t="shared" si="69"/>
        <v>1566740</v>
      </c>
      <c r="BM73" s="233">
        <f t="shared" si="70"/>
        <v>329840</v>
      </c>
      <c r="BN73" s="233">
        <f t="shared" si="71"/>
        <v>247380</v>
      </c>
    </row>
    <row r="74" spans="1:66" s="198" customFormat="1" hidden="1" outlineLevel="1">
      <c r="A74" s="176" t="s">
        <v>369</v>
      </c>
      <c r="B74" s="176" t="s">
        <v>143</v>
      </c>
      <c r="C74" s="176"/>
      <c r="D74" s="176"/>
      <c r="E74" s="176"/>
      <c r="F74" s="176" t="s">
        <v>144</v>
      </c>
      <c r="G74" s="176">
        <f>_xlfn.XLOOKUP(AN74,[2]ySQL_0_24102024094604!$B:$B,[2]ySQL_0_24102024094604!$D:$D,0)</f>
        <v>0</v>
      </c>
      <c r="H74" s="176" t="s">
        <v>370</v>
      </c>
      <c r="I74" s="177">
        <v>62</v>
      </c>
      <c r="J74" s="194">
        <v>12905</v>
      </c>
      <c r="K74" s="194"/>
      <c r="L74" s="194"/>
      <c r="M74" s="194"/>
      <c r="N74" s="177">
        <v>7.12</v>
      </c>
      <c r="O74" s="177">
        <v>8</v>
      </c>
      <c r="P74" s="177" t="s">
        <v>167</v>
      </c>
      <c r="Q74" s="177">
        <v>9</v>
      </c>
      <c r="R74" s="177">
        <v>4</v>
      </c>
      <c r="S74" s="177">
        <v>5</v>
      </c>
      <c r="T74" s="179">
        <v>47.190952777</v>
      </c>
      <c r="U74" s="177">
        <v>45</v>
      </c>
      <c r="V74" s="177">
        <v>1</v>
      </c>
      <c r="W74" s="177">
        <f>9-$W$3</f>
        <v>8.09</v>
      </c>
      <c r="X74" s="180">
        <v>37744.730000000003</v>
      </c>
      <c r="Y74" s="180">
        <f>Z74/J74</f>
        <v>18.579313444401397</v>
      </c>
      <c r="Z74" s="180">
        <v>239766.04</v>
      </c>
      <c r="AA74" s="180">
        <v>0</v>
      </c>
      <c r="AB74" s="180">
        <v>19357.5</v>
      </c>
      <c r="AC74" s="180">
        <v>296868.27</v>
      </c>
      <c r="AD74" s="195">
        <v>629078.78</v>
      </c>
      <c r="AE74" s="177" t="s">
        <v>147</v>
      </c>
      <c r="AF74" s="182">
        <v>44769</v>
      </c>
      <c r="AG74" s="177">
        <v>10.316211393567794</v>
      </c>
      <c r="AH74" s="177">
        <v>9.0115116887861397</v>
      </c>
      <c r="AI74" s="196">
        <f>AG74/Q74-1</f>
        <v>0.14624571039642165</v>
      </c>
      <c r="AJ74" s="196">
        <f>AH74/Q74-1</f>
        <v>1.2790765317933772E-3</v>
      </c>
      <c r="AK74" s="177"/>
      <c r="AL74" s="177"/>
      <c r="AM74" s="177"/>
      <c r="AN74" s="177" t="s">
        <v>279</v>
      </c>
      <c r="AO74" s="177"/>
      <c r="AP74" s="196">
        <f>AG74/O74-1</f>
        <v>0.2895264241959743</v>
      </c>
      <c r="AQ74" s="196">
        <f>AH74/O74-1</f>
        <v>0.12643896109826747</v>
      </c>
      <c r="AR74" s="177" t="str">
        <f t="shared" si="53"/>
        <v>New Lease</v>
      </c>
      <c r="AS74" s="182" t="str">
        <f t="shared" si="54"/>
        <v>Q3 2022</v>
      </c>
      <c r="AT74" s="182" t="str">
        <f t="shared" si="55"/>
        <v>2H2022</v>
      </c>
      <c r="AU74" s="184" t="str">
        <f t="shared" si="56"/>
        <v>&lt; 20K</v>
      </c>
      <c r="AV74" s="179">
        <f t="shared" si="49"/>
        <v>12905</v>
      </c>
      <c r="AW74" s="233">
        <f t="shared" si="57"/>
        <v>91883.6</v>
      </c>
      <c r="AX74" s="233">
        <f t="shared" si="58"/>
        <v>103240</v>
      </c>
      <c r="AY74" s="198" t="str">
        <f t="shared" si="50"/>
        <v/>
      </c>
      <c r="AZ74" s="233">
        <f>Q74*AV74</f>
        <v>116145</v>
      </c>
      <c r="BA74" s="233">
        <f t="shared" si="59"/>
        <v>116145</v>
      </c>
      <c r="BB74" s="233">
        <f t="shared" si="60"/>
        <v>116145</v>
      </c>
      <c r="BC74" s="233">
        <f t="shared" si="61"/>
        <v>133130.70803399239</v>
      </c>
      <c r="BD74" s="233">
        <f t="shared" si="51"/>
        <v>116293.55834378513</v>
      </c>
      <c r="BE74" s="233">
        <f t="shared" si="62"/>
        <v>12905</v>
      </c>
      <c r="BF74" s="233">
        <f t="shared" si="63"/>
        <v>12905</v>
      </c>
      <c r="BG74" s="233">
        <f t="shared" si="64"/>
        <v>104401.45</v>
      </c>
      <c r="BH74" s="186">
        <f t="shared" si="65"/>
        <v>116145</v>
      </c>
      <c r="BI74" s="233">
        <f t="shared" si="66"/>
        <v>2</v>
      </c>
      <c r="BJ74" s="233">
        <f t="shared" si="67"/>
        <v>232290</v>
      </c>
      <c r="BK74" s="233">
        <f t="shared" si="68"/>
        <v>608999.24558718503</v>
      </c>
      <c r="BL74" s="233">
        <f t="shared" si="69"/>
        <v>580725</v>
      </c>
      <c r="BM74" s="233">
        <f t="shared" si="70"/>
        <v>51620</v>
      </c>
      <c r="BN74" s="233">
        <f t="shared" si="71"/>
        <v>64525</v>
      </c>
    </row>
    <row r="75" spans="1:66" s="198" customFormat="1" hidden="1" outlineLevel="1">
      <c r="A75" s="176" t="s">
        <v>371</v>
      </c>
      <c r="B75" s="176" t="s">
        <v>143</v>
      </c>
      <c r="C75" s="176"/>
      <c r="D75" s="176"/>
      <c r="E75" s="176"/>
      <c r="F75" s="176" t="s">
        <v>173</v>
      </c>
      <c r="G75" s="176">
        <f>_xlfn.XLOOKUP(AN75,[2]ySQL_0_24102024094604!$B:$B,[2]ySQL_0_24102024094604!$D:$D,0)</f>
        <v>0</v>
      </c>
      <c r="H75" s="176" t="s">
        <v>372</v>
      </c>
      <c r="I75" s="177">
        <v>61</v>
      </c>
      <c r="J75" s="194">
        <v>10699</v>
      </c>
      <c r="K75" s="194"/>
      <c r="L75" s="194"/>
      <c r="M75" s="194"/>
      <c r="N75" s="177">
        <v>10.75</v>
      </c>
      <c r="O75" s="177">
        <v>13.15</v>
      </c>
      <c r="P75" s="177">
        <v>14.04</v>
      </c>
      <c r="Q75" s="177">
        <v>13.5</v>
      </c>
      <c r="R75" s="179">
        <v>4</v>
      </c>
      <c r="S75" s="179">
        <v>3</v>
      </c>
      <c r="T75" s="179">
        <v>16.223590000200002</v>
      </c>
      <c r="U75" s="197">
        <v>27.6</v>
      </c>
      <c r="V75" s="177">
        <v>1</v>
      </c>
      <c r="W75" s="177">
        <f>6-$W$3</f>
        <v>5.09</v>
      </c>
      <c r="X75" s="180">
        <v>58860.55</v>
      </c>
      <c r="Y75" s="180">
        <f>Z75/J75</f>
        <v>5.2740443032059074</v>
      </c>
      <c r="Z75" s="180">
        <v>56427</v>
      </c>
      <c r="AA75" s="180">
        <v>0</v>
      </c>
      <c r="AB75" s="180">
        <v>12036.38</v>
      </c>
      <c r="AC75" s="180">
        <v>127323.93</v>
      </c>
      <c r="AD75" s="195">
        <v>784807.37</v>
      </c>
      <c r="AE75" s="177" t="s">
        <v>147</v>
      </c>
      <c r="AF75" s="182">
        <v>44917</v>
      </c>
      <c r="AG75" s="197">
        <v>13.187242188135698</v>
      </c>
      <c r="AH75" s="197">
        <v>11.413891567024006</v>
      </c>
      <c r="AI75" s="196">
        <f>AG75/Q75-1</f>
        <v>-2.3167245323281627E-2</v>
      </c>
      <c r="AJ75" s="196">
        <f>AH75/Q75-1</f>
        <v>-0.15452655059081433</v>
      </c>
      <c r="AK75" s="177"/>
      <c r="AL75" s="177"/>
      <c r="AM75" s="177"/>
      <c r="AN75" s="177" t="s">
        <v>373</v>
      </c>
      <c r="AP75" s="196">
        <f>AG75/O75-1</f>
        <v>2.8321055616500335E-3</v>
      </c>
      <c r="AQ75" s="196">
        <f>AH75/O75-1</f>
        <v>-0.13202345497916301</v>
      </c>
      <c r="AR75" s="177" t="str">
        <f t="shared" si="53"/>
        <v>New Lease</v>
      </c>
      <c r="AS75" s="182" t="str">
        <f t="shared" si="54"/>
        <v>Q4 2022</v>
      </c>
      <c r="AT75" s="182" t="str">
        <f t="shared" si="55"/>
        <v>2H2022</v>
      </c>
      <c r="AU75" s="184" t="str">
        <f t="shared" si="56"/>
        <v>&lt; 20K</v>
      </c>
      <c r="AV75" s="179">
        <f t="shared" si="49"/>
        <v>10699</v>
      </c>
      <c r="AW75" s="233">
        <f t="shared" si="57"/>
        <v>115014.25</v>
      </c>
      <c r="AX75" s="233">
        <f t="shared" si="58"/>
        <v>140691.85</v>
      </c>
      <c r="AY75" s="233">
        <f>J75*P75</f>
        <v>150213.96</v>
      </c>
      <c r="AZ75" s="233">
        <f>Q75*AV75</f>
        <v>144436.5</v>
      </c>
      <c r="BA75" s="233">
        <f t="shared" si="59"/>
        <v>144436.5</v>
      </c>
      <c r="BB75" s="233">
        <f t="shared" si="60"/>
        <v>144436.5</v>
      </c>
      <c r="BC75" s="233">
        <f t="shared" si="61"/>
        <v>141090.30417086385</v>
      </c>
      <c r="BD75" s="233">
        <f t="shared" si="51"/>
        <v>122117.22587558984</v>
      </c>
      <c r="BE75" s="233">
        <f t="shared" si="62"/>
        <v>10699</v>
      </c>
      <c r="BF75" s="233">
        <f t="shared" si="63"/>
        <v>10699</v>
      </c>
      <c r="BG75" s="233">
        <f t="shared" si="64"/>
        <v>54457.909999999996</v>
      </c>
      <c r="BH75" s="186">
        <f t="shared" si="65"/>
        <v>144436.5</v>
      </c>
      <c r="BI75" s="233">
        <f t="shared" si="66"/>
        <v>1.0000004154074627</v>
      </c>
      <c r="BJ75" s="233">
        <f t="shared" si="67"/>
        <v>144436.55999999997</v>
      </c>
      <c r="BK75" s="233">
        <f t="shared" si="68"/>
        <v>173576.18941213982</v>
      </c>
      <c r="BL75" s="233">
        <f t="shared" si="69"/>
        <v>295292.40000000002</v>
      </c>
      <c r="BM75" s="233">
        <f t="shared" si="70"/>
        <v>42796</v>
      </c>
      <c r="BN75" s="233">
        <f t="shared" si="71"/>
        <v>32097</v>
      </c>
    </row>
    <row r="76" spans="1:66" s="198" customFormat="1" hidden="1" outlineLevel="1">
      <c r="A76" s="176" t="s">
        <v>374</v>
      </c>
      <c r="B76" s="176" t="s">
        <v>252</v>
      </c>
      <c r="C76" s="176"/>
      <c r="D76" s="176"/>
      <c r="E76" s="176"/>
      <c r="F76" s="176" t="s">
        <v>153</v>
      </c>
      <c r="G76" s="176">
        <f>_xlfn.XLOOKUP(AN76,[2]ySQL_0_24102024094604!$B:$B,[2]ySQL_0_24102024094604!$D:$D,0)</f>
        <v>0</v>
      </c>
      <c r="H76" s="176" t="s">
        <v>375</v>
      </c>
      <c r="I76" s="177">
        <v>24</v>
      </c>
      <c r="J76" s="178">
        <v>36072</v>
      </c>
      <c r="K76" s="178"/>
      <c r="L76" s="178"/>
      <c r="M76" s="178"/>
      <c r="N76" s="177">
        <v>6.73</v>
      </c>
      <c r="O76" s="177">
        <v>7.47</v>
      </c>
      <c r="P76" s="177">
        <v>7</v>
      </c>
      <c r="Q76" s="177">
        <v>7</v>
      </c>
      <c r="R76" s="177">
        <v>3.5</v>
      </c>
      <c r="S76" s="177">
        <v>3.5</v>
      </c>
      <c r="T76" s="179">
        <v>0</v>
      </c>
      <c r="U76" s="177">
        <v>0</v>
      </c>
      <c r="V76" s="177">
        <v>0</v>
      </c>
      <c r="W76" s="177">
        <v>0</v>
      </c>
      <c r="X76" s="180">
        <v>0</v>
      </c>
      <c r="Y76" s="180"/>
      <c r="Z76" s="180">
        <v>0</v>
      </c>
      <c r="AA76" s="180">
        <v>0</v>
      </c>
      <c r="AB76" s="180">
        <v>0</v>
      </c>
      <c r="AC76" s="180">
        <v>0</v>
      </c>
      <c r="AD76" s="181">
        <v>513846</v>
      </c>
      <c r="AE76" s="177" t="s">
        <v>147</v>
      </c>
      <c r="AF76" s="182">
        <v>45251</v>
      </c>
      <c r="AG76" s="177"/>
      <c r="AH76" s="177"/>
      <c r="AI76" s="183"/>
      <c r="AJ76" s="183"/>
      <c r="AK76" s="177"/>
      <c r="AL76" s="177"/>
      <c r="AM76" s="177"/>
      <c r="AN76" s="177" t="s">
        <v>376</v>
      </c>
      <c r="AO76" s="177"/>
      <c r="AP76" s="183"/>
      <c r="AQ76" s="183"/>
      <c r="AR76" s="177" t="str">
        <f t="shared" si="53"/>
        <v>Renewal</v>
      </c>
      <c r="AS76" s="182" t="str">
        <f t="shared" si="54"/>
        <v>Q4 2023</v>
      </c>
      <c r="AT76" s="182" t="str">
        <f t="shared" si="55"/>
        <v>2H2023</v>
      </c>
      <c r="AU76" s="184" t="str">
        <f t="shared" si="56"/>
        <v>20-50K</v>
      </c>
      <c r="AV76" s="179">
        <f t="shared" si="49"/>
        <v>36072</v>
      </c>
      <c r="AW76" s="233">
        <f t="shared" si="57"/>
        <v>242764.56000000003</v>
      </c>
      <c r="AX76" s="233">
        <f t="shared" si="58"/>
        <v>269457.83999999997</v>
      </c>
      <c r="AY76" s="198">
        <f t="shared" ref="AY76:AY87" si="72">IF(P76="","",J76*P76)</f>
        <v>252504</v>
      </c>
      <c r="AZ76" s="233">
        <f>IFERROR(Q76*AV76,"")</f>
        <v>252504</v>
      </c>
      <c r="BA76" s="233">
        <f t="shared" si="59"/>
        <v>252504</v>
      </c>
      <c r="BB76" s="233">
        <f t="shared" si="60"/>
        <v>252504</v>
      </c>
      <c r="BC76" s="233">
        <f t="shared" si="61"/>
        <v>0</v>
      </c>
      <c r="BD76" s="233">
        <f t="shared" si="51"/>
        <v>0</v>
      </c>
      <c r="BE76" s="233">
        <f t="shared" si="62"/>
        <v>0</v>
      </c>
      <c r="BF76" s="233">
        <f t="shared" si="63"/>
        <v>0</v>
      </c>
      <c r="BG76" s="233">
        <f t="shared" si="64"/>
        <v>0</v>
      </c>
      <c r="BH76" s="186" t="str">
        <f t="shared" si="65"/>
        <v/>
      </c>
      <c r="BI76" s="233">
        <f t="shared" si="66"/>
        <v>0</v>
      </c>
      <c r="BJ76" s="233">
        <f t="shared" si="67"/>
        <v>0</v>
      </c>
      <c r="BK76" s="233">
        <f t="shared" si="68"/>
        <v>0</v>
      </c>
      <c r="BL76" s="233">
        <f t="shared" si="69"/>
        <v>0</v>
      </c>
      <c r="BM76" s="233">
        <f t="shared" si="70"/>
        <v>126252</v>
      </c>
      <c r="BN76" s="233">
        <f t="shared" si="71"/>
        <v>126252</v>
      </c>
    </row>
    <row r="77" spans="1:66" s="198" customFormat="1" hidden="1" outlineLevel="1">
      <c r="A77" s="176" t="s">
        <v>377</v>
      </c>
      <c r="B77" s="176" t="s">
        <v>157</v>
      </c>
      <c r="C77" s="176" t="s">
        <v>157</v>
      </c>
      <c r="D77" s="192" t="s">
        <v>291</v>
      </c>
      <c r="E77" s="192">
        <f>O77/N77-1</f>
        <v>4.1666666666666741E-2</v>
      </c>
      <c r="F77" s="176" t="s">
        <v>181</v>
      </c>
      <c r="G77" s="176">
        <f>_xlfn.XLOOKUP(AN77,[2]ySQL_0_24102024094604!$B:$B,[2]ySQL_0_24102024094604!$D:$D,0)</f>
        <v>0</v>
      </c>
      <c r="H77" s="176">
        <v>911</v>
      </c>
      <c r="I77" s="177">
        <v>36</v>
      </c>
      <c r="J77" s="178">
        <v>13939</v>
      </c>
      <c r="K77" s="178"/>
      <c r="L77" s="178"/>
      <c r="M77" s="178"/>
      <c r="N77" s="177">
        <v>8.16</v>
      </c>
      <c r="O77" s="177">
        <v>8.5</v>
      </c>
      <c r="P77" s="177">
        <v>10</v>
      </c>
      <c r="Q77" s="177">
        <v>10</v>
      </c>
      <c r="R77" s="177">
        <v>4</v>
      </c>
      <c r="S77" s="177">
        <v>4</v>
      </c>
      <c r="T77" s="179">
        <v>13.609224746000001</v>
      </c>
      <c r="U77" s="177">
        <v>0</v>
      </c>
      <c r="V77" s="177">
        <v>0</v>
      </c>
      <c r="W77" s="177">
        <v>0</v>
      </c>
      <c r="X77" s="180">
        <v>17407.02</v>
      </c>
      <c r="Y77" s="180"/>
      <c r="Z77" s="180">
        <v>18585.330000000002</v>
      </c>
      <c r="AA77" s="180" t="s">
        <v>167</v>
      </c>
      <c r="AB77" s="180">
        <v>23231.67</v>
      </c>
      <c r="AC77" s="180">
        <v>59224.02</v>
      </c>
      <c r="AD77" s="181">
        <v>435120</v>
      </c>
      <c r="AE77" s="177" t="s">
        <v>161</v>
      </c>
      <c r="AF77" s="182">
        <v>45251</v>
      </c>
      <c r="AG77" s="177"/>
      <c r="AH77" s="177"/>
      <c r="AI77" s="183"/>
      <c r="AJ77" s="183"/>
      <c r="AK77" s="177"/>
      <c r="AL77" s="177"/>
      <c r="AM77" s="177"/>
      <c r="AN77" s="177" t="s">
        <v>378</v>
      </c>
      <c r="AO77" s="177"/>
      <c r="AP77" s="183"/>
      <c r="AQ77" s="183"/>
      <c r="AR77" s="177" t="str">
        <f t="shared" si="53"/>
        <v>Renewal</v>
      </c>
      <c r="AS77" s="182" t="str">
        <f t="shared" si="54"/>
        <v>Q4 2023</v>
      </c>
      <c r="AT77" s="182" t="str">
        <f t="shared" si="55"/>
        <v>2H2023</v>
      </c>
      <c r="AU77" s="184" t="str">
        <f t="shared" si="56"/>
        <v>&lt; 20K</v>
      </c>
      <c r="AV77" s="179">
        <f t="shared" si="49"/>
        <v>13939</v>
      </c>
      <c r="AW77" s="233">
        <f t="shared" si="57"/>
        <v>113742.24</v>
      </c>
      <c r="AX77" s="233">
        <f t="shared" si="58"/>
        <v>118481.5</v>
      </c>
      <c r="AY77" s="198">
        <f t="shared" si="72"/>
        <v>139390</v>
      </c>
      <c r="AZ77" s="233">
        <f>IFERROR(Q77*AV77,"")</f>
        <v>139390</v>
      </c>
      <c r="BA77" s="233">
        <f t="shared" si="59"/>
        <v>139390</v>
      </c>
      <c r="BB77" s="233">
        <f t="shared" si="60"/>
        <v>139390</v>
      </c>
      <c r="BC77" s="233">
        <f t="shared" si="61"/>
        <v>0</v>
      </c>
      <c r="BD77" s="233">
        <f t="shared" si="51"/>
        <v>0</v>
      </c>
      <c r="BE77" s="233">
        <f t="shared" si="62"/>
        <v>0</v>
      </c>
      <c r="BF77" s="233">
        <f t="shared" si="63"/>
        <v>0</v>
      </c>
      <c r="BG77" s="233">
        <f t="shared" si="64"/>
        <v>0</v>
      </c>
      <c r="BH77" s="186">
        <f t="shared" si="65"/>
        <v>139390</v>
      </c>
      <c r="BI77" s="233">
        <f t="shared" si="66"/>
        <v>2.0000002869646312</v>
      </c>
      <c r="BJ77" s="233">
        <f t="shared" si="67"/>
        <v>278780.03999999992</v>
      </c>
      <c r="BK77" s="233">
        <f t="shared" si="68"/>
        <v>189698.98373449402</v>
      </c>
      <c r="BL77" s="233">
        <f t="shared" si="69"/>
        <v>0</v>
      </c>
      <c r="BM77" s="233">
        <f t="shared" si="70"/>
        <v>55756</v>
      </c>
      <c r="BN77" s="233">
        <f t="shared" si="71"/>
        <v>55756</v>
      </c>
    </row>
    <row r="78" spans="1:66" s="198" customFormat="1" hidden="1" outlineLevel="1">
      <c r="A78" s="176" t="s">
        <v>379</v>
      </c>
      <c r="B78" s="176" t="s">
        <v>143</v>
      </c>
      <c r="C78" s="176"/>
      <c r="D78" s="176"/>
      <c r="E78" s="176"/>
      <c r="F78" s="176" t="s">
        <v>153</v>
      </c>
      <c r="G78" s="176">
        <f>_xlfn.XLOOKUP(AN78,[2]ySQL_0_24102024094604!$B:$B,[2]ySQL_0_24102024094604!$D:$D,0)</f>
        <v>0</v>
      </c>
      <c r="H78" s="176" t="s">
        <v>380</v>
      </c>
      <c r="I78" s="177">
        <v>61</v>
      </c>
      <c r="J78" s="178">
        <v>7529</v>
      </c>
      <c r="K78" s="178"/>
      <c r="L78" s="178"/>
      <c r="M78" s="178"/>
      <c r="N78" s="177">
        <v>3.88</v>
      </c>
      <c r="O78" s="177">
        <v>6.03</v>
      </c>
      <c r="P78" s="177">
        <v>5.9</v>
      </c>
      <c r="Q78" s="177">
        <v>7.25</v>
      </c>
      <c r="R78" s="177">
        <v>4</v>
      </c>
      <c r="S78" s="177">
        <v>3</v>
      </c>
      <c r="T78" s="179">
        <f>AC78/AD78*100</f>
        <v>14.520311405009181</v>
      </c>
      <c r="U78" s="177">
        <v>22.95</v>
      </c>
      <c r="V78" s="177">
        <v>1.5</v>
      </c>
      <c r="W78" s="177">
        <v>6</v>
      </c>
      <c r="X78" s="188">
        <v>24112</v>
      </c>
      <c r="Y78" s="180">
        <f>Z78/J78</f>
        <v>2</v>
      </c>
      <c r="Z78" s="188">
        <v>15058</v>
      </c>
      <c r="AA78" s="188">
        <v>0</v>
      </c>
      <c r="AB78" s="188">
        <v>4548.7700000000004</v>
      </c>
      <c r="AC78" s="188">
        <v>43718.77</v>
      </c>
      <c r="AD78" s="181">
        <v>301087</v>
      </c>
      <c r="AE78" s="177" t="s">
        <v>147</v>
      </c>
      <c r="AF78" s="182">
        <v>45127</v>
      </c>
      <c r="AG78" s="177" t="s">
        <v>167</v>
      </c>
      <c r="AH78" s="177" t="s">
        <v>167</v>
      </c>
      <c r="AI78" s="183" t="s">
        <v>167</v>
      </c>
      <c r="AJ78" s="183" t="s">
        <v>167</v>
      </c>
      <c r="AK78" s="177"/>
      <c r="AL78" s="177"/>
      <c r="AM78" s="177"/>
      <c r="AN78" s="177" t="s">
        <v>199</v>
      </c>
      <c r="AO78" s="177"/>
      <c r="AP78" s="183"/>
      <c r="AQ78" s="183"/>
      <c r="AR78" s="177" t="str">
        <f t="shared" si="53"/>
        <v>New Lease</v>
      </c>
      <c r="AS78" s="182" t="str">
        <f t="shared" si="54"/>
        <v>Q3 2023</v>
      </c>
      <c r="AT78" s="182" t="str">
        <f t="shared" si="55"/>
        <v>2H2023</v>
      </c>
      <c r="AU78" s="184" t="str">
        <f t="shared" si="56"/>
        <v>&lt; 20K</v>
      </c>
      <c r="AV78" s="179">
        <f t="shared" si="49"/>
        <v>7529</v>
      </c>
      <c r="AW78" s="233">
        <f t="shared" si="57"/>
        <v>29212.52</v>
      </c>
      <c r="AX78" s="233">
        <f t="shared" si="58"/>
        <v>45399.87</v>
      </c>
      <c r="AY78" s="198">
        <f t="shared" si="72"/>
        <v>44421.100000000006</v>
      </c>
      <c r="AZ78" s="233">
        <f>IFERROR(Q78*AV78,"")</f>
        <v>54585.25</v>
      </c>
      <c r="BA78" s="233">
        <f t="shared" si="59"/>
        <v>54585.25</v>
      </c>
      <c r="BB78" s="233">
        <f t="shared" si="60"/>
        <v>54585.25</v>
      </c>
      <c r="BC78" s="233" t="e">
        <f t="shared" si="61"/>
        <v>#VALUE!</v>
      </c>
      <c r="BD78" s="233" t="e">
        <f t="shared" si="51"/>
        <v>#VALUE!</v>
      </c>
      <c r="BE78" s="233">
        <f t="shared" si="62"/>
        <v>11293.5</v>
      </c>
      <c r="BF78" s="233">
        <f t="shared" si="63"/>
        <v>7529</v>
      </c>
      <c r="BG78" s="233">
        <f t="shared" si="64"/>
        <v>45174</v>
      </c>
      <c r="BH78" s="186">
        <f t="shared" si="65"/>
        <v>54585.25</v>
      </c>
      <c r="BI78" s="233">
        <f t="shared" si="66"/>
        <v>0.99999981680032624</v>
      </c>
      <c r="BJ78" s="233">
        <f t="shared" si="67"/>
        <v>54585.240000000013</v>
      </c>
      <c r="BK78" s="233">
        <f t="shared" si="68"/>
        <v>109323.42456831412</v>
      </c>
      <c r="BL78" s="233">
        <f t="shared" si="69"/>
        <v>172790.55</v>
      </c>
      <c r="BM78" s="233">
        <f t="shared" si="70"/>
        <v>30116</v>
      </c>
      <c r="BN78" s="233">
        <f t="shared" si="71"/>
        <v>22587</v>
      </c>
    </row>
    <row r="79" spans="1:66" s="198" customFormat="1" hidden="1" outlineLevel="1">
      <c r="A79" s="176" t="s">
        <v>381</v>
      </c>
      <c r="B79" s="176" t="s">
        <v>143</v>
      </c>
      <c r="C79" s="176"/>
      <c r="D79" s="176"/>
      <c r="E79" s="176"/>
      <c r="F79" s="176" t="s">
        <v>153</v>
      </c>
      <c r="G79" s="176">
        <f>_xlfn.XLOOKUP(AN79,[2]ySQL_0_24102024094604!$B:$B,[2]ySQL_0_24102024094604!$D:$D,0)</f>
        <v>0</v>
      </c>
      <c r="H79" s="176" t="s">
        <v>382</v>
      </c>
      <c r="I79" s="177">
        <v>62</v>
      </c>
      <c r="J79" s="194">
        <v>20030</v>
      </c>
      <c r="K79" s="194"/>
      <c r="L79" s="194"/>
      <c r="M79" s="194"/>
      <c r="N79" s="177">
        <v>4.49</v>
      </c>
      <c r="O79" s="177">
        <v>10.45</v>
      </c>
      <c r="P79" s="177" t="s">
        <v>167</v>
      </c>
      <c r="Q79" s="177">
        <v>10.45</v>
      </c>
      <c r="R79" s="177">
        <v>4.5</v>
      </c>
      <c r="S79" s="177">
        <v>4.5</v>
      </c>
      <c r="T79" s="179">
        <v>12.9098368307</v>
      </c>
      <c r="U79" s="177">
        <v>17.32</v>
      </c>
      <c r="V79" s="177">
        <v>1.5</v>
      </c>
      <c r="W79" s="177">
        <f>3-$W$3</f>
        <v>2.09</v>
      </c>
      <c r="X79" s="180">
        <v>94698.34</v>
      </c>
      <c r="Y79" s="180">
        <f>Z79/J79</f>
        <v>3.7500249625561657</v>
      </c>
      <c r="Z79" s="180">
        <v>75113</v>
      </c>
      <c r="AA79" s="180">
        <v>0</v>
      </c>
      <c r="AB79" s="180">
        <v>34886</v>
      </c>
      <c r="AC79" s="180">
        <v>204697.34</v>
      </c>
      <c r="AD79" s="195">
        <v>1585592</v>
      </c>
      <c r="AE79" s="177" t="s">
        <v>147</v>
      </c>
      <c r="AF79" s="182">
        <v>44764</v>
      </c>
      <c r="AG79" s="177">
        <v>9.9558055735325546</v>
      </c>
      <c r="AH79" s="177">
        <v>7.1731835026223951</v>
      </c>
      <c r="AI79" s="196">
        <f>AG79/Q79-1</f>
        <v>-4.7291332676310471E-2</v>
      </c>
      <c r="AJ79" s="196">
        <f>AH79/Q79-1</f>
        <v>-0.31357095668685209</v>
      </c>
      <c r="AK79" s="177">
        <v>9</v>
      </c>
      <c r="AL79" s="177"/>
      <c r="AM79" s="177"/>
      <c r="AN79" s="177" t="s">
        <v>383</v>
      </c>
      <c r="AO79" s="177"/>
      <c r="AP79" s="196">
        <f>AG79/O79-1</f>
        <v>-4.7291332676310471E-2</v>
      </c>
      <c r="AQ79" s="196">
        <f>AH79/O79-1</f>
        <v>-0.31357095668685209</v>
      </c>
      <c r="AR79" s="177" t="str">
        <f t="shared" si="53"/>
        <v>New Lease</v>
      </c>
      <c r="AS79" s="182" t="str">
        <f t="shared" si="54"/>
        <v>Q3 2022</v>
      </c>
      <c r="AT79" s="182" t="str">
        <f t="shared" si="55"/>
        <v>2H2022</v>
      </c>
      <c r="AU79" s="184" t="str">
        <f t="shared" si="56"/>
        <v>20-50K</v>
      </c>
      <c r="AV79" s="179">
        <f t="shared" si="49"/>
        <v>20030</v>
      </c>
      <c r="AW79" s="233">
        <f t="shared" si="57"/>
        <v>89934.7</v>
      </c>
      <c r="AX79" s="233">
        <f t="shared" si="58"/>
        <v>209313.5</v>
      </c>
      <c r="AY79" s="198" t="str">
        <f t="shared" si="72"/>
        <v/>
      </c>
      <c r="AZ79" s="233">
        <f>Q79*AV79</f>
        <v>209313.5</v>
      </c>
      <c r="BA79" s="233">
        <f t="shared" si="59"/>
        <v>209313.5</v>
      </c>
      <c r="BB79" s="233">
        <f t="shared" si="60"/>
        <v>209313.5</v>
      </c>
      <c r="BC79" s="233">
        <f t="shared" si="61"/>
        <v>199414.78563785707</v>
      </c>
      <c r="BD79" s="233">
        <f t="shared" si="51"/>
        <v>143678.86555752659</v>
      </c>
      <c r="BE79" s="233">
        <f t="shared" si="62"/>
        <v>30045</v>
      </c>
      <c r="BF79" s="233">
        <f t="shared" si="63"/>
        <v>20030</v>
      </c>
      <c r="BG79" s="233">
        <f t="shared" si="64"/>
        <v>41862.699999999997</v>
      </c>
      <c r="BH79" s="186">
        <f t="shared" si="65"/>
        <v>209313.5</v>
      </c>
      <c r="BI79" s="233">
        <f t="shared" si="66"/>
        <v>2.0000238876135557</v>
      </c>
      <c r="BJ79" s="233">
        <f t="shared" si="67"/>
        <v>418631.99999999994</v>
      </c>
      <c r="BK79" s="233">
        <f t="shared" si="68"/>
        <v>258584.031718921</v>
      </c>
      <c r="BL79" s="233">
        <f t="shared" si="69"/>
        <v>346919.6</v>
      </c>
      <c r="BM79" s="233">
        <f t="shared" si="70"/>
        <v>90135</v>
      </c>
      <c r="BN79" s="233">
        <f t="shared" si="71"/>
        <v>90135</v>
      </c>
    </row>
    <row r="80" spans="1:66" s="198" customFormat="1" hidden="1" outlineLevel="1">
      <c r="A80" s="176" t="s">
        <v>384</v>
      </c>
      <c r="B80" s="176" t="s">
        <v>157</v>
      </c>
      <c r="C80" s="176"/>
      <c r="D80" s="176"/>
      <c r="E80" s="176"/>
      <c r="F80" s="176" t="s">
        <v>181</v>
      </c>
      <c r="G80" s="176">
        <f>_xlfn.XLOOKUP(AN80,[2]ySQL_0_24102024094604!$B:$B,[2]ySQL_0_24102024094604!$D:$D,0)</f>
        <v>0</v>
      </c>
      <c r="H80" s="176" t="s">
        <v>385</v>
      </c>
      <c r="I80" s="177">
        <v>60</v>
      </c>
      <c r="J80" s="178">
        <v>2218</v>
      </c>
      <c r="K80" s="178"/>
      <c r="L80" s="178"/>
      <c r="M80" s="178"/>
      <c r="N80" s="177">
        <v>10.61</v>
      </c>
      <c r="O80" s="177">
        <v>7.15</v>
      </c>
      <c r="P80" s="177">
        <v>5</v>
      </c>
      <c r="Q80" s="177">
        <v>12.3</v>
      </c>
      <c r="R80" s="177">
        <v>4</v>
      </c>
      <c r="S80" s="177">
        <v>3</v>
      </c>
      <c r="T80" s="179">
        <v>4.0000027353999998</v>
      </c>
      <c r="U80" s="177">
        <v>22.71</v>
      </c>
      <c r="V80" s="177">
        <v>0</v>
      </c>
      <c r="W80" s="177">
        <v>0</v>
      </c>
      <c r="X80" s="180">
        <v>5849.29</v>
      </c>
      <c r="Y80" s="180"/>
      <c r="Z80" s="180">
        <v>0</v>
      </c>
      <c r="AA80" s="180">
        <v>0</v>
      </c>
      <c r="AB80" s="180">
        <v>0</v>
      </c>
      <c r="AC80" s="180">
        <v>5849.29</v>
      </c>
      <c r="AD80" s="181">
        <v>147765</v>
      </c>
      <c r="AE80" s="177" t="s">
        <v>147</v>
      </c>
      <c r="AF80" s="182">
        <v>45202</v>
      </c>
      <c r="AG80" s="177"/>
      <c r="AH80" s="177"/>
      <c r="AI80" s="183"/>
      <c r="AJ80" s="183"/>
      <c r="AK80" s="177"/>
      <c r="AL80" s="177"/>
      <c r="AM80" s="177"/>
      <c r="AN80" s="177" t="s">
        <v>386</v>
      </c>
      <c r="AO80" s="177"/>
      <c r="AP80" s="183"/>
      <c r="AQ80" s="183"/>
      <c r="AR80" s="177" t="str">
        <f t="shared" si="53"/>
        <v>Renewal</v>
      </c>
      <c r="AS80" s="182" t="str">
        <f t="shared" si="54"/>
        <v>Q4 2023</v>
      </c>
      <c r="AT80" s="182" t="str">
        <f t="shared" si="55"/>
        <v>2H2023</v>
      </c>
      <c r="AU80" s="184" t="str">
        <f t="shared" si="56"/>
        <v>&lt; 20K</v>
      </c>
      <c r="AV80" s="179">
        <f t="shared" si="49"/>
        <v>2218</v>
      </c>
      <c r="AW80" s="233">
        <f t="shared" si="57"/>
        <v>23532.98</v>
      </c>
      <c r="AX80" s="233">
        <f t="shared" si="58"/>
        <v>15858.7</v>
      </c>
      <c r="AY80" s="198">
        <f t="shared" si="72"/>
        <v>11090</v>
      </c>
      <c r="AZ80" s="233">
        <f t="shared" ref="AZ80:AZ85" si="73">IFERROR(Q80*AV80,"")</f>
        <v>27281.4</v>
      </c>
      <c r="BA80" s="233">
        <f t="shared" si="59"/>
        <v>27281.4</v>
      </c>
      <c r="BB80" s="233">
        <f t="shared" si="60"/>
        <v>27281.4</v>
      </c>
      <c r="BC80" s="233">
        <f t="shared" si="61"/>
        <v>0</v>
      </c>
      <c r="BD80" s="233">
        <f t="shared" si="51"/>
        <v>0</v>
      </c>
      <c r="BE80" s="233">
        <f t="shared" si="62"/>
        <v>0</v>
      </c>
      <c r="BF80" s="233">
        <f t="shared" si="63"/>
        <v>0</v>
      </c>
      <c r="BG80" s="233">
        <f t="shared" si="64"/>
        <v>0</v>
      </c>
      <c r="BH80" s="186" t="str">
        <f t="shared" si="65"/>
        <v/>
      </c>
      <c r="BI80" s="233">
        <f t="shared" si="66"/>
        <v>0</v>
      </c>
      <c r="BJ80" s="233">
        <f t="shared" si="67"/>
        <v>0</v>
      </c>
      <c r="BK80" s="233">
        <f t="shared" si="68"/>
        <v>8872.0060671171996</v>
      </c>
      <c r="BL80" s="233">
        <f t="shared" si="69"/>
        <v>50370.78</v>
      </c>
      <c r="BM80" s="233">
        <f t="shared" si="70"/>
        <v>8872</v>
      </c>
      <c r="BN80" s="233">
        <f t="shared" si="71"/>
        <v>6654</v>
      </c>
    </row>
    <row r="81" spans="1:66" s="198" customFormat="1" hidden="1" outlineLevel="1">
      <c r="A81" s="176" t="s">
        <v>387</v>
      </c>
      <c r="B81" s="176" t="s">
        <v>157</v>
      </c>
      <c r="C81" s="176"/>
      <c r="D81" s="176"/>
      <c r="E81" s="176"/>
      <c r="F81" s="176" t="s">
        <v>244</v>
      </c>
      <c r="G81" s="176">
        <f>_xlfn.XLOOKUP(AN81,[2]ySQL_0_24102024094604!$B:$B,[2]ySQL_0_24102024094604!$D:$D,0)</f>
        <v>0</v>
      </c>
      <c r="H81" s="176" t="s">
        <v>388</v>
      </c>
      <c r="I81" s="177">
        <v>60</v>
      </c>
      <c r="J81" s="178">
        <v>11473</v>
      </c>
      <c r="K81" s="178"/>
      <c r="L81" s="178"/>
      <c r="M81" s="178"/>
      <c r="N81" s="177">
        <v>4.78</v>
      </c>
      <c r="O81" s="177">
        <v>6.5</v>
      </c>
      <c r="P81" s="177">
        <v>8.5</v>
      </c>
      <c r="Q81" s="177">
        <v>8.75</v>
      </c>
      <c r="R81" s="177">
        <v>4.25</v>
      </c>
      <c r="S81" s="177">
        <v>3</v>
      </c>
      <c r="T81" s="179">
        <v>4.0000000731999998</v>
      </c>
      <c r="U81" s="177">
        <v>8.4700000000000006</v>
      </c>
      <c r="V81" s="177">
        <v>0</v>
      </c>
      <c r="W81" s="177">
        <v>0</v>
      </c>
      <c r="X81" s="180">
        <v>21858.36</v>
      </c>
      <c r="Y81" s="180"/>
      <c r="Z81" s="180">
        <v>0</v>
      </c>
      <c r="AA81" s="180">
        <v>0</v>
      </c>
      <c r="AB81" s="180">
        <v>0</v>
      </c>
      <c r="AC81" s="180">
        <v>21858.36</v>
      </c>
      <c r="AD81" s="181">
        <v>546461</v>
      </c>
      <c r="AE81" s="177" t="s">
        <v>147</v>
      </c>
      <c r="AF81" s="182">
        <v>45210</v>
      </c>
      <c r="AG81" s="177"/>
      <c r="AH81" s="177"/>
      <c r="AI81" s="183"/>
      <c r="AJ81" s="183"/>
      <c r="AK81" s="177"/>
      <c r="AL81" s="177"/>
      <c r="AM81" s="177"/>
      <c r="AN81" s="177" t="s">
        <v>389</v>
      </c>
      <c r="AO81" s="177"/>
      <c r="AP81" s="183"/>
      <c r="AQ81" s="183"/>
      <c r="AR81" s="177" t="str">
        <f t="shared" si="53"/>
        <v>Renewal</v>
      </c>
      <c r="AS81" s="182" t="str">
        <f t="shared" si="54"/>
        <v>Q4 2023</v>
      </c>
      <c r="AT81" s="182" t="str">
        <f t="shared" si="55"/>
        <v>2H2023</v>
      </c>
      <c r="AU81" s="184" t="str">
        <f t="shared" si="56"/>
        <v>&lt; 20K</v>
      </c>
      <c r="AV81" s="179">
        <f t="shared" si="49"/>
        <v>11473</v>
      </c>
      <c r="AW81" s="233">
        <f t="shared" si="57"/>
        <v>54840.94</v>
      </c>
      <c r="AX81" s="233">
        <f t="shared" si="58"/>
        <v>74574.5</v>
      </c>
      <c r="AY81" s="198">
        <f t="shared" si="72"/>
        <v>97520.5</v>
      </c>
      <c r="AZ81" s="233">
        <f t="shared" si="73"/>
        <v>100388.75</v>
      </c>
      <c r="BA81" s="233">
        <f t="shared" si="59"/>
        <v>100388.75</v>
      </c>
      <c r="BB81" s="233">
        <f t="shared" si="60"/>
        <v>100388.75</v>
      </c>
      <c r="BC81" s="233">
        <f t="shared" si="61"/>
        <v>0</v>
      </c>
      <c r="BD81" s="233">
        <f t="shared" si="51"/>
        <v>0</v>
      </c>
      <c r="BE81" s="233">
        <f t="shared" si="62"/>
        <v>0</v>
      </c>
      <c r="BF81" s="233">
        <f t="shared" si="63"/>
        <v>0</v>
      </c>
      <c r="BG81" s="233">
        <f t="shared" si="64"/>
        <v>0</v>
      </c>
      <c r="BH81" s="186" t="str">
        <f t="shared" si="65"/>
        <v/>
      </c>
      <c r="BI81" s="233">
        <f t="shared" si="66"/>
        <v>0</v>
      </c>
      <c r="BJ81" s="233">
        <f t="shared" si="67"/>
        <v>0</v>
      </c>
      <c r="BK81" s="233">
        <f t="shared" si="68"/>
        <v>45892.000839823595</v>
      </c>
      <c r="BL81" s="233">
        <f t="shared" si="69"/>
        <v>97176.310000000012</v>
      </c>
      <c r="BM81" s="233">
        <f t="shared" si="70"/>
        <v>48760.25</v>
      </c>
      <c r="BN81" s="233">
        <f t="shared" si="71"/>
        <v>34419</v>
      </c>
    </row>
    <row r="82" spans="1:66" s="198" customFormat="1" hidden="1" outlineLevel="1">
      <c r="A82" s="176" t="s">
        <v>210</v>
      </c>
      <c r="B82" s="176" t="s">
        <v>143</v>
      </c>
      <c r="C82" s="176"/>
      <c r="D82" s="176"/>
      <c r="E82" s="176"/>
      <c r="F82" s="176" t="s">
        <v>144</v>
      </c>
      <c r="G82" s="176">
        <f>_xlfn.XLOOKUP(AN82,[2]ySQL_0_24102024094604!$B:$B,[2]ySQL_0_24102024094604!$D:$D,0)</f>
        <v>0</v>
      </c>
      <c r="H82" s="176" t="s">
        <v>390</v>
      </c>
      <c r="I82" s="177">
        <v>54</v>
      </c>
      <c r="J82" s="178">
        <v>26994</v>
      </c>
      <c r="K82" s="178">
        <f>_xlfn.XLOOKUP(AN82,'[3]Main Data Table'!$B:$B,'[3]Main Data Table'!$AB:$AB,0)</f>
        <v>6688282.8728767121</v>
      </c>
      <c r="L82" s="178">
        <v>82529</v>
      </c>
      <c r="M82" s="190">
        <f>Q82/(K82/L82)</f>
        <v>0.11413890000015134</v>
      </c>
      <c r="N82" s="177">
        <v>7.16</v>
      </c>
      <c r="O82" s="177">
        <v>6.65</v>
      </c>
      <c r="P82" s="177">
        <v>8.84</v>
      </c>
      <c r="Q82" s="177">
        <v>9.25</v>
      </c>
      <c r="R82" s="177">
        <v>3.5</v>
      </c>
      <c r="S82" s="177">
        <v>2.5</v>
      </c>
      <c r="T82" s="179">
        <f>AC82/AD82*100</f>
        <v>16.812480432233325</v>
      </c>
      <c r="U82" s="185"/>
      <c r="V82" s="177">
        <v>2</v>
      </c>
      <c r="W82" s="177">
        <v>9</v>
      </c>
      <c r="X82" s="188">
        <v>82242.399999999994</v>
      </c>
      <c r="Y82" s="180">
        <f>Z82/J82</f>
        <v>3.5</v>
      </c>
      <c r="Z82" s="188">
        <v>94479</v>
      </c>
      <c r="AA82" s="188">
        <v>0</v>
      </c>
      <c r="AB82" s="188">
        <v>20806.98</v>
      </c>
      <c r="AC82" s="188">
        <f>X82+Z82+AA82+AB82</f>
        <v>197528.38</v>
      </c>
      <c r="AD82" s="189">
        <v>1174891.3600000001</v>
      </c>
      <c r="AE82" s="177" t="s">
        <v>147</v>
      </c>
      <c r="AF82" s="182">
        <v>45422</v>
      </c>
      <c r="AG82" s="177"/>
      <c r="AH82" s="177"/>
      <c r="AI82" s="183"/>
      <c r="AJ82" s="183"/>
      <c r="AK82" s="177"/>
      <c r="AL82" s="177"/>
      <c r="AM82" s="177"/>
      <c r="AN82" s="177" t="s">
        <v>212</v>
      </c>
      <c r="AO82" s="177"/>
      <c r="AP82" s="183"/>
      <c r="AQ82" s="183"/>
      <c r="AR82" s="177" t="str">
        <f t="shared" si="53"/>
        <v>New Lease</v>
      </c>
      <c r="AS82" s="182" t="str">
        <f t="shared" si="54"/>
        <v>Q2 2024</v>
      </c>
      <c r="AT82" s="182" t="str">
        <f t="shared" si="55"/>
        <v>1H2024</v>
      </c>
      <c r="AU82" s="184" t="str">
        <f t="shared" si="56"/>
        <v>20-50K</v>
      </c>
      <c r="AV82" s="179">
        <f t="shared" si="49"/>
        <v>26994</v>
      </c>
      <c r="AW82" s="233">
        <f t="shared" si="57"/>
        <v>193277.04</v>
      </c>
      <c r="AX82" s="233">
        <f t="shared" si="58"/>
        <v>179510.1</v>
      </c>
      <c r="AY82" s="198">
        <f t="shared" si="72"/>
        <v>238626.96</v>
      </c>
      <c r="AZ82" s="233">
        <f t="shared" si="73"/>
        <v>249694.5</v>
      </c>
      <c r="BA82" s="233">
        <f t="shared" si="59"/>
        <v>249694.5</v>
      </c>
      <c r="BB82" s="233">
        <f t="shared" si="60"/>
        <v>249694.5</v>
      </c>
      <c r="BC82" s="233">
        <f t="shared" si="61"/>
        <v>0</v>
      </c>
      <c r="BD82" s="233">
        <f t="shared" si="51"/>
        <v>0</v>
      </c>
      <c r="BE82" s="233">
        <f t="shared" si="62"/>
        <v>53988</v>
      </c>
      <c r="BF82" s="233">
        <f t="shared" si="63"/>
        <v>26994</v>
      </c>
      <c r="BG82" s="233">
        <f t="shared" si="64"/>
        <v>242946</v>
      </c>
      <c r="BH82" s="186">
        <f t="shared" si="65"/>
        <v>249694.5</v>
      </c>
      <c r="BI82" s="233">
        <f t="shared" si="66"/>
        <v>0.99995698743865002</v>
      </c>
      <c r="BJ82" s="233">
        <f t="shared" si="67"/>
        <v>249683.76</v>
      </c>
      <c r="BK82" s="233">
        <f t="shared" si="68"/>
        <v>453836.09678770637</v>
      </c>
      <c r="BL82" s="233">
        <f t="shared" si="69"/>
        <v>0</v>
      </c>
      <c r="BM82" s="233">
        <f t="shared" si="70"/>
        <v>94479</v>
      </c>
      <c r="BN82" s="233">
        <f t="shared" si="71"/>
        <v>67485</v>
      </c>
    </row>
    <row r="83" spans="1:66" s="198" customFormat="1" hidden="1" outlineLevel="1">
      <c r="A83" s="176" t="s">
        <v>391</v>
      </c>
      <c r="B83" s="176" t="s">
        <v>143</v>
      </c>
      <c r="C83" s="176"/>
      <c r="D83" s="176"/>
      <c r="E83" s="176"/>
      <c r="F83" s="176" t="s">
        <v>144</v>
      </c>
      <c r="G83" s="176">
        <f>_xlfn.XLOOKUP(AN83,[2]ySQL_0_24102024094604!$B:$B,[2]ySQL_0_24102024094604!$D:$D,0)</f>
        <v>0</v>
      </c>
      <c r="H83" s="176" t="s">
        <v>392</v>
      </c>
      <c r="I83" s="177">
        <v>36</v>
      </c>
      <c r="J83" s="178">
        <v>2139</v>
      </c>
      <c r="K83" s="178"/>
      <c r="L83" s="178"/>
      <c r="M83" s="178"/>
      <c r="N83" s="177">
        <v>6.32</v>
      </c>
      <c r="O83" s="177">
        <v>8.51</v>
      </c>
      <c r="P83" s="177">
        <v>9</v>
      </c>
      <c r="Q83" s="177">
        <v>10</v>
      </c>
      <c r="R83" s="177">
        <v>4</v>
      </c>
      <c r="S83" s="177">
        <v>4</v>
      </c>
      <c r="T83" s="179">
        <v>6.0000023959000002</v>
      </c>
      <c r="U83" s="177">
        <v>23.28</v>
      </c>
      <c r="V83" s="177">
        <v>2</v>
      </c>
      <c r="W83" s="177">
        <v>0</v>
      </c>
      <c r="X83" s="188">
        <v>4006.78</v>
      </c>
      <c r="Y83" s="188"/>
      <c r="Z83" s="188">
        <v>0</v>
      </c>
      <c r="AA83" s="188">
        <v>0</v>
      </c>
      <c r="AB83" s="188">
        <v>0</v>
      </c>
      <c r="AC83" s="188">
        <v>4006.78</v>
      </c>
      <c r="AD83" s="181">
        <v>66771</v>
      </c>
      <c r="AE83" s="177" t="s">
        <v>147</v>
      </c>
      <c r="AF83" s="182">
        <v>45138</v>
      </c>
      <c r="AG83" s="177"/>
      <c r="AH83" s="177"/>
      <c r="AI83" s="183"/>
      <c r="AJ83" s="183"/>
      <c r="AK83" s="177"/>
      <c r="AL83" s="177"/>
      <c r="AM83" s="177"/>
      <c r="AN83" s="177" t="s">
        <v>269</v>
      </c>
      <c r="AO83" s="177"/>
      <c r="AP83" s="183"/>
      <c r="AQ83" s="183"/>
      <c r="AR83" s="177" t="str">
        <f t="shared" si="53"/>
        <v>New Lease</v>
      </c>
      <c r="AS83" s="182" t="str">
        <f t="shared" si="54"/>
        <v>Q3 2023</v>
      </c>
      <c r="AT83" s="182" t="str">
        <f t="shared" si="55"/>
        <v>2H2023</v>
      </c>
      <c r="AU83" s="184" t="str">
        <f t="shared" si="56"/>
        <v>&lt; 20K</v>
      </c>
      <c r="AV83" s="179">
        <f t="shared" si="49"/>
        <v>2139</v>
      </c>
      <c r="AW83" s="233">
        <f t="shared" si="57"/>
        <v>13518.480000000001</v>
      </c>
      <c r="AX83" s="233">
        <f t="shared" si="58"/>
        <v>18202.89</v>
      </c>
      <c r="AY83" s="198">
        <f t="shared" si="72"/>
        <v>19251</v>
      </c>
      <c r="AZ83" s="233">
        <f t="shared" si="73"/>
        <v>21390</v>
      </c>
      <c r="BA83" s="233">
        <f t="shared" si="59"/>
        <v>21390</v>
      </c>
      <c r="BB83" s="233">
        <f t="shared" si="60"/>
        <v>21390</v>
      </c>
      <c r="BC83" s="233">
        <f t="shared" si="61"/>
        <v>0</v>
      </c>
      <c r="BD83" s="233">
        <f t="shared" si="51"/>
        <v>0</v>
      </c>
      <c r="BE83" s="233">
        <f t="shared" si="62"/>
        <v>4278</v>
      </c>
      <c r="BF83" s="233">
        <f t="shared" si="63"/>
        <v>2139</v>
      </c>
      <c r="BG83" s="233">
        <f t="shared" si="64"/>
        <v>0</v>
      </c>
      <c r="BH83" s="186" t="str">
        <f t="shared" si="65"/>
        <v/>
      </c>
      <c r="BI83" s="233">
        <f t="shared" si="66"/>
        <v>0</v>
      </c>
      <c r="BJ83" s="233">
        <f t="shared" si="67"/>
        <v>0</v>
      </c>
      <c r="BK83" s="233">
        <f t="shared" si="68"/>
        <v>12834.005124830101</v>
      </c>
      <c r="BL83" s="233">
        <f t="shared" si="69"/>
        <v>49795.920000000006</v>
      </c>
      <c r="BM83" s="233">
        <f t="shared" si="70"/>
        <v>8556</v>
      </c>
      <c r="BN83" s="233">
        <f t="shared" si="71"/>
        <v>8556</v>
      </c>
    </row>
    <row r="84" spans="1:66" s="198" customFormat="1" hidden="1" outlineLevel="1">
      <c r="A84" s="176" t="s">
        <v>393</v>
      </c>
      <c r="B84" s="176" t="s">
        <v>157</v>
      </c>
      <c r="C84" s="176"/>
      <c r="D84" s="176"/>
      <c r="E84" s="176"/>
      <c r="F84" s="176" t="s">
        <v>185</v>
      </c>
      <c r="G84" s="176">
        <f>_xlfn.XLOOKUP(AN84,[2]ySQL_0_24102024094604!$B:$B,[2]ySQL_0_24102024094604!$D:$D,0)</f>
        <v>0</v>
      </c>
      <c r="H84" s="176" t="s">
        <v>394</v>
      </c>
      <c r="I84" s="177">
        <v>60</v>
      </c>
      <c r="J84" s="178">
        <v>47635</v>
      </c>
      <c r="K84" s="178"/>
      <c r="L84" s="178"/>
      <c r="M84" s="178"/>
      <c r="N84" s="177">
        <v>4.8099999999999996</v>
      </c>
      <c r="O84" s="177">
        <v>5.56</v>
      </c>
      <c r="P84" s="177">
        <v>6.55</v>
      </c>
      <c r="Q84" s="177">
        <v>6.78</v>
      </c>
      <c r="R84" s="177">
        <v>3</v>
      </c>
      <c r="S84" s="177">
        <v>1.9</v>
      </c>
      <c r="T84" s="179">
        <v>6.4370526246999997</v>
      </c>
      <c r="U84" s="177">
        <v>8.81</v>
      </c>
      <c r="V84" s="177">
        <v>0</v>
      </c>
      <c r="W84" s="177">
        <v>0</v>
      </c>
      <c r="X84" s="180">
        <v>51985.120000000003</v>
      </c>
      <c r="Y84" s="180">
        <f>Z84/J84</f>
        <v>1.2490815576781777</v>
      </c>
      <c r="Z84" s="180">
        <v>59500</v>
      </c>
      <c r="AA84" s="180">
        <v>0</v>
      </c>
      <c r="AB84" s="180">
        <v>0</v>
      </c>
      <c r="AC84" s="180">
        <v>111485.12</v>
      </c>
      <c r="AD84" s="181">
        <v>1714667</v>
      </c>
      <c r="AE84" s="177" t="s">
        <v>147</v>
      </c>
      <c r="AF84" s="182">
        <v>45233</v>
      </c>
      <c r="AG84" s="177"/>
      <c r="AH84" s="177"/>
      <c r="AI84" s="183"/>
      <c r="AJ84" s="183"/>
      <c r="AK84" s="177"/>
      <c r="AL84" s="177"/>
      <c r="AM84" s="177"/>
      <c r="AN84" s="177" t="s">
        <v>395</v>
      </c>
      <c r="AO84" s="177"/>
      <c r="AP84" s="183"/>
      <c r="AQ84" s="183"/>
      <c r="AR84" s="177" t="str">
        <f t="shared" si="53"/>
        <v>Renewal</v>
      </c>
      <c r="AS84" s="182" t="str">
        <f t="shared" si="54"/>
        <v>Q4 2023</v>
      </c>
      <c r="AT84" s="182" t="str">
        <f t="shared" si="55"/>
        <v>2H2023</v>
      </c>
      <c r="AU84" s="184" t="str">
        <f t="shared" si="56"/>
        <v>20-50K</v>
      </c>
      <c r="AV84" s="179">
        <f t="shared" si="49"/>
        <v>47635</v>
      </c>
      <c r="AW84" s="233">
        <f t="shared" si="57"/>
        <v>229124.34999999998</v>
      </c>
      <c r="AX84" s="233">
        <f t="shared" si="58"/>
        <v>264850.59999999998</v>
      </c>
      <c r="AY84" s="198">
        <f t="shared" si="72"/>
        <v>312009.25</v>
      </c>
      <c r="AZ84" s="233">
        <f t="shared" si="73"/>
        <v>322965.3</v>
      </c>
      <c r="BA84" s="233">
        <f t="shared" si="59"/>
        <v>322965.3</v>
      </c>
      <c r="BB84" s="233">
        <f t="shared" si="60"/>
        <v>322965.3</v>
      </c>
      <c r="BC84" s="233">
        <f t="shared" si="61"/>
        <v>0</v>
      </c>
      <c r="BD84" s="233">
        <f t="shared" si="51"/>
        <v>0</v>
      </c>
      <c r="BE84" s="233">
        <f t="shared" si="62"/>
        <v>0</v>
      </c>
      <c r="BF84" s="233">
        <f t="shared" si="63"/>
        <v>0</v>
      </c>
      <c r="BG84" s="233">
        <f t="shared" si="64"/>
        <v>0</v>
      </c>
      <c r="BH84" s="186" t="str">
        <f t="shared" si="65"/>
        <v/>
      </c>
      <c r="BI84" s="233">
        <f t="shared" si="66"/>
        <v>0</v>
      </c>
      <c r="BJ84" s="233">
        <f t="shared" si="67"/>
        <v>0</v>
      </c>
      <c r="BK84" s="233">
        <f t="shared" si="68"/>
        <v>306629.00177758449</v>
      </c>
      <c r="BL84" s="233">
        <f t="shared" si="69"/>
        <v>419664.35000000003</v>
      </c>
      <c r="BM84" s="233">
        <f t="shared" si="70"/>
        <v>142905</v>
      </c>
      <c r="BN84" s="233">
        <f t="shared" si="71"/>
        <v>90506.5</v>
      </c>
    </row>
    <row r="85" spans="1:66" s="198" customFormat="1" hidden="1" outlineLevel="1">
      <c r="A85" s="176" t="s">
        <v>396</v>
      </c>
      <c r="B85" s="176" t="s">
        <v>157</v>
      </c>
      <c r="C85" s="176"/>
      <c r="D85" s="176"/>
      <c r="E85" s="176"/>
      <c r="F85" s="176" t="s">
        <v>144</v>
      </c>
      <c r="G85" s="176" t="str">
        <f>_xlfn.XLOOKUP(AN85,[2]ySQL_0_24102024094604!$B:$B,[2]ySQL_0_24102024094604!$D:$D,0)</f>
        <v>Yes</v>
      </c>
      <c r="H85" s="176" t="s">
        <v>397</v>
      </c>
      <c r="I85" s="177">
        <v>44</v>
      </c>
      <c r="J85" s="178">
        <v>13000</v>
      </c>
      <c r="K85" s="178"/>
      <c r="L85" s="178"/>
      <c r="M85" s="178"/>
      <c r="N85" s="177">
        <v>6.15</v>
      </c>
      <c r="O85" s="177">
        <v>9.57</v>
      </c>
      <c r="P85" s="177">
        <v>9.07</v>
      </c>
      <c r="Q85" s="177">
        <v>9.6199999999999992</v>
      </c>
      <c r="R85" s="177">
        <v>5</v>
      </c>
      <c r="S85" s="177">
        <v>3</v>
      </c>
      <c r="T85" s="179">
        <v>4</v>
      </c>
      <c r="U85" s="185">
        <v>9.52</v>
      </c>
      <c r="V85" s="177">
        <v>0</v>
      </c>
      <c r="W85" s="177">
        <v>0</v>
      </c>
      <c r="X85" s="180">
        <v>0</v>
      </c>
      <c r="Y85" s="180"/>
      <c r="Z85" s="180">
        <v>0</v>
      </c>
      <c r="AA85" s="180">
        <v>0</v>
      </c>
      <c r="AB85" s="180">
        <v>21882</v>
      </c>
      <c r="AC85" s="180">
        <f>SUM(X85:AB85)</f>
        <v>21882</v>
      </c>
      <c r="AD85" s="181">
        <v>489980</v>
      </c>
      <c r="AE85" s="177" t="s">
        <v>147</v>
      </c>
      <c r="AF85" s="182">
        <v>45233</v>
      </c>
      <c r="AG85" s="177"/>
      <c r="AH85" s="177"/>
      <c r="AI85" s="183"/>
      <c r="AJ85" s="183"/>
      <c r="AK85" s="177"/>
      <c r="AL85" s="177"/>
      <c r="AM85" s="177"/>
      <c r="AN85" s="177" t="s">
        <v>398</v>
      </c>
      <c r="AO85" s="177"/>
      <c r="AP85" s="183"/>
      <c r="AQ85" s="183"/>
      <c r="AR85" s="177" t="str">
        <f t="shared" si="53"/>
        <v>Renewal</v>
      </c>
      <c r="AS85" s="182" t="str">
        <f t="shared" si="54"/>
        <v>Q4 2023</v>
      </c>
      <c r="AT85" s="182" t="str">
        <f t="shared" si="55"/>
        <v>2H2023</v>
      </c>
      <c r="AU85" s="184" t="str">
        <f t="shared" si="56"/>
        <v>&lt; 20K</v>
      </c>
      <c r="AV85" s="179">
        <f t="shared" si="49"/>
        <v>13000</v>
      </c>
      <c r="AW85" s="233">
        <f t="shared" si="57"/>
        <v>79950</v>
      </c>
      <c r="AX85" s="233">
        <f t="shared" si="58"/>
        <v>124410</v>
      </c>
      <c r="AY85" s="198">
        <f t="shared" si="72"/>
        <v>117910</v>
      </c>
      <c r="AZ85" s="233">
        <f t="shared" si="73"/>
        <v>125059.99999999999</v>
      </c>
      <c r="BA85" s="233">
        <f t="shared" si="59"/>
        <v>125059.99999999999</v>
      </c>
      <c r="BB85" s="233">
        <f t="shared" si="60"/>
        <v>125059.99999999999</v>
      </c>
      <c r="BC85" s="233">
        <f t="shared" si="61"/>
        <v>0</v>
      </c>
      <c r="BD85" s="233">
        <f t="shared" si="51"/>
        <v>0</v>
      </c>
      <c r="BE85" s="233">
        <f t="shared" si="62"/>
        <v>0</v>
      </c>
      <c r="BF85" s="233">
        <f t="shared" si="63"/>
        <v>0</v>
      </c>
      <c r="BG85" s="233">
        <f t="shared" si="64"/>
        <v>0</v>
      </c>
      <c r="BH85" s="186">
        <f t="shared" si="65"/>
        <v>125059.99999999999</v>
      </c>
      <c r="BI85" s="233">
        <f t="shared" si="66"/>
        <v>2.099664161202623</v>
      </c>
      <c r="BJ85" s="233">
        <f t="shared" si="67"/>
        <v>262584</v>
      </c>
      <c r="BK85" s="233">
        <f t="shared" si="68"/>
        <v>52000</v>
      </c>
      <c r="BL85" s="233">
        <f t="shared" si="69"/>
        <v>123760</v>
      </c>
      <c r="BM85" s="233">
        <f t="shared" si="70"/>
        <v>65000</v>
      </c>
      <c r="BN85" s="233">
        <f t="shared" si="71"/>
        <v>39000</v>
      </c>
    </row>
    <row r="86" spans="1:66" s="198" customFormat="1" hidden="1" outlineLevel="1">
      <c r="A86" s="176" t="s">
        <v>399</v>
      </c>
      <c r="B86" s="176" t="s">
        <v>143</v>
      </c>
      <c r="C86" s="176"/>
      <c r="D86" s="176"/>
      <c r="E86" s="176"/>
      <c r="F86" s="176" t="s">
        <v>177</v>
      </c>
      <c r="G86" s="176">
        <f>_xlfn.XLOOKUP(AN86,[2]ySQL_0_24102024094604!$B:$B,[2]ySQL_0_24102024094604!$D:$D,0)</f>
        <v>0</v>
      </c>
      <c r="H86" s="176" t="s">
        <v>400</v>
      </c>
      <c r="I86" s="177">
        <v>36</v>
      </c>
      <c r="J86" s="194">
        <v>8956</v>
      </c>
      <c r="K86" s="194"/>
      <c r="L86" s="194"/>
      <c r="M86" s="194"/>
      <c r="N86" s="177"/>
      <c r="O86" s="177">
        <v>9.75</v>
      </c>
      <c r="P86" s="177" t="s">
        <v>167</v>
      </c>
      <c r="Q86" s="177">
        <v>10.95</v>
      </c>
      <c r="R86" s="177">
        <v>5</v>
      </c>
      <c r="S86" s="177">
        <v>3</v>
      </c>
      <c r="T86" s="179">
        <v>5.9999967653999997</v>
      </c>
      <c r="U86" s="177">
        <v>6</v>
      </c>
      <c r="V86" s="177">
        <v>2</v>
      </c>
      <c r="W86" s="177">
        <f>2-$W$3</f>
        <v>1.0899999999999999</v>
      </c>
      <c r="X86" s="180">
        <v>18549.59</v>
      </c>
      <c r="Y86" s="180"/>
      <c r="Z86" s="180">
        <v>0</v>
      </c>
      <c r="AA86" s="180">
        <v>0</v>
      </c>
      <c r="AB86" s="180">
        <v>0</v>
      </c>
      <c r="AC86" s="180">
        <v>18549.59</v>
      </c>
      <c r="AD86" s="195">
        <v>309160</v>
      </c>
      <c r="AE86" s="177" t="s">
        <v>147</v>
      </c>
      <c r="AF86" s="182">
        <v>44676</v>
      </c>
      <c r="AG86" s="177">
        <v>8.2262261955819085</v>
      </c>
      <c r="AH86" s="177">
        <v>7.951135750233429</v>
      </c>
      <c r="AI86" s="196">
        <f>AG86/Q86-1</f>
        <v>-0.24874646615690332</v>
      </c>
      <c r="AJ86" s="196">
        <f>AH86/Q86-1</f>
        <v>-0.27386888125722109</v>
      </c>
      <c r="AK86" s="177"/>
      <c r="AL86" s="177"/>
      <c r="AM86" s="177"/>
      <c r="AN86" s="177" t="s">
        <v>179</v>
      </c>
      <c r="AO86" s="177"/>
      <c r="AP86" s="196">
        <f>AG86/O86-1</f>
        <v>-0.1562844927608299</v>
      </c>
      <c r="AQ86" s="196">
        <f>AH86/O86-1</f>
        <v>-0.18449889741195602</v>
      </c>
      <c r="AR86" s="177" t="str">
        <f t="shared" si="53"/>
        <v>New Lease</v>
      </c>
      <c r="AS86" s="182" t="str">
        <f t="shared" si="54"/>
        <v>Q2 2022</v>
      </c>
      <c r="AT86" s="182" t="str">
        <f t="shared" si="55"/>
        <v>1H2022</v>
      </c>
      <c r="AU86" s="184" t="str">
        <f t="shared" si="56"/>
        <v>&lt; 20K</v>
      </c>
      <c r="AV86" s="179">
        <v>0</v>
      </c>
      <c r="AW86" s="233">
        <f t="shared" si="57"/>
        <v>0</v>
      </c>
      <c r="AX86" s="233">
        <f t="shared" si="58"/>
        <v>87321</v>
      </c>
      <c r="AY86" s="198" t="str">
        <f t="shared" si="72"/>
        <v/>
      </c>
      <c r="AZ86" s="233">
        <f>Q86*AV86</f>
        <v>0</v>
      </c>
      <c r="BA86" s="233">
        <f t="shared" si="59"/>
        <v>98068.2</v>
      </c>
      <c r="BB86" s="233" t="str">
        <f t="shared" si="60"/>
        <v/>
      </c>
      <c r="BC86" s="233">
        <f t="shared" si="61"/>
        <v>73674.081807631577</v>
      </c>
      <c r="BD86" s="233">
        <f t="shared" si="51"/>
        <v>71210.371779090594</v>
      </c>
      <c r="BE86" s="233">
        <f t="shared" si="62"/>
        <v>17912</v>
      </c>
      <c r="BF86" s="233">
        <f t="shared" si="63"/>
        <v>8956</v>
      </c>
      <c r="BG86" s="233">
        <f t="shared" si="64"/>
        <v>9762.0399999999991</v>
      </c>
      <c r="BH86" s="186" t="str">
        <f t="shared" si="65"/>
        <v/>
      </c>
      <c r="BI86" s="233">
        <f t="shared" si="66"/>
        <v>0</v>
      </c>
      <c r="BJ86" s="233">
        <f t="shared" si="67"/>
        <v>0</v>
      </c>
      <c r="BK86" s="233">
        <f t="shared" si="68"/>
        <v>53735.971030922396</v>
      </c>
      <c r="BL86" s="233">
        <f t="shared" si="69"/>
        <v>53736</v>
      </c>
      <c r="BM86" s="233">
        <f t="shared" si="70"/>
        <v>44780</v>
      </c>
      <c r="BN86" s="233">
        <f t="shared" si="71"/>
        <v>26868</v>
      </c>
    </row>
    <row r="87" spans="1:66" s="198" customFormat="1" hidden="1" outlineLevel="1">
      <c r="A87" s="176" t="s">
        <v>401</v>
      </c>
      <c r="B87" s="176" t="s">
        <v>157</v>
      </c>
      <c r="C87" s="176"/>
      <c r="D87" s="176"/>
      <c r="E87" s="176"/>
      <c r="F87" s="176" t="s">
        <v>181</v>
      </c>
      <c r="G87" s="176">
        <f>_xlfn.XLOOKUP(AN87,[2]ySQL_0_24102024094604!$B:$B,[2]ySQL_0_24102024094604!$D:$D,0)</f>
        <v>0</v>
      </c>
      <c r="H87" s="176" t="s">
        <v>402</v>
      </c>
      <c r="I87" s="177">
        <v>60</v>
      </c>
      <c r="J87" s="178">
        <v>47256</v>
      </c>
      <c r="K87" s="178"/>
      <c r="L87" s="178"/>
      <c r="M87" s="178"/>
      <c r="N87" s="177">
        <v>5.71</v>
      </c>
      <c r="O87" s="177">
        <v>7.05</v>
      </c>
      <c r="P87" s="177">
        <v>4.92</v>
      </c>
      <c r="Q87" s="177">
        <v>5.71</v>
      </c>
      <c r="R87" s="177">
        <v>1</v>
      </c>
      <c r="S87" s="177">
        <v>1</v>
      </c>
      <c r="T87" s="179">
        <v>0</v>
      </c>
      <c r="U87" s="177">
        <v>16.53</v>
      </c>
      <c r="V87" s="177">
        <v>0</v>
      </c>
      <c r="W87" s="177">
        <v>0</v>
      </c>
      <c r="X87" s="180">
        <v>0</v>
      </c>
      <c r="Y87" s="180"/>
      <c r="Z87" s="180">
        <v>0</v>
      </c>
      <c r="AA87" s="180">
        <v>0</v>
      </c>
      <c r="AB87" s="180">
        <v>0</v>
      </c>
      <c r="AC87" s="180">
        <v>0</v>
      </c>
      <c r="AD87" s="181">
        <v>1376413</v>
      </c>
      <c r="AE87" s="177" t="s">
        <v>147</v>
      </c>
      <c r="AF87" s="182">
        <v>45205</v>
      </c>
      <c r="AG87" s="177"/>
      <c r="AH87" s="177"/>
      <c r="AI87" s="183"/>
      <c r="AJ87" s="183"/>
      <c r="AK87" s="177"/>
      <c r="AL87" s="177"/>
      <c r="AM87" s="177"/>
      <c r="AN87" s="177" t="s">
        <v>403</v>
      </c>
      <c r="AO87" s="177"/>
      <c r="AP87" s="183"/>
      <c r="AQ87" s="183"/>
      <c r="AR87" s="177" t="str">
        <f t="shared" si="53"/>
        <v>Renewal</v>
      </c>
      <c r="AS87" s="182" t="str">
        <f t="shared" si="54"/>
        <v>Q4 2023</v>
      </c>
      <c r="AT87" s="182" t="str">
        <f t="shared" si="55"/>
        <v>2H2023</v>
      </c>
      <c r="AU87" s="184" t="str">
        <f t="shared" si="56"/>
        <v>20-50K</v>
      </c>
      <c r="AV87" s="179">
        <f>IF(N87="","",J87)</f>
        <v>47256</v>
      </c>
      <c r="AW87" s="233">
        <f t="shared" si="57"/>
        <v>269831.76</v>
      </c>
      <c r="AX87" s="233">
        <f t="shared" si="58"/>
        <v>333154.8</v>
      </c>
      <c r="AY87" s="198">
        <f t="shared" si="72"/>
        <v>232499.52</v>
      </c>
      <c r="AZ87" s="233">
        <f>IFERROR(Q87*AV87,"")</f>
        <v>269831.76</v>
      </c>
      <c r="BA87" s="233">
        <f t="shared" si="59"/>
        <v>269831.76</v>
      </c>
      <c r="BB87" s="233">
        <f t="shared" si="60"/>
        <v>269831.76</v>
      </c>
      <c r="BC87" s="233">
        <f t="shared" si="61"/>
        <v>0</v>
      </c>
      <c r="BD87" s="233">
        <f t="shared" si="51"/>
        <v>0</v>
      </c>
      <c r="BE87" s="233">
        <f t="shared" si="62"/>
        <v>0</v>
      </c>
      <c r="BF87" s="233">
        <f t="shared" si="63"/>
        <v>0</v>
      </c>
      <c r="BG87" s="233">
        <f t="shared" si="64"/>
        <v>0</v>
      </c>
      <c r="BH87" s="186" t="str">
        <f t="shared" si="65"/>
        <v/>
      </c>
      <c r="BI87" s="233">
        <f t="shared" si="66"/>
        <v>0</v>
      </c>
      <c r="BJ87" s="233">
        <f t="shared" si="67"/>
        <v>0</v>
      </c>
      <c r="BK87" s="233">
        <f t="shared" si="68"/>
        <v>0</v>
      </c>
      <c r="BL87" s="233">
        <f t="shared" si="69"/>
        <v>781141.68</v>
      </c>
      <c r="BM87" s="233">
        <f t="shared" si="70"/>
        <v>47256</v>
      </c>
      <c r="BN87" s="233">
        <f t="shared" si="71"/>
        <v>47256</v>
      </c>
    </row>
    <row r="88" spans="1:66" s="198" customFormat="1" hidden="1" outlineLevel="1">
      <c r="A88" s="176" t="s">
        <v>404</v>
      </c>
      <c r="B88" s="176" t="s">
        <v>143</v>
      </c>
      <c r="C88" s="176" t="s">
        <v>290</v>
      </c>
      <c r="D88" s="192" t="s">
        <v>291</v>
      </c>
      <c r="E88" s="192">
        <f>O88/N88-1</f>
        <v>-0.125</v>
      </c>
      <c r="F88" s="176" t="s">
        <v>214</v>
      </c>
      <c r="G88" s="176">
        <f>_xlfn.XLOOKUP(AN88,[2]ySQL_0_24102024094604!$B:$B,[2]ySQL_0_24102024094604!$D:$D,0)</f>
        <v>0</v>
      </c>
      <c r="H88" s="176" t="s">
        <v>405</v>
      </c>
      <c r="I88" s="177">
        <v>60</v>
      </c>
      <c r="J88" s="194">
        <v>8000</v>
      </c>
      <c r="K88" s="194"/>
      <c r="L88" s="194"/>
      <c r="M88" s="194"/>
      <c r="N88" s="177">
        <v>6</v>
      </c>
      <c r="O88" s="177">
        <v>5.25</v>
      </c>
      <c r="P88" s="177">
        <v>7.21</v>
      </c>
      <c r="Q88" s="177">
        <v>7.5</v>
      </c>
      <c r="R88" s="179">
        <v>4</v>
      </c>
      <c r="S88" s="179">
        <v>3</v>
      </c>
      <c r="T88" s="179">
        <v>12.2619206286</v>
      </c>
      <c r="U88" s="197">
        <v>7.38</v>
      </c>
      <c r="V88" s="177">
        <v>2</v>
      </c>
      <c r="W88" s="177">
        <v>9</v>
      </c>
      <c r="X88" s="180">
        <v>22741.599999999999</v>
      </c>
      <c r="Y88" s="180"/>
      <c r="Z88" s="180">
        <v>17094.939999999999</v>
      </c>
      <c r="AA88" s="180">
        <v>0</v>
      </c>
      <c r="AB88" s="180">
        <v>0</v>
      </c>
      <c r="AC88" s="180">
        <v>39836.54</v>
      </c>
      <c r="AD88" s="195">
        <v>324880.09999999998</v>
      </c>
      <c r="AE88" s="177" t="s">
        <v>161</v>
      </c>
      <c r="AF88" s="182">
        <v>44907</v>
      </c>
      <c r="AG88" s="197">
        <v>6.9619648484390826</v>
      </c>
      <c r="AH88" s="197">
        <v>6.6443645468740824</v>
      </c>
      <c r="AI88" s="196">
        <f>AG88/Q88-1</f>
        <v>-7.1738020208122366E-2</v>
      </c>
      <c r="AJ88" s="196">
        <f>AH88/Q88-1</f>
        <v>-0.11408472708345563</v>
      </c>
      <c r="AK88" s="177">
        <v>8.5</v>
      </c>
      <c r="AL88" s="177"/>
      <c r="AM88" s="177"/>
      <c r="AN88" s="177" t="s">
        <v>236</v>
      </c>
      <c r="AP88" s="196">
        <f>AG88/O88-1</f>
        <v>0.32608854255982522</v>
      </c>
      <c r="AQ88" s="196">
        <f>AH88/O88-1</f>
        <v>0.26559324702363485</v>
      </c>
      <c r="AR88" s="177" t="str">
        <f t="shared" si="53"/>
        <v>New Lease</v>
      </c>
      <c r="AS88" s="182" t="str">
        <f t="shared" si="54"/>
        <v>Q4 2022</v>
      </c>
      <c r="AT88" s="182" t="str">
        <f t="shared" si="55"/>
        <v>2H2022</v>
      </c>
      <c r="AU88" s="184" t="str">
        <f t="shared" si="56"/>
        <v>&lt; 20K</v>
      </c>
      <c r="AV88" s="179">
        <f>IF(N88="","",J88)</f>
        <v>8000</v>
      </c>
      <c r="AW88" s="233">
        <f t="shared" si="57"/>
        <v>48000</v>
      </c>
      <c r="AX88" s="233">
        <f t="shared" si="58"/>
        <v>42000</v>
      </c>
      <c r="AY88" s="233">
        <f>J88*P88</f>
        <v>57680</v>
      </c>
      <c r="AZ88" s="233">
        <f>Q88*AV88</f>
        <v>60000</v>
      </c>
      <c r="BA88" s="233">
        <f t="shared" si="59"/>
        <v>60000</v>
      </c>
      <c r="BB88" s="233">
        <f t="shared" si="60"/>
        <v>60000</v>
      </c>
      <c r="BC88" s="233">
        <f t="shared" si="61"/>
        <v>55695.718787512662</v>
      </c>
      <c r="BD88" s="233">
        <f t="shared" si="51"/>
        <v>53154.916374992659</v>
      </c>
      <c r="BE88" s="233">
        <f t="shared" si="62"/>
        <v>16000</v>
      </c>
      <c r="BF88" s="233">
        <f t="shared" si="63"/>
        <v>8000</v>
      </c>
      <c r="BG88" s="233">
        <f t="shared" si="64"/>
        <v>72000</v>
      </c>
      <c r="BH88" s="186" t="str">
        <f t="shared" si="65"/>
        <v/>
      </c>
      <c r="BI88" s="233">
        <f t="shared" si="66"/>
        <v>0</v>
      </c>
      <c r="BJ88" s="233">
        <f t="shared" si="67"/>
        <v>0</v>
      </c>
      <c r="BK88" s="233">
        <f t="shared" si="68"/>
        <v>98095.365028800006</v>
      </c>
      <c r="BL88" s="233">
        <f t="shared" si="69"/>
        <v>59040</v>
      </c>
      <c r="BM88" s="233">
        <f t="shared" si="70"/>
        <v>32000</v>
      </c>
      <c r="BN88" s="233">
        <f t="shared" si="71"/>
        <v>24000</v>
      </c>
    </row>
    <row r="89" spans="1:66" s="198" customFormat="1" hidden="1" outlineLevel="1">
      <c r="A89" s="176" t="s">
        <v>406</v>
      </c>
      <c r="B89" s="176" t="s">
        <v>157</v>
      </c>
      <c r="C89" s="176"/>
      <c r="D89" s="176"/>
      <c r="E89" s="176"/>
      <c r="F89" s="176" t="s">
        <v>181</v>
      </c>
      <c r="G89" s="176">
        <f>_xlfn.XLOOKUP(AN89,[2]ySQL_0_24102024094604!$B:$B,[2]ySQL_0_24102024094604!$D:$D,0)</f>
        <v>0</v>
      </c>
      <c r="H89" s="176" t="s">
        <v>407</v>
      </c>
      <c r="I89" s="177">
        <v>36</v>
      </c>
      <c r="J89" s="178">
        <v>10272</v>
      </c>
      <c r="K89" s="178"/>
      <c r="L89" s="178"/>
      <c r="M89" s="178"/>
      <c r="N89" s="177">
        <v>12.26</v>
      </c>
      <c r="O89" s="177">
        <v>13.2</v>
      </c>
      <c r="P89" s="177">
        <v>12.98</v>
      </c>
      <c r="Q89" s="177">
        <v>14</v>
      </c>
      <c r="R89" s="177">
        <v>4</v>
      </c>
      <c r="S89" s="177">
        <v>3</v>
      </c>
      <c r="T89" s="179">
        <v>7.7425098765999998</v>
      </c>
      <c r="U89" s="177">
        <v>13.41</v>
      </c>
      <c r="V89" s="177">
        <v>0</v>
      </c>
      <c r="W89" s="177">
        <v>0</v>
      </c>
      <c r="X89" s="188">
        <v>21845.119999999999</v>
      </c>
      <c r="Y89" s="188"/>
      <c r="Z89" s="188">
        <v>0</v>
      </c>
      <c r="AA89" s="188">
        <v>0</v>
      </c>
      <c r="AB89" s="188">
        <v>11984</v>
      </c>
      <c r="AC89" s="188">
        <v>33829.120000000003</v>
      </c>
      <c r="AD89" s="181">
        <v>448911</v>
      </c>
      <c r="AE89" s="177" t="s">
        <v>147</v>
      </c>
      <c r="AF89" s="182">
        <v>45190</v>
      </c>
      <c r="AG89" s="177"/>
      <c r="AH89" s="177"/>
      <c r="AI89" s="183"/>
      <c r="AJ89" s="183"/>
      <c r="AK89" s="177"/>
      <c r="AL89" s="177"/>
      <c r="AM89" s="177"/>
      <c r="AN89" s="177" t="s">
        <v>408</v>
      </c>
      <c r="AO89" s="177"/>
      <c r="AP89" s="183"/>
      <c r="AQ89" s="183"/>
      <c r="AR89" s="177" t="str">
        <f t="shared" si="53"/>
        <v>Renewal</v>
      </c>
      <c r="AS89" s="182" t="str">
        <f t="shared" si="54"/>
        <v>Q3 2023</v>
      </c>
      <c r="AT89" s="182" t="str">
        <f t="shared" si="55"/>
        <v>2H2023</v>
      </c>
      <c r="AU89" s="184" t="str">
        <f t="shared" si="56"/>
        <v>&lt; 20K</v>
      </c>
      <c r="AV89" s="179">
        <f>IF(N89="","",J89)</f>
        <v>10272</v>
      </c>
      <c r="AW89" s="233">
        <f t="shared" si="57"/>
        <v>125934.72</v>
      </c>
      <c r="AX89" s="233">
        <f t="shared" si="58"/>
        <v>135590.39999999999</v>
      </c>
      <c r="AY89" s="198">
        <f>IF(P89="","",J89*P89)</f>
        <v>133330.56</v>
      </c>
      <c r="AZ89" s="233">
        <f>IFERROR(Q89*AV89,"")</f>
        <v>143808</v>
      </c>
      <c r="BA89" s="233">
        <f t="shared" si="59"/>
        <v>143808</v>
      </c>
      <c r="BB89" s="233">
        <f t="shared" si="60"/>
        <v>143808</v>
      </c>
      <c r="BC89" s="233">
        <f t="shared" si="61"/>
        <v>0</v>
      </c>
      <c r="BD89" s="233">
        <f t="shared" si="51"/>
        <v>0</v>
      </c>
      <c r="BE89" s="233">
        <f t="shared" si="62"/>
        <v>0</v>
      </c>
      <c r="BF89" s="233">
        <f t="shared" si="63"/>
        <v>0</v>
      </c>
      <c r="BG89" s="233">
        <f t="shared" si="64"/>
        <v>0</v>
      </c>
      <c r="BH89" s="186">
        <f t="shared" si="65"/>
        <v>143808</v>
      </c>
      <c r="BI89" s="233">
        <f t="shared" si="66"/>
        <v>1</v>
      </c>
      <c r="BJ89" s="233">
        <f t="shared" si="67"/>
        <v>143808</v>
      </c>
      <c r="BK89" s="233">
        <f t="shared" si="68"/>
        <v>79531.061452435199</v>
      </c>
      <c r="BL89" s="233">
        <f t="shared" si="69"/>
        <v>137747.51999999999</v>
      </c>
      <c r="BM89" s="233">
        <f t="shared" si="70"/>
        <v>41088</v>
      </c>
      <c r="BN89" s="233">
        <f t="shared" si="71"/>
        <v>30816</v>
      </c>
    </row>
    <row r="90" spans="1:66" s="198" customFormat="1" hidden="1" outlineLevel="1">
      <c r="A90" s="176" t="s">
        <v>409</v>
      </c>
      <c r="B90" s="176" t="s">
        <v>252</v>
      </c>
      <c r="C90" s="176"/>
      <c r="D90" s="176"/>
      <c r="E90" s="176"/>
      <c r="F90" s="176" t="s">
        <v>144</v>
      </c>
      <c r="G90" s="176">
        <f>_xlfn.XLOOKUP(AN90,[2]ySQL_0_24102024094604!$B:$B,[2]ySQL_0_24102024094604!$D:$D,0)</f>
        <v>0</v>
      </c>
      <c r="H90" s="176" t="s">
        <v>410</v>
      </c>
      <c r="I90" s="177">
        <v>60</v>
      </c>
      <c r="J90" s="178">
        <v>169608</v>
      </c>
      <c r="K90" s="178"/>
      <c r="L90" s="178"/>
      <c r="M90" s="178"/>
      <c r="N90" s="177">
        <v>4.5599999999999996</v>
      </c>
      <c r="O90" s="177">
        <v>5.58</v>
      </c>
      <c r="P90" s="177">
        <v>4.37</v>
      </c>
      <c r="Q90" s="177">
        <v>4.37</v>
      </c>
      <c r="R90" s="177">
        <v>2.25</v>
      </c>
      <c r="S90" s="177">
        <v>2</v>
      </c>
      <c r="T90" s="179">
        <v>2.9999998349000001</v>
      </c>
      <c r="U90" s="177">
        <v>3.2</v>
      </c>
      <c r="V90" s="177">
        <v>0</v>
      </c>
      <c r="W90" s="177">
        <v>0</v>
      </c>
      <c r="X90" s="188">
        <v>58158.58</v>
      </c>
      <c r="Y90" s="188"/>
      <c r="Z90" s="188">
        <v>0</v>
      </c>
      <c r="AA90" s="188">
        <v>0</v>
      </c>
      <c r="AB90" s="188">
        <v>0</v>
      </c>
      <c r="AC90" s="188">
        <v>58158.58</v>
      </c>
      <c r="AD90" s="181">
        <v>3876497</v>
      </c>
      <c r="AE90" s="177" t="s">
        <v>147</v>
      </c>
      <c r="AF90" s="182">
        <v>45160</v>
      </c>
      <c r="AG90" s="177"/>
      <c r="AH90" s="177"/>
      <c r="AI90" s="183"/>
      <c r="AJ90" s="183"/>
      <c r="AK90" s="177"/>
      <c r="AL90" s="177"/>
      <c r="AM90" s="177"/>
      <c r="AN90" s="177" t="s">
        <v>411</v>
      </c>
      <c r="AO90" s="177"/>
      <c r="AP90" s="183"/>
      <c r="AQ90" s="183"/>
      <c r="AR90" s="177" t="str">
        <f t="shared" si="53"/>
        <v>Renewal</v>
      </c>
      <c r="AS90" s="182" t="str">
        <f t="shared" si="54"/>
        <v>Q3 2023</v>
      </c>
      <c r="AT90" s="182" t="str">
        <f t="shared" si="55"/>
        <v>2H2023</v>
      </c>
      <c r="AU90" s="184" t="str">
        <f t="shared" si="56"/>
        <v>&gt;100K</v>
      </c>
      <c r="AV90" s="179">
        <f>IF(N90="","",J90)</f>
        <v>169608</v>
      </c>
      <c r="AW90" s="233">
        <f t="shared" si="57"/>
        <v>773412.48</v>
      </c>
      <c r="AX90" s="233">
        <f t="shared" si="58"/>
        <v>946412.64</v>
      </c>
      <c r="AY90" s="198">
        <f>IF(P90="","",J90*P90)</f>
        <v>741186.96</v>
      </c>
      <c r="AZ90" s="233">
        <f>IFERROR(Q90*AV90,"")</f>
        <v>741186.96</v>
      </c>
      <c r="BA90" s="233">
        <f t="shared" si="59"/>
        <v>741186.96</v>
      </c>
      <c r="BB90" s="233">
        <f t="shared" si="60"/>
        <v>741186.96</v>
      </c>
      <c r="BC90" s="233">
        <f t="shared" si="61"/>
        <v>0</v>
      </c>
      <c r="BD90" s="233">
        <f t="shared" si="51"/>
        <v>0</v>
      </c>
      <c r="BE90" s="233">
        <f t="shared" si="62"/>
        <v>0</v>
      </c>
      <c r="BF90" s="233">
        <f t="shared" si="63"/>
        <v>0</v>
      </c>
      <c r="BG90" s="233">
        <f t="shared" si="64"/>
        <v>0</v>
      </c>
      <c r="BH90" s="186" t="str">
        <f t="shared" si="65"/>
        <v/>
      </c>
      <c r="BI90" s="233">
        <f t="shared" si="66"/>
        <v>0</v>
      </c>
      <c r="BJ90" s="233">
        <f t="shared" si="67"/>
        <v>0</v>
      </c>
      <c r="BK90" s="233">
        <f t="shared" si="68"/>
        <v>508823.9719977192</v>
      </c>
      <c r="BL90" s="233">
        <f t="shared" si="69"/>
        <v>542745.59999999998</v>
      </c>
      <c r="BM90" s="233">
        <f t="shared" si="70"/>
        <v>381618</v>
      </c>
      <c r="BN90" s="233">
        <f t="shared" si="71"/>
        <v>339216</v>
      </c>
    </row>
    <row r="91" spans="1:66" s="198" customFormat="1" hidden="1" outlineLevel="1">
      <c r="A91" s="176" t="s">
        <v>412</v>
      </c>
      <c r="B91" s="176" t="s">
        <v>157</v>
      </c>
      <c r="C91" s="176" t="s">
        <v>157</v>
      </c>
      <c r="D91" s="192" t="s">
        <v>413</v>
      </c>
      <c r="E91" s="192">
        <f>O91/N91-1</f>
        <v>0.35527589545014515</v>
      </c>
      <c r="F91" s="176" t="s">
        <v>144</v>
      </c>
      <c r="G91" s="176">
        <f>_xlfn.XLOOKUP(AN91,[2]ySQL_0_24102024094604!$B:$B,[2]ySQL_0_24102024094604!$D:$D,0)</f>
        <v>0</v>
      </c>
      <c r="H91" s="176" t="s">
        <v>414</v>
      </c>
      <c r="I91" s="177">
        <v>37</v>
      </c>
      <c r="J91" s="178">
        <v>9250</v>
      </c>
      <c r="K91" s="178"/>
      <c r="L91" s="178"/>
      <c r="M91" s="178"/>
      <c r="N91" s="177">
        <v>5.165</v>
      </c>
      <c r="O91" s="177">
        <v>7</v>
      </c>
      <c r="P91" s="177">
        <v>8</v>
      </c>
      <c r="Q91" s="177">
        <v>9</v>
      </c>
      <c r="R91" s="177">
        <v>4</v>
      </c>
      <c r="S91" s="177">
        <v>3.5</v>
      </c>
      <c r="T91" s="179">
        <v>12.7884291262</v>
      </c>
      <c r="U91" s="177">
        <v>0</v>
      </c>
      <c r="V91" s="177">
        <v>0</v>
      </c>
      <c r="W91" s="177">
        <v>0</v>
      </c>
      <c r="X91" s="188">
        <v>7796.2</v>
      </c>
      <c r="Y91" s="188"/>
      <c r="Z91" s="188">
        <v>18500</v>
      </c>
      <c r="AA91" s="188">
        <v>0</v>
      </c>
      <c r="AB91" s="188">
        <v>6937.5</v>
      </c>
      <c r="AC91" s="188">
        <v>33233.699999999997</v>
      </c>
      <c r="AD91" s="181">
        <v>267537</v>
      </c>
      <c r="AE91" s="177" t="s">
        <v>161</v>
      </c>
      <c r="AF91" s="182">
        <v>45110</v>
      </c>
      <c r="AG91" s="177"/>
      <c r="AH91" s="177"/>
      <c r="AI91" s="183"/>
      <c r="AJ91" s="183"/>
      <c r="AK91" s="177"/>
      <c r="AL91" s="177"/>
      <c r="AM91" s="177"/>
      <c r="AN91" s="177" t="s">
        <v>337</v>
      </c>
      <c r="AO91" s="177"/>
      <c r="AP91" s="183"/>
      <c r="AQ91" s="183"/>
      <c r="AR91" s="177" t="str">
        <f t="shared" si="53"/>
        <v>Renewal</v>
      </c>
      <c r="AS91" s="182" t="str">
        <f t="shared" si="54"/>
        <v>Q3 2023</v>
      </c>
      <c r="AT91" s="182" t="str">
        <f t="shared" si="55"/>
        <v>2H2023</v>
      </c>
      <c r="AU91" s="184" t="str">
        <f t="shared" si="56"/>
        <v>&lt; 20K</v>
      </c>
      <c r="AV91" s="179">
        <f>IF(N91="","",J91)</f>
        <v>9250</v>
      </c>
      <c r="AW91" s="233">
        <f t="shared" si="57"/>
        <v>47776.25</v>
      </c>
      <c r="AX91" s="233">
        <f t="shared" si="58"/>
        <v>64750</v>
      </c>
      <c r="AY91" s="198">
        <f>IF(P91="","",J91*P91)</f>
        <v>74000</v>
      </c>
      <c r="AZ91" s="233">
        <f>IFERROR(Q91*AV91,"")</f>
        <v>83250</v>
      </c>
      <c r="BA91" s="233">
        <f t="shared" si="59"/>
        <v>83250</v>
      </c>
      <c r="BB91" s="233">
        <f t="shared" si="60"/>
        <v>83250</v>
      </c>
      <c r="BC91" s="233">
        <f t="shared" si="61"/>
        <v>0</v>
      </c>
      <c r="BD91" s="233">
        <f t="shared" si="51"/>
        <v>0</v>
      </c>
      <c r="BE91" s="233">
        <f t="shared" si="62"/>
        <v>0</v>
      </c>
      <c r="BF91" s="233">
        <f t="shared" si="63"/>
        <v>0</v>
      </c>
      <c r="BG91" s="233">
        <f t="shared" si="64"/>
        <v>0</v>
      </c>
      <c r="BH91" s="186">
        <f t="shared" si="65"/>
        <v>83250</v>
      </c>
      <c r="BI91" s="233">
        <f t="shared" si="66"/>
        <v>1</v>
      </c>
      <c r="BJ91" s="233">
        <f t="shared" si="67"/>
        <v>83250</v>
      </c>
      <c r="BK91" s="233">
        <f t="shared" si="68"/>
        <v>118292.96941735</v>
      </c>
      <c r="BL91" s="233">
        <f t="shared" si="69"/>
        <v>0</v>
      </c>
      <c r="BM91" s="233">
        <f t="shared" si="70"/>
        <v>37000</v>
      </c>
      <c r="BN91" s="233">
        <f t="shared" si="71"/>
        <v>32375</v>
      </c>
    </row>
    <row r="92" spans="1:66" s="198" customFormat="1" hidden="1" outlineLevel="1">
      <c r="A92" s="176" t="s">
        <v>415</v>
      </c>
      <c r="B92" s="176" t="s">
        <v>143</v>
      </c>
      <c r="C92" s="176" t="s">
        <v>335</v>
      </c>
      <c r="D92" s="176" t="s">
        <v>335</v>
      </c>
      <c r="E92" s="176"/>
      <c r="F92" s="176" t="s">
        <v>207</v>
      </c>
      <c r="G92" s="176">
        <f>_xlfn.XLOOKUP(AN92,[2]ySQL_0_24102024094604!$B:$B,[2]ySQL_0_24102024094604!$D:$D,0)</f>
        <v>0</v>
      </c>
      <c r="H92" s="176" t="s">
        <v>416</v>
      </c>
      <c r="I92" s="177">
        <v>61</v>
      </c>
      <c r="J92" s="194">
        <v>30333</v>
      </c>
      <c r="K92" s="194"/>
      <c r="L92" s="194"/>
      <c r="M92" s="194"/>
      <c r="N92" s="177"/>
      <c r="O92" s="177">
        <v>9.25</v>
      </c>
      <c r="P92" s="177" t="s">
        <v>167</v>
      </c>
      <c r="Q92" s="177">
        <v>9</v>
      </c>
      <c r="R92" s="179">
        <v>4</v>
      </c>
      <c r="S92" s="179">
        <v>4</v>
      </c>
      <c r="T92" s="179">
        <v>17.9794638425</v>
      </c>
      <c r="U92" s="197">
        <v>10.1</v>
      </c>
      <c r="V92" s="177">
        <v>2</v>
      </c>
      <c r="W92" s="177">
        <v>4</v>
      </c>
      <c r="X92" s="180">
        <v>130351.51</v>
      </c>
      <c r="Y92" s="180"/>
      <c r="Z92" s="180">
        <v>90000</v>
      </c>
      <c r="AA92" s="180">
        <v>0</v>
      </c>
      <c r="AB92" s="180">
        <v>45500</v>
      </c>
      <c r="AC92" s="180">
        <v>265851.51</v>
      </c>
      <c r="AD92" s="195">
        <v>1478639.81</v>
      </c>
      <c r="AE92" s="177" t="s">
        <v>161</v>
      </c>
      <c r="AF92" s="182">
        <v>44894</v>
      </c>
      <c r="AG92" s="197">
        <v>8.3040177210095987</v>
      </c>
      <c r="AH92" s="197">
        <v>7.3973228485657199</v>
      </c>
      <c r="AI92" s="196">
        <f>AG92/Q92-1</f>
        <v>-7.7331364332266839E-2</v>
      </c>
      <c r="AJ92" s="196">
        <f>AH92/Q92-1</f>
        <v>-0.1780752390482534</v>
      </c>
      <c r="AK92" s="177"/>
      <c r="AL92" s="177"/>
      <c r="AM92" s="177"/>
      <c r="AN92" s="177" t="s">
        <v>417</v>
      </c>
      <c r="AP92" s="196">
        <f>AG92/O92-1</f>
        <v>-0.1022683544854488</v>
      </c>
      <c r="AQ92" s="196">
        <f>AH92/O92-1</f>
        <v>-0.20028942177667897</v>
      </c>
      <c r="AR92" s="177" t="str">
        <f t="shared" si="53"/>
        <v>New Lease</v>
      </c>
      <c r="AS92" s="182" t="str">
        <f t="shared" si="54"/>
        <v>Q4 2022</v>
      </c>
      <c r="AT92" s="182" t="str">
        <f t="shared" si="55"/>
        <v>2H2022</v>
      </c>
      <c r="AU92" s="184" t="str">
        <f t="shared" si="56"/>
        <v>20-50K</v>
      </c>
      <c r="AV92" s="179">
        <v>0</v>
      </c>
      <c r="AW92" s="233">
        <f t="shared" si="57"/>
        <v>0</v>
      </c>
      <c r="AX92" s="233">
        <f t="shared" si="58"/>
        <v>280580.25</v>
      </c>
      <c r="AY92" s="233"/>
      <c r="AZ92" s="233">
        <f>Q92*AV92</f>
        <v>0</v>
      </c>
      <c r="BA92" s="233">
        <f t="shared" si="59"/>
        <v>272997</v>
      </c>
      <c r="BB92" s="233" t="str">
        <f t="shared" si="60"/>
        <v/>
      </c>
      <c r="BC92" s="233">
        <f t="shared" si="61"/>
        <v>251885.76953138417</v>
      </c>
      <c r="BD92" s="233">
        <f t="shared" si="51"/>
        <v>224382.99396554398</v>
      </c>
      <c r="BE92" s="233">
        <f t="shared" si="62"/>
        <v>60666</v>
      </c>
      <c r="BF92" s="233">
        <f t="shared" si="63"/>
        <v>30333</v>
      </c>
      <c r="BG92" s="233">
        <f t="shared" si="64"/>
        <v>121332</v>
      </c>
      <c r="BH92" s="186">
        <f t="shared" si="65"/>
        <v>272997</v>
      </c>
      <c r="BI92" s="233">
        <f t="shared" si="66"/>
        <v>2.0000219782634976</v>
      </c>
      <c r="BJ92" s="233">
        <f t="shared" si="67"/>
        <v>546000</v>
      </c>
      <c r="BK92" s="233">
        <f t="shared" si="68"/>
        <v>545371.07673455251</v>
      </c>
      <c r="BL92" s="233">
        <f t="shared" si="69"/>
        <v>306363.3</v>
      </c>
      <c r="BM92" s="233">
        <f t="shared" si="70"/>
        <v>121332</v>
      </c>
      <c r="BN92" s="233">
        <f t="shared" si="71"/>
        <v>121332</v>
      </c>
    </row>
    <row r="93" spans="1:66" s="198" customFormat="1" hidden="1" outlineLevel="1">
      <c r="A93" s="176" t="s">
        <v>418</v>
      </c>
      <c r="B93" s="176" t="s">
        <v>157</v>
      </c>
      <c r="C93" s="176" t="s">
        <v>157</v>
      </c>
      <c r="D93" s="192" t="s">
        <v>413</v>
      </c>
      <c r="E93" s="192">
        <f>O93/N93-1</f>
        <v>0.39860139860139876</v>
      </c>
      <c r="F93" s="176" t="s">
        <v>144</v>
      </c>
      <c r="G93" s="176">
        <f>_xlfn.XLOOKUP(AN93,[2]ySQL_0_24102024094604!$B:$B,[2]ySQL_0_24102024094604!$D:$D,0)</f>
        <v>0</v>
      </c>
      <c r="H93" s="176" t="s">
        <v>419</v>
      </c>
      <c r="I93" s="177">
        <v>37</v>
      </c>
      <c r="J93" s="178">
        <v>18500</v>
      </c>
      <c r="K93" s="178"/>
      <c r="L93" s="178"/>
      <c r="M93" s="178"/>
      <c r="N93" s="177">
        <v>5.72</v>
      </c>
      <c r="O93" s="177">
        <v>8</v>
      </c>
      <c r="P93" s="177">
        <v>8</v>
      </c>
      <c r="Q93" s="177">
        <v>9</v>
      </c>
      <c r="R93" s="177">
        <v>3.5</v>
      </c>
      <c r="S93" s="177">
        <v>3.125</v>
      </c>
      <c r="T93" s="179">
        <v>7.1827827821000003</v>
      </c>
      <c r="U93" s="177">
        <v>19.600000000000001</v>
      </c>
      <c r="V93" s="177">
        <v>0</v>
      </c>
      <c r="W93" s="177">
        <v>0</v>
      </c>
      <c r="X93" s="188">
        <v>11636.69</v>
      </c>
      <c r="Y93" s="188"/>
      <c r="Z93" s="188">
        <v>0</v>
      </c>
      <c r="AA93" s="188">
        <v>0</v>
      </c>
      <c r="AB93" s="188">
        <v>6937.5</v>
      </c>
      <c r="AC93" s="188">
        <v>18574.189999999999</v>
      </c>
      <c r="AD93" s="181">
        <v>532329</v>
      </c>
      <c r="AE93" s="177" t="s">
        <v>161</v>
      </c>
      <c r="AF93" s="182">
        <v>45131</v>
      </c>
      <c r="AG93" s="177"/>
      <c r="AH93" s="177"/>
      <c r="AI93" s="183"/>
      <c r="AJ93" s="183"/>
      <c r="AK93" s="177"/>
      <c r="AL93" s="177"/>
      <c r="AM93" s="177"/>
      <c r="AN93" s="177" t="s">
        <v>337</v>
      </c>
      <c r="AO93" s="177"/>
      <c r="AP93" s="183"/>
      <c r="AQ93" s="183"/>
      <c r="AR93" s="177" t="str">
        <f t="shared" si="53"/>
        <v>Renewal</v>
      </c>
      <c r="AS93" s="182" t="str">
        <f t="shared" si="54"/>
        <v>Q3 2023</v>
      </c>
      <c r="AT93" s="182" t="str">
        <f t="shared" si="55"/>
        <v>2H2023</v>
      </c>
      <c r="AU93" s="184" t="str">
        <f t="shared" si="56"/>
        <v>&lt; 20K</v>
      </c>
      <c r="AV93" s="179">
        <f t="shared" ref="AV93:AV112" si="74">IF(N93="","",J93)</f>
        <v>18500</v>
      </c>
      <c r="AW93" s="233">
        <f t="shared" si="57"/>
        <v>105820</v>
      </c>
      <c r="AX93" s="233">
        <f t="shared" si="58"/>
        <v>148000</v>
      </c>
      <c r="AY93" s="198">
        <f>IF(P93="","",J93*P93)</f>
        <v>148000</v>
      </c>
      <c r="AZ93" s="233">
        <f>IFERROR(Q93*AV93,"")</f>
        <v>166500</v>
      </c>
      <c r="BA93" s="233">
        <f t="shared" si="59"/>
        <v>166500</v>
      </c>
      <c r="BB93" s="233">
        <f t="shared" si="60"/>
        <v>166500</v>
      </c>
      <c r="BC93" s="233">
        <f t="shared" si="61"/>
        <v>0</v>
      </c>
      <c r="BD93" s="233">
        <f t="shared" si="51"/>
        <v>0</v>
      </c>
      <c r="BE93" s="233">
        <f t="shared" si="62"/>
        <v>0</v>
      </c>
      <c r="BF93" s="233">
        <f t="shared" si="63"/>
        <v>0</v>
      </c>
      <c r="BG93" s="233">
        <f t="shared" si="64"/>
        <v>0</v>
      </c>
      <c r="BH93" s="186">
        <f t="shared" si="65"/>
        <v>166500</v>
      </c>
      <c r="BI93" s="233">
        <f t="shared" si="66"/>
        <v>0.5</v>
      </c>
      <c r="BJ93" s="233">
        <f t="shared" si="67"/>
        <v>83250</v>
      </c>
      <c r="BK93" s="233">
        <f t="shared" si="68"/>
        <v>132881.48146885002</v>
      </c>
      <c r="BL93" s="233">
        <f t="shared" si="69"/>
        <v>362600</v>
      </c>
      <c r="BM93" s="233">
        <f t="shared" si="70"/>
        <v>64750</v>
      </c>
      <c r="BN93" s="233">
        <f t="shared" si="71"/>
        <v>57812.5</v>
      </c>
    </row>
    <row r="94" spans="1:66" s="198" customFormat="1" hidden="1" outlineLevel="1">
      <c r="A94" s="176" t="s">
        <v>420</v>
      </c>
      <c r="B94" s="176" t="s">
        <v>143</v>
      </c>
      <c r="C94" s="176"/>
      <c r="D94" s="176"/>
      <c r="E94" s="176"/>
      <c r="F94" s="176" t="s">
        <v>153</v>
      </c>
      <c r="G94" s="176" t="str">
        <f>_xlfn.XLOOKUP(AN94,[2]ySQL_0_24102024094604!$B:$B,[2]ySQL_0_24102024094604!$D:$D,0)</f>
        <v>Yes</v>
      </c>
      <c r="H94" s="176" t="s">
        <v>421</v>
      </c>
      <c r="I94" s="177">
        <v>124</v>
      </c>
      <c r="J94" s="194">
        <v>48000</v>
      </c>
      <c r="K94" s="194"/>
      <c r="L94" s="194"/>
      <c r="M94" s="194"/>
      <c r="N94" s="177">
        <v>7</v>
      </c>
      <c r="O94" s="177">
        <v>7.13</v>
      </c>
      <c r="P94" s="177">
        <v>7.04</v>
      </c>
      <c r="Q94" s="177">
        <v>8.5</v>
      </c>
      <c r="R94" s="179">
        <v>4.25</v>
      </c>
      <c r="S94" s="179">
        <v>3.5</v>
      </c>
      <c r="T94" s="179">
        <v>9.9592207531000003</v>
      </c>
      <c r="U94" s="197">
        <v>11</v>
      </c>
      <c r="V94" s="177">
        <v>2</v>
      </c>
      <c r="W94" s="177">
        <v>0</v>
      </c>
      <c r="X94" s="180">
        <v>435936.34</v>
      </c>
      <c r="Y94" s="180">
        <f>Z94/J94</f>
        <v>2</v>
      </c>
      <c r="Z94" s="180">
        <v>96000</v>
      </c>
      <c r="AA94" s="180">
        <v>0</v>
      </c>
      <c r="AB94" s="180">
        <v>136000</v>
      </c>
      <c r="AC94" s="180">
        <v>667936.34000000008</v>
      </c>
      <c r="AD94" s="195">
        <v>6706712.8700000001</v>
      </c>
      <c r="AE94" s="177" t="s">
        <v>147</v>
      </c>
      <c r="AF94" s="182">
        <v>44859</v>
      </c>
      <c r="AG94" s="197">
        <v>8.1255382705875743</v>
      </c>
      <c r="AH94" s="197">
        <v>6.3901572860244258</v>
      </c>
      <c r="AI94" s="196">
        <f>AG94/Q94-1</f>
        <v>-4.4054321107344196E-2</v>
      </c>
      <c r="AJ94" s="196">
        <f>AH94/Q94-1</f>
        <v>-0.24821678987947937</v>
      </c>
      <c r="AK94" s="177">
        <v>8</v>
      </c>
      <c r="AL94" s="177"/>
      <c r="AM94" s="177"/>
      <c r="AN94" s="177" t="s">
        <v>422</v>
      </c>
      <c r="AO94" s="177"/>
      <c r="AP94" s="196">
        <f>AG94/O94-1</f>
        <v>0.13962668591691085</v>
      </c>
      <c r="AQ94" s="196">
        <f>AH94/O94-1</f>
        <v>-0.10376475651831329</v>
      </c>
      <c r="AR94" s="177" t="str">
        <f t="shared" si="53"/>
        <v>New Lease</v>
      </c>
      <c r="AS94" s="182" t="str">
        <f t="shared" si="54"/>
        <v>Q4 2022</v>
      </c>
      <c r="AT94" s="182" t="str">
        <f t="shared" si="55"/>
        <v>2H2022</v>
      </c>
      <c r="AU94" s="184" t="str">
        <f t="shared" si="56"/>
        <v>20-50K</v>
      </c>
      <c r="AV94" s="179">
        <f t="shared" si="74"/>
        <v>48000</v>
      </c>
      <c r="AW94" s="233">
        <f t="shared" si="57"/>
        <v>336000</v>
      </c>
      <c r="AX94" s="233">
        <f t="shared" si="58"/>
        <v>342240</v>
      </c>
      <c r="AY94" s="233">
        <f>J94*P94</f>
        <v>337920</v>
      </c>
      <c r="AZ94" s="233">
        <f>Q94*AV94</f>
        <v>408000</v>
      </c>
      <c r="BA94" s="233">
        <f t="shared" si="59"/>
        <v>408000</v>
      </c>
      <c r="BB94" s="233">
        <f t="shared" si="60"/>
        <v>408000</v>
      </c>
      <c r="BC94" s="233">
        <f t="shared" si="61"/>
        <v>390025.83698820358</v>
      </c>
      <c r="BD94" s="233">
        <f t="shared" si="51"/>
        <v>306727.54972917243</v>
      </c>
      <c r="BE94" s="233">
        <f t="shared" si="62"/>
        <v>96000</v>
      </c>
      <c r="BF94" s="233">
        <f t="shared" si="63"/>
        <v>48000</v>
      </c>
      <c r="BG94" s="233">
        <f t="shared" si="64"/>
        <v>0</v>
      </c>
      <c r="BH94" s="186">
        <f t="shared" si="65"/>
        <v>408000</v>
      </c>
      <c r="BI94" s="233">
        <f t="shared" si="66"/>
        <v>4</v>
      </c>
      <c r="BJ94" s="233">
        <f t="shared" si="67"/>
        <v>1632000</v>
      </c>
      <c r="BK94" s="233">
        <f t="shared" si="68"/>
        <v>478042.59614879999</v>
      </c>
      <c r="BL94" s="233">
        <f t="shared" si="69"/>
        <v>528000</v>
      </c>
      <c r="BM94" s="233">
        <f t="shared" si="70"/>
        <v>204000</v>
      </c>
      <c r="BN94" s="233">
        <f t="shared" si="71"/>
        <v>168000</v>
      </c>
    </row>
    <row r="95" spans="1:66" s="198" customFormat="1" hidden="1" outlineLevel="1">
      <c r="A95" s="176" t="s">
        <v>423</v>
      </c>
      <c r="B95" s="176" t="s">
        <v>157</v>
      </c>
      <c r="C95" s="176"/>
      <c r="D95" s="176"/>
      <c r="E95" s="176"/>
      <c r="F95" s="176" t="s">
        <v>144</v>
      </c>
      <c r="G95" s="176">
        <f>_xlfn.XLOOKUP(AN95,[2]ySQL_0_24102024094604!$B:$B,[2]ySQL_0_24102024094604!$D:$D,0)</f>
        <v>0</v>
      </c>
      <c r="H95" s="176" t="s">
        <v>424</v>
      </c>
      <c r="I95" s="177">
        <v>60</v>
      </c>
      <c r="J95" s="178">
        <v>52403</v>
      </c>
      <c r="K95" s="178"/>
      <c r="L95" s="178"/>
      <c r="M95" s="178"/>
      <c r="N95" s="177">
        <v>7.56</v>
      </c>
      <c r="O95" s="177">
        <v>7.16</v>
      </c>
      <c r="P95" s="177">
        <v>8.5</v>
      </c>
      <c r="Q95" s="177">
        <v>8.58</v>
      </c>
      <c r="R95" s="177">
        <v>4</v>
      </c>
      <c r="S95" s="177">
        <v>3</v>
      </c>
      <c r="T95" s="179">
        <v>8.5740364049999993</v>
      </c>
      <c r="U95" s="177">
        <v>10.7</v>
      </c>
      <c r="V95" s="177">
        <v>0</v>
      </c>
      <c r="W95" s="177">
        <v>0</v>
      </c>
      <c r="X95" s="188">
        <v>80401.78</v>
      </c>
      <c r="Y95" s="180">
        <f>Z95/J95</f>
        <v>0.83968475087304162</v>
      </c>
      <c r="Z95" s="188">
        <v>44002</v>
      </c>
      <c r="AA95" s="188">
        <v>0</v>
      </c>
      <c r="AB95" s="188">
        <v>47192.160000000003</v>
      </c>
      <c r="AC95" s="188">
        <v>171595.94</v>
      </c>
      <c r="AD95" s="181">
        <v>2435275</v>
      </c>
      <c r="AE95" s="177" t="s">
        <v>147</v>
      </c>
      <c r="AF95" s="182">
        <v>45170</v>
      </c>
      <c r="AG95" s="177"/>
      <c r="AH95" s="177"/>
      <c r="AI95" s="183"/>
      <c r="AJ95" s="183"/>
      <c r="AK95" s="177"/>
      <c r="AL95" s="177"/>
      <c r="AM95" s="177"/>
      <c r="AN95" s="177" t="s">
        <v>425</v>
      </c>
      <c r="AO95" s="177"/>
      <c r="AP95" s="183"/>
      <c r="AQ95" s="183"/>
      <c r="AR95" s="177" t="str">
        <f t="shared" si="53"/>
        <v>Renewal</v>
      </c>
      <c r="AS95" s="182" t="str">
        <f t="shared" si="54"/>
        <v>Q3 2023</v>
      </c>
      <c r="AT95" s="182" t="str">
        <f t="shared" si="55"/>
        <v>2H2023</v>
      </c>
      <c r="AU95" s="184" t="str">
        <f t="shared" si="56"/>
        <v>50-100K</v>
      </c>
      <c r="AV95" s="179">
        <f t="shared" si="74"/>
        <v>52403</v>
      </c>
      <c r="AW95" s="233">
        <f t="shared" si="57"/>
        <v>396166.68</v>
      </c>
      <c r="AX95" s="233">
        <f t="shared" si="58"/>
        <v>375205.48</v>
      </c>
      <c r="AY95" s="198">
        <f>IF(P95="","",J95*P95)</f>
        <v>445425.5</v>
      </c>
      <c r="AZ95" s="233">
        <f>IFERROR(Q95*AV95,"")</f>
        <v>449617.74</v>
      </c>
      <c r="BA95" s="233">
        <f t="shared" si="59"/>
        <v>449617.74</v>
      </c>
      <c r="BB95" s="233">
        <f t="shared" si="60"/>
        <v>449617.74</v>
      </c>
      <c r="BC95" s="233">
        <f t="shared" si="61"/>
        <v>0</v>
      </c>
      <c r="BD95" s="233">
        <f t="shared" si="51"/>
        <v>0</v>
      </c>
      <c r="BE95" s="233">
        <f t="shared" si="62"/>
        <v>0</v>
      </c>
      <c r="BF95" s="233">
        <f t="shared" si="63"/>
        <v>0</v>
      </c>
      <c r="BG95" s="233">
        <f t="shared" si="64"/>
        <v>0</v>
      </c>
      <c r="BH95" s="186">
        <f t="shared" si="65"/>
        <v>449617.74</v>
      </c>
      <c r="BI95" s="233">
        <f t="shared" si="66"/>
        <v>1.2595275266496382</v>
      </c>
      <c r="BJ95" s="233">
        <f t="shared" si="67"/>
        <v>566305.92000000016</v>
      </c>
      <c r="BK95" s="233">
        <f t="shared" si="68"/>
        <v>449305.22973121499</v>
      </c>
      <c r="BL95" s="233">
        <f t="shared" si="69"/>
        <v>560712.1</v>
      </c>
      <c r="BM95" s="233">
        <f t="shared" si="70"/>
        <v>209612</v>
      </c>
      <c r="BN95" s="233">
        <f t="shared" si="71"/>
        <v>157209</v>
      </c>
    </row>
    <row r="96" spans="1:66" s="198" customFormat="1" hidden="1" outlineLevel="1">
      <c r="A96" s="176" t="s">
        <v>426</v>
      </c>
      <c r="B96" s="176" t="s">
        <v>143</v>
      </c>
      <c r="C96" s="176"/>
      <c r="D96" s="176"/>
      <c r="E96" s="176"/>
      <c r="F96" s="176" t="s">
        <v>144</v>
      </c>
      <c r="G96" s="176">
        <f>_xlfn.XLOOKUP(AN96,[2]ySQL_0_24102024094604!$B:$B,[2]ySQL_0_24102024094604!$D:$D,0)</f>
        <v>0</v>
      </c>
      <c r="H96" s="176" t="s">
        <v>427</v>
      </c>
      <c r="I96" s="177">
        <v>36</v>
      </c>
      <c r="J96" s="194">
        <v>5382</v>
      </c>
      <c r="K96" s="194"/>
      <c r="L96" s="194"/>
      <c r="M96" s="194"/>
      <c r="N96" s="177">
        <v>7.84</v>
      </c>
      <c r="O96" s="177">
        <v>8</v>
      </c>
      <c r="P96" s="177" t="s">
        <v>167</v>
      </c>
      <c r="Q96" s="177">
        <v>9.25</v>
      </c>
      <c r="R96" s="177">
        <v>4</v>
      </c>
      <c r="S96" s="177">
        <v>3</v>
      </c>
      <c r="T96" s="179">
        <v>7.8615462104000002</v>
      </c>
      <c r="U96" s="177">
        <v>29.7</v>
      </c>
      <c r="V96" s="177">
        <v>2</v>
      </c>
      <c r="W96" s="177">
        <f>2-$W$3</f>
        <v>1.0899999999999999</v>
      </c>
      <c r="X96" s="180">
        <v>6215.14</v>
      </c>
      <c r="Y96" s="180">
        <f>Z96/J96</f>
        <v>1.1148272017837235</v>
      </c>
      <c r="Z96" s="180">
        <v>6000</v>
      </c>
      <c r="AA96" s="180">
        <v>0</v>
      </c>
      <c r="AB96" s="180">
        <v>0</v>
      </c>
      <c r="AC96" s="180">
        <v>12215.14</v>
      </c>
      <c r="AD96" s="195">
        <v>155378.34</v>
      </c>
      <c r="AE96" s="177" t="s">
        <v>147</v>
      </c>
      <c r="AF96" s="182">
        <v>44815</v>
      </c>
      <c r="AG96" s="177">
        <v>10.585438020447134</v>
      </c>
      <c r="AH96" s="177">
        <v>10.364741421697721</v>
      </c>
      <c r="AI96" s="196">
        <f>AG96/Q96-1</f>
        <v>0.14437167788617655</v>
      </c>
      <c r="AJ96" s="196">
        <f>AH96/Q96-1</f>
        <v>0.12051258612948335</v>
      </c>
      <c r="AK96" s="177"/>
      <c r="AL96" s="177"/>
      <c r="AM96" s="177"/>
      <c r="AN96" s="177" t="s">
        <v>296</v>
      </c>
      <c r="AO96" s="177"/>
      <c r="AP96" s="196">
        <f>AG96/O96-1</f>
        <v>0.32317975255589171</v>
      </c>
      <c r="AQ96" s="196">
        <f>AH96/O96-1</f>
        <v>0.29559267771221509</v>
      </c>
      <c r="AR96" s="177" t="str">
        <f t="shared" si="53"/>
        <v>New Lease</v>
      </c>
      <c r="AS96" s="182" t="str">
        <f t="shared" si="54"/>
        <v>Q3 2022</v>
      </c>
      <c r="AT96" s="182" t="str">
        <f t="shared" si="55"/>
        <v>2H2022</v>
      </c>
      <c r="AU96" s="184" t="str">
        <f t="shared" si="56"/>
        <v>&lt; 20K</v>
      </c>
      <c r="AV96" s="179">
        <f t="shared" si="74"/>
        <v>5382</v>
      </c>
      <c r="AW96" s="233">
        <f t="shared" si="57"/>
        <v>42194.879999999997</v>
      </c>
      <c r="AX96" s="233">
        <f t="shared" si="58"/>
        <v>43056</v>
      </c>
      <c r="AY96" s="198" t="str">
        <f>IF(P96="","",J96*P96)</f>
        <v/>
      </c>
      <c r="AZ96" s="233">
        <f>Q96*AV96</f>
        <v>49783.5</v>
      </c>
      <c r="BA96" s="233">
        <f t="shared" si="59"/>
        <v>49783.5</v>
      </c>
      <c r="BB96" s="233">
        <f t="shared" si="60"/>
        <v>49783.5</v>
      </c>
      <c r="BC96" s="233">
        <f t="shared" si="61"/>
        <v>56970.827426046475</v>
      </c>
      <c r="BD96" s="233">
        <f t="shared" si="51"/>
        <v>55783.038331577132</v>
      </c>
      <c r="BE96" s="233">
        <f t="shared" si="62"/>
        <v>10764</v>
      </c>
      <c r="BF96" s="233">
        <f t="shared" si="63"/>
        <v>5382</v>
      </c>
      <c r="BG96" s="233">
        <f t="shared" si="64"/>
        <v>5866.3799999999992</v>
      </c>
      <c r="BH96" s="186" t="str">
        <f t="shared" si="65"/>
        <v/>
      </c>
      <c r="BI96" s="233">
        <f t="shared" si="66"/>
        <v>0</v>
      </c>
      <c r="BJ96" s="233">
        <f t="shared" si="67"/>
        <v>0</v>
      </c>
      <c r="BK96" s="233">
        <f t="shared" si="68"/>
        <v>42310.841704372804</v>
      </c>
      <c r="BL96" s="233">
        <f t="shared" si="69"/>
        <v>159845.4</v>
      </c>
      <c r="BM96" s="233">
        <f t="shared" si="70"/>
        <v>21528</v>
      </c>
      <c r="BN96" s="233">
        <f t="shared" si="71"/>
        <v>16146</v>
      </c>
    </row>
    <row r="97" spans="1:66" s="198" customFormat="1" hidden="1" outlineLevel="1">
      <c r="A97" s="176" t="s">
        <v>428</v>
      </c>
      <c r="B97" s="176" t="s">
        <v>157</v>
      </c>
      <c r="C97" s="176"/>
      <c r="D97" s="176"/>
      <c r="E97" s="176"/>
      <c r="F97" s="176" t="s">
        <v>274</v>
      </c>
      <c r="G97" s="176">
        <f>_xlfn.XLOOKUP(AN97,[2]ySQL_0_24102024094604!$B:$B,[2]ySQL_0_24102024094604!$D:$D,0)</f>
        <v>0</v>
      </c>
      <c r="H97" s="176" t="s">
        <v>429</v>
      </c>
      <c r="I97" s="177">
        <v>60</v>
      </c>
      <c r="J97" s="178">
        <v>16490</v>
      </c>
      <c r="K97" s="178"/>
      <c r="L97" s="178"/>
      <c r="M97" s="178"/>
      <c r="N97" s="177">
        <v>7.03</v>
      </c>
      <c r="O97" s="177">
        <v>7.41</v>
      </c>
      <c r="P97" s="177">
        <v>8.75</v>
      </c>
      <c r="Q97" s="177">
        <v>8.75</v>
      </c>
      <c r="R97" s="177">
        <v>4</v>
      </c>
      <c r="S97" s="177">
        <v>3</v>
      </c>
      <c r="T97" s="179">
        <v>8.1346222011999991</v>
      </c>
      <c r="U97" s="177">
        <v>6.85</v>
      </c>
      <c r="V97" s="177">
        <v>0</v>
      </c>
      <c r="W97" s="177">
        <v>0</v>
      </c>
      <c r="X97" s="188">
        <v>33568.9</v>
      </c>
      <c r="Y97" s="180">
        <f>Z97/J97</f>
        <v>1.8192844147968465</v>
      </c>
      <c r="Z97" s="188">
        <v>30000</v>
      </c>
      <c r="AA97" s="188">
        <v>0</v>
      </c>
      <c r="AB97" s="188">
        <v>0</v>
      </c>
      <c r="AC97" s="188">
        <v>63568.9</v>
      </c>
      <c r="AD97" s="181">
        <v>781508</v>
      </c>
      <c r="AE97" s="177" t="s">
        <v>147</v>
      </c>
      <c r="AF97" s="182">
        <v>45169</v>
      </c>
      <c r="AG97" s="177"/>
      <c r="AH97" s="177"/>
      <c r="AI97" s="183"/>
      <c r="AJ97" s="183"/>
      <c r="AK97" s="177"/>
      <c r="AL97" s="177"/>
      <c r="AM97" s="177"/>
      <c r="AN97" s="177" t="s">
        <v>430</v>
      </c>
      <c r="AO97" s="177"/>
      <c r="AP97" s="183"/>
      <c r="AQ97" s="183"/>
      <c r="AR97" s="177" t="str">
        <f t="shared" si="53"/>
        <v>Renewal</v>
      </c>
      <c r="AS97" s="182" t="str">
        <f t="shared" si="54"/>
        <v>Q3 2023</v>
      </c>
      <c r="AT97" s="182" t="str">
        <f t="shared" si="55"/>
        <v>2H2023</v>
      </c>
      <c r="AU97" s="184" t="str">
        <f t="shared" si="56"/>
        <v>&lt; 20K</v>
      </c>
      <c r="AV97" s="179">
        <f t="shared" si="74"/>
        <v>16490</v>
      </c>
      <c r="AW97" s="233">
        <f t="shared" si="57"/>
        <v>115924.7</v>
      </c>
      <c r="AX97" s="233">
        <f t="shared" si="58"/>
        <v>122190.90000000001</v>
      </c>
      <c r="AY97" s="198">
        <f>IF(P97="","",J97*P97)</f>
        <v>144287.5</v>
      </c>
      <c r="AZ97" s="233">
        <f>IFERROR(Q97*AV97,"")</f>
        <v>144287.5</v>
      </c>
      <c r="BA97" s="233">
        <f t="shared" si="59"/>
        <v>144287.5</v>
      </c>
      <c r="BB97" s="233">
        <f t="shared" si="60"/>
        <v>144287.5</v>
      </c>
      <c r="BC97" s="233">
        <f t="shared" si="61"/>
        <v>0</v>
      </c>
      <c r="BD97" s="233">
        <f t="shared" si="51"/>
        <v>0</v>
      </c>
      <c r="BE97" s="233">
        <f t="shared" si="62"/>
        <v>0</v>
      </c>
      <c r="BF97" s="233">
        <f t="shared" si="63"/>
        <v>0</v>
      </c>
      <c r="BG97" s="233">
        <f t="shared" si="64"/>
        <v>0</v>
      </c>
      <c r="BH97" s="186" t="str">
        <f t="shared" si="65"/>
        <v/>
      </c>
      <c r="BI97" s="233">
        <f t="shared" si="66"/>
        <v>0</v>
      </c>
      <c r="BJ97" s="233">
        <f t="shared" si="67"/>
        <v>0</v>
      </c>
      <c r="BK97" s="233">
        <f t="shared" si="68"/>
        <v>134139.92009778798</v>
      </c>
      <c r="BL97" s="233">
        <f t="shared" si="69"/>
        <v>112956.5</v>
      </c>
      <c r="BM97" s="233">
        <f t="shared" si="70"/>
        <v>65960</v>
      </c>
      <c r="BN97" s="233">
        <f t="shared" si="71"/>
        <v>49470</v>
      </c>
    </row>
    <row r="98" spans="1:66" s="198" customFormat="1" hidden="1" outlineLevel="1">
      <c r="A98" s="176" t="s">
        <v>431</v>
      </c>
      <c r="B98" s="176" t="s">
        <v>157</v>
      </c>
      <c r="C98" s="176"/>
      <c r="D98" s="176"/>
      <c r="E98" s="176"/>
      <c r="F98" s="176" t="s">
        <v>153</v>
      </c>
      <c r="G98" s="176">
        <f>_xlfn.XLOOKUP(AN98,[2]ySQL_0_24102024094604!$B:$B,[2]ySQL_0_24102024094604!$D:$D,0)</f>
        <v>0</v>
      </c>
      <c r="H98" s="176" t="s">
        <v>432</v>
      </c>
      <c r="I98" s="177">
        <v>30</v>
      </c>
      <c r="J98" s="178">
        <v>1600</v>
      </c>
      <c r="K98" s="178"/>
      <c r="L98" s="178"/>
      <c r="M98" s="178"/>
      <c r="N98" s="177">
        <v>4.75</v>
      </c>
      <c r="O98" s="177">
        <v>4.84</v>
      </c>
      <c r="P98" s="177">
        <v>5.25</v>
      </c>
      <c r="Q98" s="177">
        <v>5.25</v>
      </c>
      <c r="R98" s="177">
        <v>4</v>
      </c>
      <c r="S98" s="177">
        <v>3.5</v>
      </c>
      <c r="T98" s="179">
        <v>0</v>
      </c>
      <c r="U98" s="177">
        <v>11.41</v>
      </c>
      <c r="V98" s="177">
        <v>0</v>
      </c>
      <c r="W98" s="177">
        <v>0</v>
      </c>
      <c r="X98" s="188">
        <v>0</v>
      </c>
      <c r="Y98" s="188"/>
      <c r="Z98" s="188">
        <v>0</v>
      </c>
      <c r="AA98" s="188">
        <v>0</v>
      </c>
      <c r="AB98" s="188">
        <v>0</v>
      </c>
      <c r="AC98" s="188">
        <v>0</v>
      </c>
      <c r="AD98" s="181">
        <v>21634</v>
      </c>
      <c r="AE98" s="177" t="s">
        <v>147</v>
      </c>
      <c r="AF98" s="182">
        <v>45167</v>
      </c>
      <c r="AG98" s="177"/>
      <c r="AH98" s="177"/>
      <c r="AI98" s="183"/>
      <c r="AJ98" s="183"/>
      <c r="AK98" s="177"/>
      <c r="AL98" s="177"/>
      <c r="AM98" s="177"/>
      <c r="AN98" s="177" t="s">
        <v>433</v>
      </c>
      <c r="AO98" s="177"/>
      <c r="AP98" s="183"/>
      <c r="AQ98" s="183"/>
      <c r="AR98" s="177" t="str">
        <f t="shared" si="53"/>
        <v>Renewal</v>
      </c>
      <c r="AS98" s="182" t="str">
        <f t="shared" si="54"/>
        <v>Q3 2023</v>
      </c>
      <c r="AT98" s="182" t="str">
        <f t="shared" si="55"/>
        <v>2H2023</v>
      </c>
      <c r="AU98" s="184" t="str">
        <f t="shared" si="56"/>
        <v>&lt; 20K</v>
      </c>
      <c r="AV98" s="179">
        <f t="shared" si="74"/>
        <v>1600</v>
      </c>
      <c r="AW98" s="233">
        <f t="shared" si="57"/>
        <v>7600</v>
      </c>
      <c r="AX98" s="233">
        <f t="shared" si="58"/>
        <v>7744</v>
      </c>
      <c r="AY98" s="198">
        <f>IF(P98="","",J98*P98)</f>
        <v>8400</v>
      </c>
      <c r="AZ98" s="233">
        <f>IFERROR(Q98*AV98,"")</f>
        <v>8400</v>
      </c>
      <c r="BA98" s="233">
        <f t="shared" si="59"/>
        <v>8400</v>
      </c>
      <c r="BB98" s="233">
        <f t="shared" si="60"/>
        <v>8400</v>
      </c>
      <c r="BC98" s="233">
        <f t="shared" si="61"/>
        <v>0</v>
      </c>
      <c r="BD98" s="233">
        <f t="shared" si="51"/>
        <v>0</v>
      </c>
      <c r="BE98" s="233">
        <f t="shared" si="62"/>
        <v>0</v>
      </c>
      <c r="BF98" s="233">
        <f t="shared" si="63"/>
        <v>0</v>
      </c>
      <c r="BG98" s="233">
        <f t="shared" si="64"/>
        <v>0</v>
      </c>
      <c r="BH98" s="186" t="str">
        <f t="shared" si="65"/>
        <v/>
      </c>
      <c r="BI98" s="233">
        <f t="shared" si="66"/>
        <v>0</v>
      </c>
      <c r="BJ98" s="233">
        <f t="shared" si="67"/>
        <v>0</v>
      </c>
      <c r="BK98" s="233">
        <f t="shared" si="68"/>
        <v>0</v>
      </c>
      <c r="BL98" s="233">
        <f t="shared" si="69"/>
        <v>18256</v>
      </c>
      <c r="BM98" s="233">
        <f t="shared" si="70"/>
        <v>6400</v>
      </c>
      <c r="BN98" s="233">
        <f t="shared" si="71"/>
        <v>5600</v>
      </c>
    </row>
    <row r="99" spans="1:66" s="198" customFormat="1" hidden="1" outlineLevel="1">
      <c r="A99" s="176" t="s">
        <v>434</v>
      </c>
      <c r="B99" s="176" t="s">
        <v>143</v>
      </c>
      <c r="C99" s="176"/>
      <c r="D99" s="176"/>
      <c r="E99" s="176"/>
      <c r="F99" s="176" t="s">
        <v>158</v>
      </c>
      <c r="G99" s="176">
        <f>_xlfn.XLOOKUP(AN99,[2]ySQL_0_24102024094604!$B:$B,[2]ySQL_0_24102024094604!$D:$D,0)</f>
        <v>0</v>
      </c>
      <c r="H99" s="176" t="s">
        <v>435</v>
      </c>
      <c r="I99" s="177">
        <v>84</v>
      </c>
      <c r="J99" s="194">
        <v>45820</v>
      </c>
      <c r="K99" s="194"/>
      <c r="L99" s="194"/>
      <c r="M99" s="194"/>
      <c r="N99" s="177">
        <v>2.33</v>
      </c>
      <c r="O99" s="177">
        <v>2.6</v>
      </c>
      <c r="P99" s="177" t="s">
        <v>167</v>
      </c>
      <c r="Q99" s="177">
        <v>3.25</v>
      </c>
      <c r="R99" s="177">
        <v>3</v>
      </c>
      <c r="S99" s="177">
        <v>0</v>
      </c>
      <c r="T99" s="179">
        <v>13.4918815897</v>
      </c>
      <c r="U99" s="177">
        <v>17</v>
      </c>
      <c r="V99" s="177">
        <v>2</v>
      </c>
      <c r="W99" s="177">
        <f>6-$W$3</f>
        <v>5.09</v>
      </c>
      <c r="X99" s="180">
        <v>62353.120000000003</v>
      </c>
      <c r="Y99" s="180">
        <f>Z99/J99</f>
        <v>2</v>
      </c>
      <c r="Z99" s="180">
        <v>91640</v>
      </c>
      <c r="AA99" s="180">
        <v>0</v>
      </c>
      <c r="AB99" s="180">
        <v>0</v>
      </c>
      <c r="AC99" s="180">
        <v>153993.12</v>
      </c>
      <c r="AD99" s="195">
        <v>1141376.1599999999</v>
      </c>
      <c r="AE99" s="177" t="s">
        <v>147</v>
      </c>
      <c r="AF99" s="182">
        <v>44551</v>
      </c>
      <c r="AG99" s="177" t="s">
        <v>167</v>
      </c>
      <c r="AH99" s="177" t="s">
        <v>167</v>
      </c>
      <c r="AI99" s="196"/>
      <c r="AJ99" s="196"/>
      <c r="AK99" s="177"/>
      <c r="AL99" s="177"/>
      <c r="AM99" s="177"/>
      <c r="AN99" s="177" t="s">
        <v>436</v>
      </c>
      <c r="AO99" s="177"/>
      <c r="AP99" s="196"/>
      <c r="AQ99" s="196"/>
      <c r="AR99" s="177" t="str">
        <f t="shared" si="53"/>
        <v>New Lease</v>
      </c>
      <c r="AS99" s="182" t="str">
        <f t="shared" si="54"/>
        <v>Q4 2021</v>
      </c>
      <c r="AT99" s="182" t="str">
        <f t="shared" si="55"/>
        <v>2H2021</v>
      </c>
      <c r="AU99" s="184" t="str">
        <f t="shared" si="56"/>
        <v>20-50K</v>
      </c>
      <c r="AV99" s="179">
        <f t="shared" si="74"/>
        <v>45820</v>
      </c>
      <c r="AW99" s="233">
        <f t="shared" si="57"/>
        <v>106760.6</v>
      </c>
      <c r="AX99" s="233">
        <f t="shared" si="58"/>
        <v>119132</v>
      </c>
      <c r="AY99" s="233"/>
      <c r="AZ99" s="233">
        <f>Q99*AV99</f>
        <v>148915</v>
      </c>
      <c r="BA99" s="233">
        <f t="shared" si="59"/>
        <v>148915</v>
      </c>
      <c r="BB99" s="233">
        <f t="shared" si="60"/>
        <v>148915</v>
      </c>
      <c r="BC99" s="233"/>
      <c r="BD99" s="233"/>
      <c r="BE99" s="233">
        <f t="shared" si="62"/>
        <v>91640</v>
      </c>
      <c r="BF99" s="233">
        <f t="shared" si="63"/>
        <v>45820</v>
      </c>
      <c r="BG99" s="233">
        <f t="shared" si="64"/>
        <v>233223.8</v>
      </c>
      <c r="BH99" s="186" t="str">
        <f t="shared" si="65"/>
        <v/>
      </c>
      <c r="BI99" s="233">
        <f t="shared" si="66"/>
        <v>0</v>
      </c>
      <c r="BJ99" s="233">
        <f t="shared" si="67"/>
        <v>0</v>
      </c>
      <c r="BK99" s="233">
        <f t="shared" si="68"/>
        <v>618198.01444005396</v>
      </c>
      <c r="BL99" s="233">
        <f t="shared" si="69"/>
        <v>778940</v>
      </c>
      <c r="BM99" s="233">
        <f t="shared" si="70"/>
        <v>137460</v>
      </c>
      <c r="BN99" s="233">
        <f t="shared" si="71"/>
        <v>0</v>
      </c>
    </row>
    <row r="100" spans="1:66" s="198" customFormat="1" hidden="1" outlineLevel="1">
      <c r="A100" s="176" t="s">
        <v>437</v>
      </c>
      <c r="B100" s="176" t="s">
        <v>157</v>
      </c>
      <c r="C100" s="176" t="s">
        <v>157</v>
      </c>
      <c r="D100" s="192" t="s">
        <v>413</v>
      </c>
      <c r="E100" s="192">
        <f>O100/N100-1</f>
        <v>0.7093235831809872</v>
      </c>
      <c r="F100" s="176" t="s">
        <v>244</v>
      </c>
      <c r="G100" s="176">
        <f>_xlfn.XLOOKUP(AN100,[2]ySQL_0_24102024094604!$B:$B,[2]ySQL_0_24102024094604!$D:$D,0)</f>
        <v>0</v>
      </c>
      <c r="H100" s="176" t="s">
        <v>438</v>
      </c>
      <c r="I100" s="177">
        <v>61</v>
      </c>
      <c r="J100" s="178">
        <v>15260</v>
      </c>
      <c r="K100" s="178"/>
      <c r="L100" s="178"/>
      <c r="M100" s="178"/>
      <c r="N100" s="177">
        <v>5.47</v>
      </c>
      <c r="O100" s="177">
        <v>9.35</v>
      </c>
      <c r="P100" s="177">
        <v>9.65</v>
      </c>
      <c r="Q100" s="177">
        <v>9.65</v>
      </c>
      <c r="R100" s="177">
        <v>3</v>
      </c>
      <c r="S100" s="177">
        <v>3</v>
      </c>
      <c r="T100" s="179">
        <v>9.4</v>
      </c>
      <c r="U100" s="177">
        <v>10.039999999999999</v>
      </c>
      <c r="V100" s="177">
        <v>0</v>
      </c>
      <c r="W100" s="177">
        <v>0</v>
      </c>
      <c r="X100" s="188">
        <v>35193.379999999997</v>
      </c>
      <c r="Y100" s="188"/>
      <c r="Z100" s="188">
        <v>25000</v>
      </c>
      <c r="AA100" s="188">
        <v>0</v>
      </c>
      <c r="AB100" s="188">
        <v>12171.58</v>
      </c>
      <c r="AC100" s="188">
        <v>72364.960000000006</v>
      </c>
      <c r="AD100" s="181">
        <v>795852</v>
      </c>
      <c r="AE100" s="177" t="s">
        <v>161</v>
      </c>
      <c r="AF100" s="182">
        <v>45149</v>
      </c>
      <c r="AG100" s="177"/>
      <c r="AH100" s="177"/>
      <c r="AI100" s="183"/>
      <c r="AJ100" s="183"/>
      <c r="AK100" s="177"/>
      <c r="AL100" s="177"/>
      <c r="AM100" s="177"/>
      <c r="AN100" s="177" t="s">
        <v>328</v>
      </c>
      <c r="AO100" s="177"/>
      <c r="AP100" s="183"/>
      <c r="AQ100" s="183"/>
      <c r="AR100" s="177" t="str">
        <f t="shared" si="53"/>
        <v>Renewal</v>
      </c>
      <c r="AS100" s="182" t="str">
        <f t="shared" si="54"/>
        <v>Q3 2023</v>
      </c>
      <c r="AT100" s="182" t="str">
        <f t="shared" si="55"/>
        <v>2H2023</v>
      </c>
      <c r="AU100" s="184" t="str">
        <f t="shared" si="56"/>
        <v>&lt; 20K</v>
      </c>
      <c r="AV100" s="179">
        <f t="shared" si="74"/>
        <v>15260</v>
      </c>
      <c r="AW100" s="233">
        <f t="shared" si="57"/>
        <v>83472.2</v>
      </c>
      <c r="AX100" s="233">
        <f t="shared" si="58"/>
        <v>142681</v>
      </c>
      <c r="AY100" s="198">
        <f t="shared" ref="AY100:AY113" si="75">IF(P100="","",J100*P100)</f>
        <v>147259</v>
      </c>
      <c r="AZ100" s="233">
        <f t="shared" ref="AZ100:AZ109" si="76">IFERROR(Q100*AV100,"")</f>
        <v>147259</v>
      </c>
      <c r="BA100" s="233">
        <f t="shared" si="59"/>
        <v>147259</v>
      </c>
      <c r="BB100" s="233">
        <f t="shared" si="60"/>
        <v>147259</v>
      </c>
      <c r="BC100" s="233">
        <f t="shared" ref="BC100:BC131" si="77">AG100*J100</f>
        <v>0</v>
      </c>
      <c r="BD100" s="233">
        <f t="shared" ref="BD100:BD109" si="78">AH100*J100</f>
        <v>0</v>
      </c>
      <c r="BE100" s="233">
        <f t="shared" si="62"/>
        <v>0</v>
      </c>
      <c r="BF100" s="233">
        <f t="shared" si="63"/>
        <v>0</v>
      </c>
      <c r="BG100" s="233">
        <f t="shared" si="64"/>
        <v>0</v>
      </c>
      <c r="BH100" s="186">
        <f t="shared" si="65"/>
        <v>147259</v>
      </c>
      <c r="BI100" s="233">
        <f t="shared" si="66"/>
        <v>0.99185082066291363</v>
      </c>
      <c r="BJ100" s="233">
        <f t="shared" si="67"/>
        <v>146058.96000000002</v>
      </c>
      <c r="BK100" s="233">
        <f t="shared" si="68"/>
        <v>143444</v>
      </c>
      <c r="BL100" s="233">
        <f t="shared" si="69"/>
        <v>153210.4</v>
      </c>
      <c r="BM100" s="233">
        <f t="shared" si="70"/>
        <v>45780</v>
      </c>
      <c r="BN100" s="233">
        <f t="shared" si="71"/>
        <v>45780</v>
      </c>
    </row>
    <row r="101" spans="1:66" s="198" customFormat="1" hidden="1" outlineLevel="1">
      <c r="A101" s="186" t="s">
        <v>439</v>
      </c>
      <c r="B101" s="176" t="s">
        <v>143</v>
      </c>
      <c r="C101" s="176"/>
      <c r="D101" s="176"/>
      <c r="E101" s="176"/>
      <c r="F101" s="176" t="s">
        <v>153</v>
      </c>
      <c r="G101" s="176">
        <f>_xlfn.XLOOKUP(AN101,[2]ySQL_0_24102024094604!$B:$B,[2]ySQL_0_24102024094604!$D:$D,0)</f>
        <v>0</v>
      </c>
      <c r="H101" s="176" t="s">
        <v>440</v>
      </c>
      <c r="I101" s="177">
        <v>62</v>
      </c>
      <c r="J101" s="178">
        <v>58255</v>
      </c>
      <c r="K101" s="178">
        <f>_xlfn.XLOOKUP(AN101,'[3]Main Data Table'!$B:$B,'[3]Main Data Table'!$AB:$AB,0)</f>
        <v>10974766.029999999</v>
      </c>
      <c r="L101" s="178">
        <v>58255</v>
      </c>
      <c r="M101" s="190">
        <f>Q101/(K101/L101)</f>
        <v>5.3877071126955042E-2</v>
      </c>
      <c r="N101" s="177">
        <v>10.1</v>
      </c>
      <c r="O101" s="177">
        <v>10.199999999999999</v>
      </c>
      <c r="P101" s="177">
        <v>9.6</v>
      </c>
      <c r="Q101" s="177">
        <v>10.15</v>
      </c>
      <c r="R101" s="177">
        <v>4</v>
      </c>
      <c r="S101" s="177">
        <v>3.5</v>
      </c>
      <c r="T101" s="179">
        <f t="shared" ref="T101:T108" si="79">AC101/AD101*100</f>
        <v>6.5546014577477978</v>
      </c>
      <c r="U101" s="185"/>
      <c r="V101" s="177">
        <v>3</v>
      </c>
      <c r="W101" s="177">
        <v>0</v>
      </c>
      <c r="X101" s="180">
        <v>112709.66</v>
      </c>
      <c r="Y101" s="180"/>
      <c r="Z101" s="180"/>
      <c r="AA101" s="180"/>
      <c r="AB101" s="187">
        <v>98499.23</v>
      </c>
      <c r="AC101" s="180">
        <f>SUM(X101:AB101)</f>
        <v>211208.89</v>
      </c>
      <c r="AD101" s="187">
        <v>3222299.5</v>
      </c>
      <c r="AE101" s="177" t="s">
        <v>147</v>
      </c>
      <c r="AF101" s="182">
        <v>45471</v>
      </c>
      <c r="AG101" s="177"/>
      <c r="AH101" s="177"/>
      <c r="AI101" s="183"/>
      <c r="AJ101" s="183"/>
      <c r="AK101" s="177"/>
      <c r="AL101" s="177"/>
      <c r="AM101" s="177"/>
      <c r="AN101" s="177" t="s">
        <v>441</v>
      </c>
      <c r="AO101" s="177"/>
      <c r="AP101" s="183"/>
      <c r="AQ101" s="183"/>
      <c r="AR101" s="177" t="str">
        <f t="shared" ref="AR101:AR132" si="80">IF(B101="Expansion","New Lease",IF(B101="Early Renewal","Renewal",IF(B101="Renewal per Option","Renewal",IF(B101="Renewal","Renewal",B101))))</f>
        <v>New Lease</v>
      </c>
      <c r="AS101" s="182" t="str">
        <f t="shared" ref="AS101:AS132" si="81">"Q"&amp;ROUNDUP(MONTH(AF101)/3,0)&amp;" "&amp;YEAR(AF101)</f>
        <v>Q2 2024</v>
      </c>
      <c r="AT101" s="182" t="str">
        <f t="shared" ref="AT101:AT132" si="82">(MONTH(AF101)&gt;6)+1&amp;"H"&amp;YEAR(AF101)</f>
        <v>1H2024</v>
      </c>
      <c r="AU101" s="184" t="str">
        <f t="shared" ref="AU101:AU132" si="83">IF(J101&lt;$A$223,$A$228,IF(J101&lt;$A$224,$A$229,IF(J101&lt;$A$225,$A$230,IF(J101&gt;$A$225,$A$231))))</f>
        <v>50-100K</v>
      </c>
      <c r="AV101" s="179">
        <f t="shared" si="74"/>
        <v>58255</v>
      </c>
      <c r="AW101" s="233">
        <f t="shared" ref="AW101:AW132" si="84">IFERROR(N101*AV101,"")</f>
        <v>588375.5</v>
      </c>
      <c r="AX101" s="233">
        <f t="shared" ref="AX101:AX132" si="85">J101*O101</f>
        <v>594201</v>
      </c>
      <c r="AY101" s="198">
        <f t="shared" si="75"/>
        <v>559248</v>
      </c>
      <c r="AZ101" s="233">
        <f t="shared" si="76"/>
        <v>591288.25</v>
      </c>
      <c r="BA101" s="233">
        <f t="shared" ref="BA101:BA132" si="86">J101*Q101</f>
        <v>591288.25</v>
      </c>
      <c r="BB101" s="233">
        <f t="shared" ref="BB101:BB132" si="87">IF(N101&gt;0,Q101*J101,"")</f>
        <v>591288.25</v>
      </c>
      <c r="BC101" s="233">
        <f t="shared" si="77"/>
        <v>0</v>
      </c>
      <c r="BD101" s="233">
        <f t="shared" si="78"/>
        <v>0</v>
      </c>
      <c r="BE101" s="233">
        <f t="shared" ref="BE101:BE132" si="88">V101*J101</f>
        <v>174765</v>
      </c>
      <c r="BF101" s="233">
        <f t="shared" ref="BF101:BF132" si="89">IF(AR101="New Lease",J101,0)</f>
        <v>58255</v>
      </c>
      <c r="BG101" s="233">
        <f t="shared" ref="BG101:BG132" si="90">W101*J101</f>
        <v>0</v>
      </c>
      <c r="BH101" s="186">
        <f t="shared" ref="BH101:BH132" si="91">IF(BI101&gt;0,Q101*J101,"")</f>
        <v>591288.25</v>
      </c>
      <c r="BI101" s="233">
        <f t="shared" ref="BI101:BI132" si="92">AB101/((J101*Q101)/12)</f>
        <v>1.9990093833253069</v>
      </c>
      <c r="BJ101" s="233">
        <f t="shared" ref="BJ101:BJ132" si="93">BI101*J101*Q101</f>
        <v>1181990.7599999998</v>
      </c>
      <c r="BK101" s="233">
        <f t="shared" ref="BK101:BK132" si="94">J101*T101</f>
        <v>381838.30792109796</v>
      </c>
      <c r="BL101" s="233">
        <f t="shared" ref="BL101:BL132" si="95">J101*U101</f>
        <v>0</v>
      </c>
      <c r="BM101" s="233">
        <f t="shared" ref="BM101:BM132" si="96">J101*R101</f>
        <v>233020</v>
      </c>
      <c r="BN101" s="233">
        <f t="shared" ref="BN101:BN132" si="97">J101*S101</f>
        <v>203892.5</v>
      </c>
    </row>
    <row r="102" spans="1:66" s="198" customFormat="1" hidden="1" outlineLevel="1">
      <c r="A102" s="176" t="s">
        <v>442</v>
      </c>
      <c r="B102" s="176" t="s">
        <v>143</v>
      </c>
      <c r="C102" s="176"/>
      <c r="D102" s="176"/>
      <c r="E102" s="176"/>
      <c r="F102" s="176" t="s">
        <v>173</v>
      </c>
      <c r="G102" s="176">
        <f>_xlfn.XLOOKUP(AN102,[2]ySQL_0_24102024094604!$B:$B,[2]ySQL_0_24102024094604!$D:$D,0)</f>
        <v>0</v>
      </c>
      <c r="H102" s="176" t="s">
        <v>443</v>
      </c>
      <c r="I102" s="177">
        <v>62</v>
      </c>
      <c r="J102" s="178">
        <v>11701</v>
      </c>
      <c r="K102" s="178">
        <f>_xlfn.XLOOKUP(AN102,'[3]Main Data Table'!$B:$B,'[3]Main Data Table'!$AB:$AB,0)</f>
        <v>3670506.7980262642</v>
      </c>
      <c r="L102" s="178">
        <v>23478</v>
      </c>
      <c r="M102" s="190">
        <f>Q102/(K102/L102)</f>
        <v>9.2747682740448645E-2</v>
      </c>
      <c r="N102" s="177">
        <v>11</v>
      </c>
      <c r="O102" s="177">
        <v>12.43</v>
      </c>
      <c r="P102" s="177">
        <v>14.47</v>
      </c>
      <c r="Q102" s="177">
        <v>14.5</v>
      </c>
      <c r="R102" s="177">
        <v>3.5</v>
      </c>
      <c r="S102" s="177">
        <v>3</v>
      </c>
      <c r="T102" s="179">
        <f t="shared" si="79"/>
        <v>24.467879077767034</v>
      </c>
      <c r="U102" s="185"/>
      <c r="V102" s="177">
        <v>3</v>
      </c>
      <c r="W102" s="177">
        <v>6</v>
      </c>
      <c r="X102" s="188">
        <v>68634.600000000006</v>
      </c>
      <c r="Y102" s="180">
        <f>Z102/J102</f>
        <v>10.853773181779335</v>
      </c>
      <c r="Z102" s="188">
        <v>127000</v>
      </c>
      <c r="AA102" s="188">
        <v>0</v>
      </c>
      <c r="AB102" s="188">
        <v>28277.81</v>
      </c>
      <c r="AC102" s="188">
        <f>X102+Z102+AA102+AB102</f>
        <v>223912.41</v>
      </c>
      <c r="AD102" s="189">
        <v>915127.99</v>
      </c>
      <c r="AE102" s="177" t="s">
        <v>147</v>
      </c>
      <c r="AF102" s="182">
        <v>45433</v>
      </c>
      <c r="AG102" s="177"/>
      <c r="AH102" s="177"/>
      <c r="AI102" s="183"/>
      <c r="AJ102" s="183"/>
      <c r="AK102" s="177"/>
      <c r="AL102" s="177"/>
      <c r="AM102" s="177"/>
      <c r="AN102" s="177" t="s">
        <v>444</v>
      </c>
      <c r="AO102" s="177"/>
      <c r="AP102" s="183"/>
      <c r="AQ102" s="183"/>
      <c r="AR102" s="177" t="str">
        <f t="shared" si="80"/>
        <v>New Lease</v>
      </c>
      <c r="AS102" s="182" t="str">
        <f t="shared" si="81"/>
        <v>Q2 2024</v>
      </c>
      <c r="AT102" s="182" t="str">
        <f t="shared" si="82"/>
        <v>1H2024</v>
      </c>
      <c r="AU102" s="184" t="str">
        <f t="shared" si="83"/>
        <v>&lt; 20K</v>
      </c>
      <c r="AV102" s="179">
        <f t="shared" si="74"/>
        <v>11701</v>
      </c>
      <c r="AW102" s="233">
        <f t="shared" si="84"/>
        <v>128711</v>
      </c>
      <c r="AX102" s="233">
        <f t="shared" si="85"/>
        <v>145443.43</v>
      </c>
      <c r="AY102" s="198">
        <f t="shared" si="75"/>
        <v>169313.47</v>
      </c>
      <c r="AZ102" s="233">
        <f t="shared" si="76"/>
        <v>169664.5</v>
      </c>
      <c r="BA102" s="233">
        <f t="shared" si="86"/>
        <v>169664.5</v>
      </c>
      <c r="BB102" s="233">
        <f t="shared" si="87"/>
        <v>169664.5</v>
      </c>
      <c r="BC102" s="233">
        <f t="shared" si="77"/>
        <v>0</v>
      </c>
      <c r="BD102" s="233">
        <f t="shared" si="78"/>
        <v>0</v>
      </c>
      <c r="BE102" s="233">
        <f t="shared" si="88"/>
        <v>35103</v>
      </c>
      <c r="BF102" s="233">
        <f t="shared" si="89"/>
        <v>11701</v>
      </c>
      <c r="BG102" s="233">
        <f t="shared" si="90"/>
        <v>70206</v>
      </c>
      <c r="BH102" s="186">
        <f t="shared" si="91"/>
        <v>169664.5</v>
      </c>
      <c r="BI102" s="233">
        <f t="shared" si="92"/>
        <v>2.0000278196086985</v>
      </c>
      <c r="BJ102" s="233">
        <f t="shared" si="93"/>
        <v>339333.72000000003</v>
      </c>
      <c r="BK102" s="233">
        <f t="shared" si="94"/>
        <v>286298.65308895207</v>
      </c>
      <c r="BL102" s="233">
        <f t="shared" si="95"/>
        <v>0</v>
      </c>
      <c r="BM102" s="233">
        <f t="shared" si="96"/>
        <v>40953.5</v>
      </c>
      <c r="BN102" s="233">
        <f t="shared" si="97"/>
        <v>35103</v>
      </c>
    </row>
    <row r="103" spans="1:66" s="198" customFormat="1" outlineLevel="1">
      <c r="A103" s="176" t="s">
        <v>445</v>
      </c>
      <c r="B103" s="176" t="s">
        <v>157</v>
      </c>
      <c r="C103" s="176"/>
      <c r="D103" s="176"/>
      <c r="E103" s="176"/>
      <c r="F103" s="176" t="s">
        <v>153</v>
      </c>
      <c r="G103" s="176">
        <f>_xlfn.XLOOKUP(AN103,[2]ySQL_0_24102024094604!$B:$B,[2]ySQL_0_24102024094604!$D:$D,0)</f>
        <v>0</v>
      </c>
      <c r="H103" s="176" t="s">
        <v>446</v>
      </c>
      <c r="I103" s="177">
        <v>60</v>
      </c>
      <c r="J103" s="178">
        <v>22500</v>
      </c>
      <c r="K103" s="178"/>
      <c r="L103" s="178"/>
      <c r="M103" s="178"/>
      <c r="N103" s="177">
        <v>5.67</v>
      </c>
      <c r="O103" s="177">
        <v>6.23</v>
      </c>
      <c r="P103" s="177">
        <v>6.08</v>
      </c>
      <c r="Q103" s="177">
        <v>8</v>
      </c>
      <c r="R103" s="177">
        <v>3</v>
      </c>
      <c r="S103" s="177">
        <v>3</v>
      </c>
      <c r="T103" s="179">
        <f t="shared" si="79"/>
        <v>13.301606037394679</v>
      </c>
      <c r="U103" s="177">
        <v>2.7</v>
      </c>
      <c r="V103" s="177">
        <v>0</v>
      </c>
      <c r="W103" s="177">
        <v>0</v>
      </c>
      <c r="X103" s="188">
        <v>77116</v>
      </c>
      <c r="Y103" s="180">
        <f>Z103/J103</f>
        <v>2.2222222222222223</v>
      </c>
      <c r="Z103" s="188">
        <v>50000</v>
      </c>
      <c r="AA103" s="188">
        <v>0</v>
      </c>
      <c r="AB103" s="188">
        <v>0</v>
      </c>
      <c r="AC103" s="188">
        <v>127116</v>
      </c>
      <c r="AD103" s="181">
        <v>955644</v>
      </c>
      <c r="AE103" s="177" t="s">
        <v>147</v>
      </c>
      <c r="AF103" s="182">
        <v>45110</v>
      </c>
      <c r="AG103" s="177">
        <v>6</v>
      </c>
      <c r="AH103" s="177" t="s">
        <v>167</v>
      </c>
      <c r="AI103" s="183">
        <v>25</v>
      </c>
      <c r="AJ103" s="183" t="s">
        <v>167</v>
      </c>
      <c r="AK103" s="177">
        <v>8.6</v>
      </c>
      <c r="AL103" s="177"/>
      <c r="AM103" s="177"/>
      <c r="AN103" s="177" t="s">
        <v>447</v>
      </c>
      <c r="AO103" s="177"/>
      <c r="AP103" s="183"/>
      <c r="AQ103" s="183"/>
      <c r="AR103" s="177" t="str">
        <f t="shared" si="80"/>
        <v>Renewal</v>
      </c>
      <c r="AS103" s="182" t="str">
        <f t="shared" si="81"/>
        <v>Q3 2023</v>
      </c>
      <c r="AT103" s="182" t="str">
        <f t="shared" si="82"/>
        <v>2H2023</v>
      </c>
      <c r="AU103" s="184" t="str">
        <f t="shared" si="83"/>
        <v>20-50K</v>
      </c>
      <c r="AV103" s="179">
        <f t="shared" si="74"/>
        <v>22500</v>
      </c>
      <c r="AW103" s="233">
        <f t="shared" si="84"/>
        <v>127575</v>
      </c>
      <c r="AX103" s="233">
        <f t="shared" si="85"/>
        <v>140175</v>
      </c>
      <c r="AY103" s="198">
        <f t="shared" si="75"/>
        <v>136800</v>
      </c>
      <c r="AZ103" s="233">
        <f t="shared" si="76"/>
        <v>180000</v>
      </c>
      <c r="BA103" s="233">
        <f t="shared" si="86"/>
        <v>180000</v>
      </c>
      <c r="BB103" s="233">
        <f t="shared" si="87"/>
        <v>180000</v>
      </c>
      <c r="BC103" s="233">
        <f t="shared" si="77"/>
        <v>135000</v>
      </c>
      <c r="BD103" s="233" t="e">
        <f t="shared" si="78"/>
        <v>#VALUE!</v>
      </c>
      <c r="BE103" s="233">
        <f t="shared" si="88"/>
        <v>0</v>
      </c>
      <c r="BF103" s="233">
        <f t="shared" si="89"/>
        <v>0</v>
      </c>
      <c r="BG103" s="233">
        <f t="shared" si="90"/>
        <v>0</v>
      </c>
      <c r="BH103" s="186" t="str">
        <f t="shared" si="91"/>
        <v/>
      </c>
      <c r="BI103" s="233">
        <f t="shared" si="92"/>
        <v>0</v>
      </c>
      <c r="BJ103" s="233">
        <f t="shared" si="93"/>
        <v>0</v>
      </c>
      <c r="BK103" s="233">
        <f t="shared" si="94"/>
        <v>299286.13584138028</v>
      </c>
      <c r="BL103" s="233">
        <f t="shared" si="95"/>
        <v>60750.000000000007</v>
      </c>
      <c r="BM103" s="233">
        <f t="shared" si="96"/>
        <v>67500</v>
      </c>
      <c r="BN103" s="233">
        <f t="shared" si="97"/>
        <v>67500</v>
      </c>
    </row>
    <row r="104" spans="1:66" s="198" customFormat="1" hidden="1" outlineLevel="1">
      <c r="A104" s="176" t="s">
        <v>448</v>
      </c>
      <c r="B104" s="176" t="s">
        <v>252</v>
      </c>
      <c r="C104" s="176"/>
      <c r="D104" s="176"/>
      <c r="E104" s="176"/>
      <c r="F104" s="176" t="s">
        <v>153</v>
      </c>
      <c r="G104" s="176">
        <f>_xlfn.XLOOKUP(AN104,[2]ySQL_0_24102024094604!$B:$B,[2]ySQL_0_24102024094604!$D:$D,0)</f>
        <v>0</v>
      </c>
      <c r="H104" s="176" t="s">
        <v>449</v>
      </c>
      <c r="I104" s="177">
        <v>61</v>
      </c>
      <c r="J104" s="178">
        <v>45376</v>
      </c>
      <c r="K104" s="178"/>
      <c r="L104" s="178"/>
      <c r="M104" s="178"/>
      <c r="N104" s="177">
        <v>6</v>
      </c>
      <c r="O104" s="177">
        <v>6.36</v>
      </c>
      <c r="P104" s="177">
        <v>6.18</v>
      </c>
      <c r="Q104" s="177">
        <v>5.91</v>
      </c>
      <c r="R104" s="177">
        <v>4</v>
      </c>
      <c r="S104" s="177">
        <v>3</v>
      </c>
      <c r="T104" s="179">
        <f t="shared" si="79"/>
        <v>15.751919605735493</v>
      </c>
      <c r="U104" s="177">
        <v>15.06</v>
      </c>
      <c r="V104" s="177">
        <v>0</v>
      </c>
      <c r="W104" s="177">
        <v>0</v>
      </c>
      <c r="X104" s="188">
        <v>118459.97</v>
      </c>
      <c r="Y104" s="180">
        <f>Z104/J104</f>
        <v>2.0318450282087448</v>
      </c>
      <c r="Z104" s="188">
        <v>92197</v>
      </c>
      <c r="AA104" s="188">
        <v>0</v>
      </c>
      <c r="AB104" s="188">
        <v>22347</v>
      </c>
      <c r="AC104" s="188">
        <v>233003.97</v>
      </c>
      <c r="AD104" s="181">
        <v>1479210</v>
      </c>
      <c r="AE104" s="177" t="s">
        <v>147</v>
      </c>
      <c r="AF104" s="182">
        <v>45113</v>
      </c>
      <c r="AG104" s="177" t="s">
        <v>167</v>
      </c>
      <c r="AH104" s="177" t="s">
        <v>167</v>
      </c>
      <c r="AI104" s="183" t="s">
        <v>167</v>
      </c>
      <c r="AJ104" s="183" t="s">
        <v>167</v>
      </c>
      <c r="AK104" s="177">
        <v>7.4</v>
      </c>
      <c r="AL104" s="177"/>
      <c r="AM104" s="177"/>
      <c r="AN104" s="177" t="s">
        <v>450</v>
      </c>
      <c r="AO104" s="177"/>
      <c r="AP104" s="183"/>
      <c r="AQ104" s="183"/>
      <c r="AR104" s="177" t="str">
        <f t="shared" si="80"/>
        <v>Renewal</v>
      </c>
      <c r="AS104" s="182" t="str">
        <f t="shared" si="81"/>
        <v>Q3 2023</v>
      </c>
      <c r="AT104" s="182" t="str">
        <f t="shared" si="82"/>
        <v>2H2023</v>
      </c>
      <c r="AU104" s="184" t="str">
        <f t="shared" si="83"/>
        <v>20-50K</v>
      </c>
      <c r="AV104" s="179">
        <f t="shared" si="74"/>
        <v>45376</v>
      </c>
      <c r="AW104" s="233">
        <f t="shared" si="84"/>
        <v>272256</v>
      </c>
      <c r="AX104" s="233">
        <f t="shared" si="85"/>
        <v>288591.35999999999</v>
      </c>
      <c r="AY104" s="198">
        <f t="shared" si="75"/>
        <v>280423.67999999999</v>
      </c>
      <c r="AZ104" s="233">
        <f t="shared" si="76"/>
        <v>268172.16000000003</v>
      </c>
      <c r="BA104" s="233">
        <f t="shared" si="86"/>
        <v>268172.16000000003</v>
      </c>
      <c r="BB104" s="233">
        <f t="shared" si="87"/>
        <v>268172.16000000003</v>
      </c>
      <c r="BC104" s="233" t="e">
        <f t="shared" si="77"/>
        <v>#VALUE!</v>
      </c>
      <c r="BD104" s="233" t="e">
        <f t="shared" si="78"/>
        <v>#VALUE!</v>
      </c>
      <c r="BE104" s="233">
        <f t="shared" si="88"/>
        <v>0</v>
      </c>
      <c r="BF104" s="233">
        <f t="shared" si="89"/>
        <v>0</v>
      </c>
      <c r="BG104" s="233">
        <f t="shared" si="90"/>
        <v>0</v>
      </c>
      <c r="BH104" s="186">
        <f t="shared" si="91"/>
        <v>268172.16000000003</v>
      </c>
      <c r="BI104" s="233">
        <f t="shared" si="92"/>
        <v>0.99996957178552748</v>
      </c>
      <c r="BJ104" s="233">
        <f t="shared" si="93"/>
        <v>268163.99999999994</v>
      </c>
      <c r="BK104" s="233">
        <f t="shared" si="94"/>
        <v>714759.10402985371</v>
      </c>
      <c r="BL104" s="233">
        <f t="shared" si="95"/>
        <v>683362.56</v>
      </c>
      <c r="BM104" s="233">
        <f t="shared" si="96"/>
        <v>181504</v>
      </c>
      <c r="BN104" s="233">
        <f t="shared" si="97"/>
        <v>136128</v>
      </c>
    </row>
    <row r="105" spans="1:66" s="198" customFormat="1" hidden="1" outlineLevel="1">
      <c r="A105" s="176" t="s">
        <v>451</v>
      </c>
      <c r="B105" s="176" t="s">
        <v>157</v>
      </c>
      <c r="C105" s="176"/>
      <c r="D105" s="176"/>
      <c r="E105" s="176"/>
      <c r="F105" s="176" t="s">
        <v>153</v>
      </c>
      <c r="G105" s="176">
        <f>_xlfn.XLOOKUP(AN105,[2]ySQL_0_24102024094604!$B:$B,[2]ySQL_0_24102024094604!$D:$D,0)</f>
        <v>0</v>
      </c>
      <c r="H105" s="176" t="s">
        <v>449</v>
      </c>
      <c r="I105" s="177">
        <v>61</v>
      </c>
      <c r="J105" s="178">
        <v>16704</v>
      </c>
      <c r="K105" s="178"/>
      <c r="L105" s="178"/>
      <c r="M105" s="178"/>
      <c r="N105" s="177">
        <v>7.62</v>
      </c>
      <c r="O105" s="177">
        <v>8.2200000000000006</v>
      </c>
      <c r="P105" s="177">
        <v>7.98</v>
      </c>
      <c r="Q105" s="177">
        <v>10.5</v>
      </c>
      <c r="R105" s="177">
        <v>4</v>
      </c>
      <c r="S105" s="177">
        <v>3</v>
      </c>
      <c r="T105" s="179">
        <f t="shared" si="79"/>
        <v>13.027326646296839</v>
      </c>
      <c r="U105" s="177">
        <v>13.72</v>
      </c>
      <c r="V105" s="177">
        <v>0</v>
      </c>
      <c r="W105" s="177">
        <v>0</v>
      </c>
      <c r="X105" s="188">
        <v>77476.09</v>
      </c>
      <c r="Y105" s="180">
        <f>Z105/J105</f>
        <v>2.0318486590038316</v>
      </c>
      <c r="Z105" s="188">
        <v>33940</v>
      </c>
      <c r="AA105" s="188">
        <v>0</v>
      </c>
      <c r="AB105" s="188">
        <v>14616</v>
      </c>
      <c r="AC105" s="188">
        <v>126032.09</v>
      </c>
      <c r="AD105" s="181">
        <v>967444</v>
      </c>
      <c r="AE105" s="177" t="s">
        <v>147</v>
      </c>
      <c r="AF105" s="182">
        <v>45113</v>
      </c>
      <c r="AG105" s="177" t="s">
        <v>167</v>
      </c>
      <c r="AH105" s="177" t="s">
        <v>167</v>
      </c>
      <c r="AI105" s="183" t="s">
        <v>167</v>
      </c>
      <c r="AJ105" s="183" t="s">
        <v>167</v>
      </c>
      <c r="AK105" s="177">
        <v>7.4</v>
      </c>
      <c r="AL105" s="177"/>
      <c r="AM105" s="177"/>
      <c r="AN105" s="177" t="s">
        <v>452</v>
      </c>
      <c r="AO105" s="177"/>
      <c r="AP105" s="183"/>
      <c r="AQ105" s="183"/>
      <c r="AR105" s="177" t="str">
        <f t="shared" si="80"/>
        <v>Renewal</v>
      </c>
      <c r="AS105" s="182" t="str">
        <f t="shared" si="81"/>
        <v>Q3 2023</v>
      </c>
      <c r="AT105" s="182" t="str">
        <f t="shared" si="82"/>
        <v>2H2023</v>
      </c>
      <c r="AU105" s="184" t="str">
        <f t="shared" si="83"/>
        <v>&lt; 20K</v>
      </c>
      <c r="AV105" s="179">
        <f t="shared" si="74"/>
        <v>16704</v>
      </c>
      <c r="AW105" s="233">
        <f t="shared" si="84"/>
        <v>127284.48</v>
      </c>
      <c r="AX105" s="233">
        <f t="shared" si="85"/>
        <v>137306.88</v>
      </c>
      <c r="AY105" s="198">
        <f t="shared" si="75"/>
        <v>133297.92000000001</v>
      </c>
      <c r="AZ105" s="233">
        <f t="shared" si="76"/>
        <v>175392</v>
      </c>
      <c r="BA105" s="233">
        <f t="shared" si="86"/>
        <v>175392</v>
      </c>
      <c r="BB105" s="233">
        <f t="shared" si="87"/>
        <v>175392</v>
      </c>
      <c r="BC105" s="233" t="e">
        <f t="shared" si="77"/>
        <v>#VALUE!</v>
      </c>
      <c r="BD105" s="233" t="e">
        <f t="shared" si="78"/>
        <v>#VALUE!</v>
      </c>
      <c r="BE105" s="233">
        <f t="shared" si="88"/>
        <v>0</v>
      </c>
      <c r="BF105" s="233">
        <f t="shared" si="89"/>
        <v>0</v>
      </c>
      <c r="BG105" s="233">
        <f t="shared" si="90"/>
        <v>0</v>
      </c>
      <c r="BH105" s="186">
        <f t="shared" si="91"/>
        <v>175392</v>
      </c>
      <c r="BI105" s="233">
        <f t="shared" si="92"/>
        <v>1</v>
      </c>
      <c r="BJ105" s="233">
        <f t="shared" si="93"/>
        <v>175392</v>
      </c>
      <c r="BK105" s="233">
        <f t="shared" si="94"/>
        <v>217608.46429974239</v>
      </c>
      <c r="BL105" s="233">
        <f t="shared" si="95"/>
        <v>229178.88</v>
      </c>
      <c r="BM105" s="233">
        <f t="shared" si="96"/>
        <v>66816</v>
      </c>
      <c r="BN105" s="233">
        <f t="shared" si="97"/>
        <v>50112</v>
      </c>
    </row>
    <row r="106" spans="1:66" s="198" customFormat="1" hidden="1" outlineLevel="1">
      <c r="A106" s="176" t="s">
        <v>453</v>
      </c>
      <c r="B106" s="176" t="s">
        <v>157</v>
      </c>
      <c r="C106" s="176"/>
      <c r="D106" s="176"/>
      <c r="E106" s="176"/>
      <c r="F106" s="176" t="s">
        <v>153</v>
      </c>
      <c r="G106" s="176">
        <f>_xlfn.XLOOKUP(AN106,[2]ySQL_0_24102024094604!$B:$B,[2]ySQL_0_24102024094604!$D:$D,0)</f>
        <v>0</v>
      </c>
      <c r="H106" s="176" t="s">
        <v>449</v>
      </c>
      <c r="I106" s="177">
        <v>61</v>
      </c>
      <c r="J106" s="178">
        <v>36352</v>
      </c>
      <c r="K106" s="178"/>
      <c r="L106" s="178"/>
      <c r="M106" s="178"/>
      <c r="N106" s="177">
        <v>7.16</v>
      </c>
      <c r="O106" s="177">
        <v>7.16</v>
      </c>
      <c r="P106" s="177">
        <v>7.21</v>
      </c>
      <c r="Q106" s="177">
        <v>10.5</v>
      </c>
      <c r="R106" s="177">
        <v>4</v>
      </c>
      <c r="S106" s="177">
        <v>3</v>
      </c>
      <c r="T106" s="179">
        <f t="shared" si="79"/>
        <v>13.027334050221429</v>
      </c>
      <c r="U106" s="177">
        <v>14.4</v>
      </c>
      <c r="V106" s="177">
        <v>0</v>
      </c>
      <c r="W106" s="177">
        <v>0</v>
      </c>
      <c r="X106" s="188">
        <v>168606.97</v>
      </c>
      <c r="Y106" s="180">
        <f>Z106/J106</f>
        <v>2.031855193661972</v>
      </c>
      <c r="Z106" s="188">
        <v>73862</v>
      </c>
      <c r="AA106" s="188">
        <v>0</v>
      </c>
      <c r="AB106" s="188">
        <v>31808</v>
      </c>
      <c r="AC106" s="188">
        <v>274276.96999999997</v>
      </c>
      <c r="AD106" s="181">
        <v>2105396</v>
      </c>
      <c r="AE106" s="177" t="s">
        <v>147</v>
      </c>
      <c r="AF106" s="182">
        <v>45113</v>
      </c>
      <c r="AG106" s="177">
        <v>0</v>
      </c>
      <c r="AH106" s="177" t="s">
        <v>167</v>
      </c>
      <c r="AI106" s="183" t="s">
        <v>167</v>
      </c>
      <c r="AJ106" s="183" t="s">
        <v>167</v>
      </c>
      <c r="AK106" s="177">
        <v>7.4</v>
      </c>
      <c r="AL106" s="177"/>
      <c r="AM106" s="177"/>
      <c r="AN106" s="177" t="s">
        <v>454</v>
      </c>
      <c r="AO106" s="177"/>
      <c r="AP106" s="183"/>
      <c r="AQ106" s="183"/>
      <c r="AR106" s="177" t="str">
        <f t="shared" si="80"/>
        <v>Renewal</v>
      </c>
      <c r="AS106" s="182" t="str">
        <f t="shared" si="81"/>
        <v>Q3 2023</v>
      </c>
      <c r="AT106" s="182" t="str">
        <f t="shared" si="82"/>
        <v>2H2023</v>
      </c>
      <c r="AU106" s="184" t="str">
        <f t="shared" si="83"/>
        <v>20-50K</v>
      </c>
      <c r="AV106" s="179">
        <f t="shared" si="74"/>
        <v>36352</v>
      </c>
      <c r="AW106" s="233">
        <f t="shared" si="84"/>
        <v>260280.32000000001</v>
      </c>
      <c r="AX106" s="233">
        <f t="shared" si="85"/>
        <v>260280.32000000001</v>
      </c>
      <c r="AY106" s="198">
        <f t="shared" si="75"/>
        <v>262097.92000000001</v>
      </c>
      <c r="AZ106" s="233">
        <f t="shared" si="76"/>
        <v>381696</v>
      </c>
      <c r="BA106" s="233">
        <f t="shared" si="86"/>
        <v>381696</v>
      </c>
      <c r="BB106" s="233">
        <f t="shared" si="87"/>
        <v>381696</v>
      </c>
      <c r="BC106" s="233">
        <f t="shared" si="77"/>
        <v>0</v>
      </c>
      <c r="BD106" s="233" t="e">
        <f t="shared" si="78"/>
        <v>#VALUE!</v>
      </c>
      <c r="BE106" s="233">
        <f t="shared" si="88"/>
        <v>0</v>
      </c>
      <c r="BF106" s="233">
        <f t="shared" si="89"/>
        <v>0</v>
      </c>
      <c r="BG106" s="233">
        <f t="shared" si="90"/>
        <v>0</v>
      </c>
      <c r="BH106" s="186">
        <f t="shared" si="91"/>
        <v>381696</v>
      </c>
      <c r="BI106" s="233">
        <f t="shared" si="92"/>
        <v>1</v>
      </c>
      <c r="BJ106" s="233">
        <f t="shared" si="93"/>
        <v>381696</v>
      </c>
      <c r="BK106" s="233">
        <f t="shared" si="94"/>
        <v>473569.64739364939</v>
      </c>
      <c r="BL106" s="233">
        <f t="shared" si="95"/>
        <v>523468.79999999999</v>
      </c>
      <c r="BM106" s="233">
        <f t="shared" si="96"/>
        <v>145408</v>
      </c>
      <c r="BN106" s="233">
        <f t="shared" si="97"/>
        <v>109056</v>
      </c>
    </row>
    <row r="107" spans="1:66" s="198" customFormat="1" hidden="1" outlineLevel="1">
      <c r="A107" s="176" t="s">
        <v>455</v>
      </c>
      <c r="B107" s="176" t="s">
        <v>143</v>
      </c>
      <c r="C107" s="176"/>
      <c r="D107" s="176"/>
      <c r="E107" s="176"/>
      <c r="F107" s="176" t="s">
        <v>244</v>
      </c>
      <c r="G107" s="176" t="str">
        <f>_xlfn.XLOOKUP(AN107,[2]ySQL_0_24102024094604!$B:$B,[2]ySQL_0_24102024094604!$D:$D,0)</f>
        <v>Yes</v>
      </c>
      <c r="H107" s="176" t="s">
        <v>456</v>
      </c>
      <c r="I107" s="177">
        <v>62</v>
      </c>
      <c r="J107" s="178">
        <v>23272</v>
      </c>
      <c r="K107" s="178">
        <f>_xlfn.XLOOKUP(AN107,'[3]Main Data Table'!$B:$B,'[3]Main Data Table'!$AB:$AB,0)</f>
        <v>5154702.8347228011</v>
      </c>
      <c r="L107" s="178">
        <v>47175</v>
      </c>
      <c r="M107" s="190">
        <f>Q107/(K107/L107)</f>
        <v>9.7924655636748181E-2</v>
      </c>
      <c r="N107" s="177">
        <v>4.74</v>
      </c>
      <c r="O107" s="177">
        <v>9.6300000000000008</v>
      </c>
      <c r="P107" s="177">
        <v>10.1</v>
      </c>
      <c r="Q107" s="177">
        <v>10.7</v>
      </c>
      <c r="R107" s="177">
        <v>4</v>
      </c>
      <c r="S107" s="177">
        <v>3</v>
      </c>
      <c r="T107" s="179">
        <f t="shared" si="79"/>
        <v>13.234808633572367</v>
      </c>
      <c r="U107" s="185"/>
      <c r="V107" s="177">
        <v>3</v>
      </c>
      <c r="W107" s="177">
        <v>6</v>
      </c>
      <c r="X107" s="188">
        <v>91645.489999999991</v>
      </c>
      <c r="Y107" s="188"/>
      <c r="Z107" s="188">
        <v>46544</v>
      </c>
      <c r="AA107" s="188">
        <v>0</v>
      </c>
      <c r="AB107" s="188">
        <v>41500.959999999999</v>
      </c>
      <c r="AC107" s="188">
        <f>X107+Z107+AA107+AB107</f>
        <v>179690.44999999998</v>
      </c>
      <c r="AD107" s="189">
        <v>1357710.98</v>
      </c>
      <c r="AE107" s="177" t="s">
        <v>161</v>
      </c>
      <c r="AF107" s="182">
        <v>45404</v>
      </c>
      <c r="AG107" s="177"/>
      <c r="AH107" s="177"/>
      <c r="AI107" s="183"/>
      <c r="AJ107" s="183"/>
      <c r="AK107" s="177"/>
      <c r="AL107" s="177"/>
      <c r="AM107" s="177"/>
      <c r="AN107" s="177" t="s">
        <v>457</v>
      </c>
      <c r="AO107" s="177"/>
      <c r="AP107" s="183"/>
      <c r="AQ107" s="183"/>
      <c r="AR107" s="177" t="str">
        <f t="shared" si="80"/>
        <v>New Lease</v>
      </c>
      <c r="AS107" s="182" t="str">
        <f t="shared" si="81"/>
        <v>Q2 2024</v>
      </c>
      <c r="AT107" s="182" t="str">
        <f t="shared" si="82"/>
        <v>1H2024</v>
      </c>
      <c r="AU107" s="184" t="str">
        <f t="shared" si="83"/>
        <v>20-50K</v>
      </c>
      <c r="AV107" s="179">
        <f t="shared" si="74"/>
        <v>23272</v>
      </c>
      <c r="AW107" s="233">
        <f t="shared" si="84"/>
        <v>110309.28</v>
      </c>
      <c r="AX107" s="233">
        <f t="shared" si="85"/>
        <v>224109.36000000002</v>
      </c>
      <c r="AY107" s="198">
        <f t="shared" si="75"/>
        <v>235047.19999999998</v>
      </c>
      <c r="AZ107" s="233">
        <f t="shared" si="76"/>
        <v>249010.4</v>
      </c>
      <c r="BA107" s="233">
        <f t="shared" si="86"/>
        <v>249010.4</v>
      </c>
      <c r="BB107" s="233">
        <f t="shared" si="87"/>
        <v>249010.4</v>
      </c>
      <c r="BC107" s="233">
        <f t="shared" si="77"/>
        <v>0</v>
      </c>
      <c r="BD107" s="233">
        <f t="shared" si="78"/>
        <v>0</v>
      </c>
      <c r="BE107" s="233">
        <f t="shared" si="88"/>
        <v>69816</v>
      </c>
      <c r="BF107" s="233">
        <f t="shared" si="89"/>
        <v>23272</v>
      </c>
      <c r="BG107" s="233">
        <f t="shared" si="90"/>
        <v>139632</v>
      </c>
      <c r="BH107" s="186">
        <f t="shared" si="91"/>
        <v>249010.4</v>
      </c>
      <c r="BI107" s="233">
        <f t="shared" si="92"/>
        <v>1.99996273248025</v>
      </c>
      <c r="BJ107" s="233">
        <f t="shared" si="93"/>
        <v>498011.52</v>
      </c>
      <c r="BK107" s="233">
        <f t="shared" si="94"/>
        <v>308000.46652049612</v>
      </c>
      <c r="BL107" s="233">
        <f t="shared" si="95"/>
        <v>0</v>
      </c>
      <c r="BM107" s="233">
        <f t="shared" si="96"/>
        <v>93088</v>
      </c>
      <c r="BN107" s="233">
        <f t="shared" si="97"/>
        <v>69816</v>
      </c>
    </row>
    <row r="108" spans="1:66" s="198" customFormat="1" hidden="1" outlineLevel="1">
      <c r="A108" s="176" t="s">
        <v>311</v>
      </c>
      <c r="B108" s="176" t="s">
        <v>143</v>
      </c>
      <c r="C108" s="176"/>
      <c r="D108" s="176"/>
      <c r="E108" s="176"/>
      <c r="F108" s="176" t="s">
        <v>173</v>
      </c>
      <c r="G108" s="176">
        <f>_xlfn.XLOOKUP(AN108,[2]ySQL_0_24102024094604!$B:$B,[2]ySQL_0_24102024094604!$D:$D,0)</f>
        <v>0</v>
      </c>
      <c r="H108" s="176" t="s">
        <v>458</v>
      </c>
      <c r="I108" s="177">
        <v>123</v>
      </c>
      <c r="J108" s="178">
        <v>10000</v>
      </c>
      <c r="K108" s="178">
        <f>VLOOKUP(AN108,'[4]Performance Table'!$B$4:$BJ$388,61,0)</f>
        <v>21984241.829999998</v>
      </c>
      <c r="L108" s="178">
        <f>VLOOKUP(H108,'[5]Leasing Activity Report'!$F$4:$J$25,5,0)</f>
        <v>99919</v>
      </c>
      <c r="M108" s="190">
        <f>Q108/(K108/L108)</f>
        <v>7.2720451874687203E-2</v>
      </c>
      <c r="N108" s="177">
        <v>14.24</v>
      </c>
      <c r="O108" s="177">
        <v>16</v>
      </c>
      <c r="P108" s="177">
        <v>15.5</v>
      </c>
      <c r="Q108" s="177">
        <v>16</v>
      </c>
      <c r="R108" s="177">
        <v>3.5</v>
      </c>
      <c r="S108" s="177">
        <v>3.5</v>
      </c>
      <c r="T108" s="179">
        <f t="shared" si="79"/>
        <v>14.893617459500138</v>
      </c>
      <c r="U108" s="177"/>
      <c r="V108" s="177">
        <v>3</v>
      </c>
      <c r="W108" s="177">
        <v>2</v>
      </c>
      <c r="X108" s="188">
        <v>142014.37</v>
      </c>
      <c r="Y108" s="188"/>
      <c r="Z108" s="188">
        <v>100000</v>
      </c>
      <c r="AA108" s="188"/>
      <c r="AB108" s="188">
        <v>40000</v>
      </c>
      <c r="AC108" s="188">
        <f>SUM(X108:AB108)</f>
        <v>282014.37</v>
      </c>
      <c r="AD108" s="189">
        <v>1893525</v>
      </c>
      <c r="AE108" s="177" t="s">
        <v>161</v>
      </c>
      <c r="AF108" s="182">
        <v>45362</v>
      </c>
      <c r="AG108" s="177"/>
      <c r="AH108" s="177"/>
      <c r="AI108" s="183"/>
      <c r="AJ108" s="183"/>
      <c r="AK108" s="177"/>
      <c r="AL108" s="177"/>
      <c r="AM108" s="177"/>
      <c r="AN108" s="177" t="s">
        <v>313</v>
      </c>
      <c r="AO108" s="177"/>
      <c r="AP108" s="183"/>
      <c r="AQ108" s="183"/>
      <c r="AR108" s="177" t="str">
        <f t="shared" si="80"/>
        <v>New Lease</v>
      </c>
      <c r="AS108" s="182" t="str">
        <f t="shared" si="81"/>
        <v>Q1 2024</v>
      </c>
      <c r="AT108" s="182" t="str">
        <f t="shared" si="82"/>
        <v>1H2024</v>
      </c>
      <c r="AU108" s="184" t="str">
        <f t="shared" si="83"/>
        <v>&lt; 20K</v>
      </c>
      <c r="AV108" s="179">
        <f t="shared" si="74"/>
        <v>10000</v>
      </c>
      <c r="AW108" s="233">
        <f t="shared" si="84"/>
        <v>142400</v>
      </c>
      <c r="AX108" s="233">
        <f t="shared" si="85"/>
        <v>160000</v>
      </c>
      <c r="AY108" s="198">
        <f t="shared" si="75"/>
        <v>155000</v>
      </c>
      <c r="AZ108" s="233">
        <f t="shared" si="76"/>
        <v>160000</v>
      </c>
      <c r="BA108" s="233">
        <f t="shared" si="86"/>
        <v>160000</v>
      </c>
      <c r="BB108" s="233">
        <f t="shared" si="87"/>
        <v>160000</v>
      </c>
      <c r="BC108" s="233">
        <f t="shared" si="77"/>
        <v>0</v>
      </c>
      <c r="BD108" s="233">
        <f t="shared" si="78"/>
        <v>0</v>
      </c>
      <c r="BE108" s="233">
        <f t="shared" si="88"/>
        <v>30000</v>
      </c>
      <c r="BF108" s="233">
        <f t="shared" si="89"/>
        <v>10000</v>
      </c>
      <c r="BG108" s="233">
        <f t="shared" si="90"/>
        <v>20000</v>
      </c>
      <c r="BH108" s="186">
        <f t="shared" si="91"/>
        <v>160000</v>
      </c>
      <c r="BI108" s="233">
        <f t="shared" si="92"/>
        <v>3</v>
      </c>
      <c r="BJ108" s="233">
        <f t="shared" si="93"/>
        <v>480000</v>
      </c>
      <c r="BK108" s="233">
        <f t="shared" si="94"/>
        <v>148936.17459500139</v>
      </c>
      <c r="BL108" s="233">
        <f t="shared" si="95"/>
        <v>0</v>
      </c>
      <c r="BM108" s="233">
        <f t="shared" si="96"/>
        <v>35000</v>
      </c>
      <c r="BN108" s="233">
        <f t="shared" si="97"/>
        <v>35000</v>
      </c>
    </row>
    <row r="109" spans="1:66" s="198" customFormat="1" hidden="1" outlineLevel="1">
      <c r="A109" s="176" t="s">
        <v>459</v>
      </c>
      <c r="B109" s="176" t="s">
        <v>143</v>
      </c>
      <c r="C109" s="176"/>
      <c r="D109" s="176"/>
      <c r="E109" s="176"/>
      <c r="F109" s="176" t="s">
        <v>144</v>
      </c>
      <c r="G109" s="176">
        <f>_xlfn.XLOOKUP(AN109,[2]ySQL_0_24102024094604!$B:$B,[2]ySQL_0_24102024094604!$D:$D,0)</f>
        <v>0</v>
      </c>
      <c r="H109" s="176" t="s">
        <v>460</v>
      </c>
      <c r="I109" s="177">
        <v>60</v>
      </c>
      <c r="J109" s="178">
        <v>7020</v>
      </c>
      <c r="K109" s="178"/>
      <c r="L109" s="178"/>
      <c r="M109" s="178"/>
      <c r="N109" s="177">
        <v>8.25</v>
      </c>
      <c r="O109" s="177">
        <v>8.7200000000000006</v>
      </c>
      <c r="P109" s="177">
        <v>9</v>
      </c>
      <c r="Q109" s="177">
        <v>9.5</v>
      </c>
      <c r="R109" s="177">
        <v>4</v>
      </c>
      <c r="S109" s="177">
        <v>3</v>
      </c>
      <c r="T109" s="179">
        <v>2</v>
      </c>
      <c r="U109" s="193">
        <v>10</v>
      </c>
      <c r="V109" s="177">
        <v>3</v>
      </c>
      <c r="W109" s="177">
        <v>9</v>
      </c>
      <c r="X109" s="180">
        <v>0</v>
      </c>
      <c r="Y109" s="180"/>
      <c r="Z109" s="180">
        <v>0</v>
      </c>
      <c r="AA109" s="180">
        <v>0</v>
      </c>
      <c r="AB109" s="180">
        <f>Q109/12*J109</f>
        <v>5557.5</v>
      </c>
      <c r="AC109" s="180">
        <f>SUM(X109:AB109)</f>
        <v>5557.5</v>
      </c>
      <c r="AD109" s="181">
        <v>361215</v>
      </c>
      <c r="AE109" s="177" t="s">
        <v>147</v>
      </c>
      <c r="AF109" s="182">
        <v>45280</v>
      </c>
      <c r="AG109" s="177"/>
      <c r="AH109" s="177"/>
      <c r="AI109" s="183"/>
      <c r="AJ109" s="183"/>
      <c r="AK109" s="177"/>
      <c r="AL109" s="177"/>
      <c r="AM109" s="177"/>
      <c r="AN109" s="177" t="s">
        <v>296</v>
      </c>
      <c r="AO109" s="177"/>
      <c r="AP109" s="183"/>
      <c r="AQ109" s="183"/>
      <c r="AR109" s="177" t="str">
        <f t="shared" si="80"/>
        <v>New Lease</v>
      </c>
      <c r="AS109" s="182" t="str">
        <f t="shared" si="81"/>
        <v>Q4 2023</v>
      </c>
      <c r="AT109" s="182" t="str">
        <f t="shared" si="82"/>
        <v>2H2023</v>
      </c>
      <c r="AU109" s="184" t="str">
        <f t="shared" si="83"/>
        <v>&lt; 20K</v>
      </c>
      <c r="AV109" s="179">
        <f t="shared" si="74"/>
        <v>7020</v>
      </c>
      <c r="AW109" s="233">
        <f t="shared" si="84"/>
        <v>57915</v>
      </c>
      <c r="AX109" s="233">
        <f t="shared" si="85"/>
        <v>61214.400000000001</v>
      </c>
      <c r="AY109" s="198">
        <f t="shared" si="75"/>
        <v>63180</v>
      </c>
      <c r="AZ109" s="233">
        <f t="shared" si="76"/>
        <v>66690</v>
      </c>
      <c r="BA109" s="233">
        <f t="shared" si="86"/>
        <v>66690</v>
      </c>
      <c r="BB109" s="233">
        <f t="shared" si="87"/>
        <v>66690</v>
      </c>
      <c r="BC109" s="233">
        <f t="shared" si="77"/>
        <v>0</v>
      </c>
      <c r="BD109" s="233">
        <f t="shared" si="78"/>
        <v>0</v>
      </c>
      <c r="BE109" s="233">
        <f t="shared" si="88"/>
        <v>21060</v>
      </c>
      <c r="BF109" s="233">
        <f t="shared" si="89"/>
        <v>7020</v>
      </c>
      <c r="BG109" s="233">
        <f t="shared" si="90"/>
        <v>63180</v>
      </c>
      <c r="BH109" s="186">
        <f t="shared" si="91"/>
        <v>66690</v>
      </c>
      <c r="BI109" s="233">
        <f t="shared" si="92"/>
        <v>1</v>
      </c>
      <c r="BJ109" s="233">
        <f t="shared" si="93"/>
        <v>66690</v>
      </c>
      <c r="BK109" s="233">
        <f t="shared" si="94"/>
        <v>14040</v>
      </c>
      <c r="BL109" s="233">
        <f t="shared" si="95"/>
        <v>70200</v>
      </c>
      <c r="BM109" s="233">
        <f t="shared" si="96"/>
        <v>28080</v>
      </c>
      <c r="BN109" s="233">
        <f t="shared" si="97"/>
        <v>21060</v>
      </c>
    </row>
    <row r="110" spans="1:66" s="198" customFormat="1" hidden="1" outlineLevel="1">
      <c r="A110" s="176" t="s">
        <v>461</v>
      </c>
      <c r="B110" s="176" t="s">
        <v>143</v>
      </c>
      <c r="C110" s="176"/>
      <c r="D110" s="176"/>
      <c r="E110" s="176"/>
      <c r="F110" s="176" t="s">
        <v>181</v>
      </c>
      <c r="G110" s="176">
        <f>_xlfn.XLOOKUP(AN110,[2]ySQL_0_24102024094604!$B:$B,[2]ySQL_0_24102024094604!$D:$D,0)</f>
        <v>0</v>
      </c>
      <c r="H110" s="176" t="s">
        <v>462</v>
      </c>
      <c r="I110" s="177">
        <v>60</v>
      </c>
      <c r="J110" s="194">
        <v>8510</v>
      </c>
      <c r="K110" s="194"/>
      <c r="L110" s="194"/>
      <c r="M110" s="194"/>
      <c r="N110" s="177">
        <v>8.07</v>
      </c>
      <c r="O110" s="177">
        <v>7.5</v>
      </c>
      <c r="P110" s="177" t="s">
        <v>167</v>
      </c>
      <c r="Q110" s="177">
        <v>10</v>
      </c>
      <c r="R110" s="177">
        <v>5</v>
      </c>
      <c r="S110" s="177">
        <v>3</v>
      </c>
      <c r="T110" s="179">
        <v>4.0000002551999998</v>
      </c>
      <c r="U110" s="177">
        <v>39.86</v>
      </c>
      <c r="V110" s="177">
        <v>3</v>
      </c>
      <c r="W110" s="177">
        <f>9-$W$3</f>
        <v>8.09</v>
      </c>
      <c r="X110" s="180">
        <v>18809.25</v>
      </c>
      <c r="Y110" s="180"/>
      <c r="Z110" s="180">
        <v>0</v>
      </c>
      <c r="AA110" s="180">
        <v>0</v>
      </c>
      <c r="AB110" s="180">
        <v>0</v>
      </c>
      <c r="AC110" s="180">
        <v>18809.25</v>
      </c>
      <c r="AD110" s="195">
        <v>470231.22</v>
      </c>
      <c r="AE110" s="177" t="s">
        <v>147</v>
      </c>
      <c r="AF110" s="182">
        <v>44713</v>
      </c>
      <c r="AG110" s="177">
        <v>11.57783158822601</v>
      </c>
      <c r="AH110" s="177" t="s">
        <v>167</v>
      </c>
      <c r="AI110" s="196">
        <f>AG110/Q110-1</f>
        <v>0.15778315882260108</v>
      </c>
      <c r="AJ110" s="196"/>
      <c r="AK110" s="177"/>
      <c r="AL110" s="177"/>
      <c r="AM110" s="177"/>
      <c r="AN110" s="177" t="s">
        <v>463</v>
      </c>
      <c r="AO110" s="177"/>
      <c r="AP110" s="196">
        <f>AG110/O110-1</f>
        <v>0.54371087843013455</v>
      </c>
      <c r="AQ110" s="196"/>
      <c r="AR110" s="177" t="str">
        <f t="shared" si="80"/>
        <v>New Lease</v>
      </c>
      <c r="AS110" s="182" t="str">
        <f t="shared" si="81"/>
        <v>Q2 2022</v>
      </c>
      <c r="AT110" s="182" t="str">
        <f t="shared" si="82"/>
        <v>1H2022</v>
      </c>
      <c r="AU110" s="184" t="str">
        <f t="shared" si="83"/>
        <v>&lt; 20K</v>
      </c>
      <c r="AV110" s="179">
        <f t="shared" si="74"/>
        <v>8510</v>
      </c>
      <c r="AW110" s="233">
        <f t="shared" si="84"/>
        <v>68675.7</v>
      </c>
      <c r="AX110" s="233">
        <f t="shared" si="85"/>
        <v>63825</v>
      </c>
      <c r="AY110" s="198" t="str">
        <f t="shared" si="75"/>
        <v/>
      </c>
      <c r="AZ110" s="233">
        <f t="shared" ref="AZ110:AZ123" si="98">Q110*AV110</f>
        <v>85100</v>
      </c>
      <c r="BA110" s="233">
        <f t="shared" si="86"/>
        <v>85100</v>
      </c>
      <c r="BB110" s="233">
        <f t="shared" si="87"/>
        <v>85100</v>
      </c>
      <c r="BC110" s="233">
        <f t="shared" si="77"/>
        <v>98527.34681580335</v>
      </c>
      <c r="BD110" s="233"/>
      <c r="BE110" s="233">
        <f t="shared" si="88"/>
        <v>25530</v>
      </c>
      <c r="BF110" s="233">
        <f t="shared" si="89"/>
        <v>8510</v>
      </c>
      <c r="BG110" s="233">
        <f t="shared" si="90"/>
        <v>68845.899999999994</v>
      </c>
      <c r="BH110" s="186" t="str">
        <f t="shared" si="91"/>
        <v/>
      </c>
      <c r="BI110" s="233">
        <f t="shared" si="92"/>
        <v>0</v>
      </c>
      <c r="BJ110" s="233">
        <f t="shared" si="93"/>
        <v>0</v>
      </c>
      <c r="BK110" s="233">
        <f t="shared" si="94"/>
        <v>34040.002171751999</v>
      </c>
      <c r="BL110" s="233">
        <f t="shared" si="95"/>
        <v>339208.6</v>
      </c>
      <c r="BM110" s="233">
        <f t="shared" si="96"/>
        <v>42550</v>
      </c>
      <c r="BN110" s="233">
        <f t="shared" si="97"/>
        <v>25530</v>
      </c>
    </row>
    <row r="111" spans="1:66" s="198" customFormat="1" hidden="1" outlineLevel="1">
      <c r="A111" s="176" t="s">
        <v>464</v>
      </c>
      <c r="B111" s="176" t="s">
        <v>157</v>
      </c>
      <c r="C111" s="176"/>
      <c r="D111" s="176"/>
      <c r="E111" s="176"/>
      <c r="F111" s="176" t="s">
        <v>173</v>
      </c>
      <c r="G111" s="176">
        <f>_xlfn.XLOOKUP(AN111,[2]ySQL_0_24102024094604!$B:$B,[2]ySQL_0_24102024094604!$D:$D,0)</f>
        <v>0</v>
      </c>
      <c r="H111" s="176" t="s">
        <v>465</v>
      </c>
      <c r="I111" s="177">
        <v>36</v>
      </c>
      <c r="J111" s="194">
        <v>12215</v>
      </c>
      <c r="K111" s="194"/>
      <c r="L111" s="194"/>
      <c r="M111" s="194"/>
      <c r="N111" s="177">
        <v>13.47</v>
      </c>
      <c r="O111" s="177">
        <v>11</v>
      </c>
      <c r="P111" s="177" t="s">
        <v>167</v>
      </c>
      <c r="Q111" s="177">
        <v>14.15</v>
      </c>
      <c r="R111" s="177">
        <v>5</v>
      </c>
      <c r="S111" s="177">
        <v>3</v>
      </c>
      <c r="T111" s="179">
        <v>5</v>
      </c>
      <c r="U111" s="177">
        <v>10.36</v>
      </c>
      <c r="V111" s="177">
        <v>0</v>
      </c>
      <c r="W111" s="177">
        <v>0</v>
      </c>
      <c r="X111" s="180">
        <v>26576.79</v>
      </c>
      <c r="Y111" s="180"/>
      <c r="Z111" s="180">
        <v>0</v>
      </c>
      <c r="AA111" s="180">
        <v>0</v>
      </c>
      <c r="AB111" s="180">
        <v>0</v>
      </c>
      <c r="AC111" s="180">
        <v>26576.79</v>
      </c>
      <c r="AD111" s="195">
        <v>531535.80000000005</v>
      </c>
      <c r="AE111" s="177" t="s">
        <v>147</v>
      </c>
      <c r="AF111" s="182">
        <v>44636</v>
      </c>
      <c r="AG111" s="177">
        <v>13.140487855015666</v>
      </c>
      <c r="AH111" s="177">
        <v>13.049868683566299</v>
      </c>
      <c r="AI111" s="196">
        <f>AG111/Q111-1</f>
        <v>-7.1343614486525375E-2</v>
      </c>
      <c r="AJ111" s="196">
        <f>AH111/Q111-1</f>
        <v>-7.774779621439587E-2</v>
      </c>
      <c r="AK111" s="177"/>
      <c r="AL111" s="177"/>
      <c r="AM111" s="177"/>
      <c r="AN111" s="177" t="s">
        <v>466</v>
      </c>
      <c r="AO111" s="177"/>
      <c r="AP111" s="196">
        <f>AG111/O111-1</f>
        <v>0.19458980500142409</v>
      </c>
      <c r="AQ111" s="196">
        <f>AH111/O111-1</f>
        <v>0.18635169850602717</v>
      </c>
      <c r="AR111" s="177" t="str">
        <f t="shared" si="80"/>
        <v>Renewal</v>
      </c>
      <c r="AS111" s="182" t="str">
        <f t="shared" si="81"/>
        <v>Q1 2022</v>
      </c>
      <c r="AT111" s="182" t="str">
        <f t="shared" si="82"/>
        <v>1H2022</v>
      </c>
      <c r="AU111" s="184" t="str">
        <f t="shared" si="83"/>
        <v>&lt; 20K</v>
      </c>
      <c r="AV111" s="179">
        <f t="shared" si="74"/>
        <v>12215</v>
      </c>
      <c r="AW111" s="233">
        <f t="shared" si="84"/>
        <v>164536.05000000002</v>
      </c>
      <c r="AX111" s="233">
        <f t="shared" si="85"/>
        <v>134365</v>
      </c>
      <c r="AY111" s="198" t="str">
        <f t="shared" si="75"/>
        <v/>
      </c>
      <c r="AZ111" s="233">
        <f t="shared" si="98"/>
        <v>172842.25</v>
      </c>
      <c r="BA111" s="233">
        <f t="shared" si="86"/>
        <v>172842.25</v>
      </c>
      <c r="BB111" s="233">
        <f t="shared" si="87"/>
        <v>172842.25</v>
      </c>
      <c r="BC111" s="233">
        <f t="shared" si="77"/>
        <v>160511.05914901636</v>
      </c>
      <c r="BD111" s="233">
        <f t="shared" ref="BD111:BD142" si="99">AH111*J111</f>
        <v>159404.14596976235</v>
      </c>
      <c r="BE111" s="233">
        <f t="shared" si="88"/>
        <v>0</v>
      </c>
      <c r="BF111" s="233">
        <f t="shared" si="89"/>
        <v>0</v>
      </c>
      <c r="BG111" s="233">
        <f t="shared" si="90"/>
        <v>0</v>
      </c>
      <c r="BH111" s="198" t="str">
        <f t="shared" si="91"/>
        <v/>
      </c>
      <c r="BI111" s="233">
        <f t="shared" si="92"/>
        <v>0</v>
      </c>
      <c r="BJ111" s="233">
        <f t="shared" si="93"/>
        <v>0</v>
      </c>
      <c r="BK111" s="233">
        <f t="shared" si="94"/>
        <v>61075</v>
      </c>
      <c r="BL111" s="233">
        <f t="shared" si="95"/>
        <v>126547.4</v>
      </c>
      <c r="BM111" s="233">
        <f t="shared" si="96"/>
        <v>61075</v>
      </c>
      <c r="BN111" s="233">
        <f t="shared" si="97"/>
        <v>36645</v>
      </c>
    </row>
    <row r="112" spans="1:66" s="198" customFormat="1" hidden="1" outlineLevel="1">
      <c r="A112" s="176" t="s">
        <v>467</v>
      </c>
      <c r="B112" s="176" t="s">
        <v>157</v>
      </c>
      <c r="C112" s="176"/>
      <c r="D112" s="176"/>
      <c r="E112" s="176"/>
      <c r="F112" s="176" t="s">
        <v>181</v>
      </c>
      <c r="G112" s="176" t="str">
        <f>_xlfn.XLOOKUP(AN112,[2]ySQL_0_24102024094604!$B:$B,[2]ySQL_0_24102024094604!$D:$D,0)</f>
        <v>Yes</v>
      </c>
      <c r="H112" s="176" t="s">
        <v>468</v>
      </c>
      <c r="I112" s="177">
        <v>36</v>
      </c>
      <c r="J112" s="194">
        <v>189746</v>
      </c>
      <c r="K112" s="194"/>
      <c r="L112" s="194"/>
      <c r="M112" s="194"/>
      <c r="N112" s="177">
        <v>3.5</v>
      </c>
      <c r="O112" s="177">
        <v>6.24</v>
      </c>
      <c r="P112" s="177" t="s">
        <v>167</v>
      </c>
      <c r="Q112" s="177">
        <v>6.25</v>
      </c>
      <c r="R112" s="177">
        <v>5</v>
      </c>
      <c r="S112" s="177">
        <v>3</v>
      </c>
      <c r="T112" s="179">
        <v>2.9999998716</v>
      </c>
      <c r="U112" s="177">
        <v>25.91</v>
      </c>
      <c r="V112" s="177">
        <v>0</v>
      </c>
      <c r="W112" s="177">
        <v>0</v>
      </c>
      <c r="X112" s="180">
        <v>112157.67</v>
      </c>
      <c r="Y112" s="180"/>
      <c r="Z112" s="180">
        <v>0</v>
      </c>
      <c r="AA112" s="180">
        <v>0</v>
      </c>
      <c r="AB112" s="180">
        <v>0</v>
      </c>
      <c r="AC112" s="180">
        <v>112157.67</v>
      </c>
      <c r="AD112" s="195">
        <v>3738589.16</v>
      </c>
      <c r="AE112" s="177" t="s">
        <v>147</v>
      </c>
      <c r="AF112" s="182">
        <v>44713</v>
      </c>
      <c r="AG112" s="177">
        <v>6.1074576781958489</v>
      </c>
      <c r="AH112" s="177">
        <v>6.1998691083141573</v>
      </c>
      <c r="AI112" s="196">
        <f>AG112/Q112-1</f>
        <v>-2.2806771488664168E-2</v>
      </c>
      <c r="AJ112" s="196">
        <f>AH112/Q112-1</f>
        <v>-8.020942669734854E-3</v>
      </c>
      <c r="AK112" s="177"/>
      <c r="AL112" s="177"/>
      <c r="AM112" s="177"/>
      <c r="AN112" s="177" t="s">
        <v>469</v>
      </c>
      <c r="AO112" s="177"/>
      <c r="AP112" s="196">
        <f>AG112/O112-1</f>
        <v>-2.124075669938319E-2</v>
      </c>
      <c r="AQ112" s="196">
        <f>AH112/O112-1</f>
        <v>-6.4312326419619925E-3</v>
      </c>
      <c r="AR112" s="177" t="str">
        <f t="shared" si="80"/>
        <v>Renewal</v>
      </c>
      <c r="AS112" s="182" t="str">
        <f t="shared" si="81"/>
        <v>Q2 2022</v>
      </c>
      <c r="AT112" s="182" t="str">
        <f t="shared" si="82"/>
        <v>1H2022</v>
      </c>
      <c r="AU112" s="184" t="str">
        <f t="shared" si="83"/>
        <v>&gt;100K</v>
      </c>
      <c r="AV112" s="179">
        <f t="shared" si="74"/>
        <v>189746</v>
      </c>
      <c r="AW112" s="233">
        <f t="shared" si="84"/>
        <v>664111</v>
      </c>
      <c r="AX112" s="233">
        <f t="shared" si="85"/>
        <v>1184015.04</v>
      </c>
      <c r="AY112" s="198" t="str">
        <f t="shared" si="75"/>
        <v/>
      </c>
      <c r="AZ112" s="233">
        <f t="shared" si="98"/>
        <v>1185912.5</v>
      </c>
      <c r="BA112" s="233">
        <f t="shared" si="86"/>
        <v>1185912.5</v>
      </c>
      <c r="BB112" s="233">
        <f t="shared" si="87"/>
        <v>1185912.5</v>
      </c>
      <c r="BC112" s="233">
        <f t="shared" si="77"/>
        <v>1158865.6646069495</v>
      </c>
      <c r="BD112" s="233">
        <f t="shared" si="99"/>
        <v>1176400.363826178</v>
      </c>
      <c r="BE112" s="233">
        <f t="shared" si="88"/>
        <v>0</v>
      </c>
      <c r="BF112" s="233">
        <f t="shared" si="89"/>
        <v>0</v>
      </c>
      <c r="BG112" s="233">
        <f t="shared" si="90"/>
        <v>0</v>
      </c>
      <c r="BH112" s="186" t="str">
        <f t="shared" si="91"/>
        <v/>
      </c>
      <c r="BI112" s="233">
        <f t="shared" si="92"/>
        <v>0</v>
      </c>
      <c r="BJ112" s="233">
        <f t="shared" si="93"/>
        <v>0</v>
      </c>
      <c r="BK112" s="233">
        <f t="shared" si="94"/>
        <v>569237.97563661356</v>
      </c>
      <c r="BL112" s="233">
        <f t="shared" si="95"/>
        <v>4916318.8600000003</v>
      </c>
      <c r="BM112" s="233">
        <f t="shared" si="96"/>
        <v>948730</v>
      </c>
      <c r="BN112" s="233">
        <f t="shared" si="97"/>
        <v>569238</v>
      </c>
    </row>
    <row r="113" spans="1:66" s="198" customFormat="1" hidden="1" outlineLevel="1">
      <c r="A113" s="176" t="s">
        <v>470</v>
      </c>
      <c r="B113" s="176" t="s">
        <v>157</v>
      </c>
      <c r="C113" s="176"/>
      <c r="D113" s="176"/>
      <c r="E113" s="176"/>
      <c r="F113" s="176" t="s">
        <v>181</v>
      </c>
      <c r="G113" s="176">
        <f>_xlfn.XLOOKUP(AN113,[2]ySQL_0_24102024094604!$B:$B,[2]ySQL_0_24102024094604!$D:$D,0)</f>
        <v>0</v>
      </c>
      <c r="H113" s="176" t="s">
        <v>471</v>
      </c>
      <c r="I113" s="177">
        <v>60</v>
      </c>
      <c r="J113" s="194">
        <v>9711</v>
      </c>
      <c r="K113" s="194"/>
      <c r="L113" s="194"/>
      <c r="M113" s="194"/>
      <c r="N113" s="177" t="s">
        <v>472</v>
      </c>
      <c r="O113" s="177">
        <v>7.68</v>
      </c>
      <c r="P113" s="177">
        <v>7.47</v>
      </c>
      <c r="Q113" s="177">
        <v>10</v>
      </c>
      <c r="R113" s="177">
        <v>2</v>
      </c>
      <c r="S113" s="177">
        <v>2</v>
      </c>
      <c r="T113" s="179">
        <v>4</v>
      </c>
      <c r="U113" s="177">
        <v>17.52</v>
      </c>
      <c r="V113" s="177">
        <v>0</v>
      </c>
      <c r="W113" s="177">
        <v>0</v>
      </c>
      <c r="X113" s="180">
        <v>20214.57</v>
      </c>
      <c r="Y113" s="180"/>
      <c r="Z113" s="180">
        <v>0</v>
      </c>
      <c r="AA113" s="180">
        <v>0</v>
      </c>
      <c r="AB113" s="180">
        <v>0</v>
      </c>
      <c r="AC113" s="180">
        <v>20214.57</v>
      </c>
      <c r="AD113" s="195">
        <v>505364</v>
      </c>
      <c r="AE113" s="177" t="s">
        <v>147</v>
      </c>
      <c r="AF113" s="182">
        <v>44946</v>
      </c>
      <c r="AG113" s="177"/>
      <c r="AH113" s="177"/>
      <c r="AI113" s="196"/>
      <c r="AJ113" s="196"/>
      <c r="AK113" s="177"/>
      <c r="AL113" s="177"/>
      <c r="AM113" s="177"/>
      <c r="AN113" s="177"/>
      <c r="AO113" s="177"/>
      <c r="AP113" s="196"/>
      <c r="AQ113" s="196"/>
      <c r="AR113" s="177" t="str">
        <f t="shared" si="80"/>
        <v>Renewal</v>
      </c>
      <c r="AS113" s="182" t="str">
        <f t="shared" si="81"/>
        <v>Q1 2023</v>
      </c>
      <c r="AT113" s="182" t="str">
        <f t="shared" si="82"/>
        <v>1H2023</v>
      </c>
      <c r="AU113" s="184" t="str">
        <f t="shared" si="83"/>
        <v>&lt; 20K</v>
      </c>
      <c r="AV113" s="179">
        <v>-2</v>
      </c>
      <c r="AW113" s="233">
        <f t="shared" si="84"/>
        <v>-19.62</v>
      </c>
      <c r="AX113" s="233">
        <f t="shared" si="85"/>
        <v>74580.479999999996</v>
      </c>
      <c r="AY113" s="198">
        <f t="shared" si="75"/>
        <v>72541.17</v>
      </c>
      <c r="AZ113" s="233">
        <f t="shared" si="98"/>
        <v>-20</v>
      </c>
      <c r="BA113" s="233">
        <f t="shared" si="86"/>
        <v>97110</v>
      </c>
      <c r="BB113" s="233">
        <f t="shared" si="87"/>
        <v>97110</v>
      </c>
      <c r="BC113" s="233">
        <f t="shared" si="77"/>
        <v>0</v>
      </c>
      <c r="BD113" s="233">
        <f t="shared" si="99"/>
        <v>0</v>
      </c>
      <c r="BE113" s="233">
        <f t="shared" si="88"/>
        <v>0</v>
      </c>
      <c r="BF113" s="233">
        <f t="shared" si="89"/>
        <v>0</v>
      </c>
      <c r="BG113" s="233">
        <f t="shared" si="90"/>
        <v>0</v>
      </c>
      <c r="BH113" s="186" t="str">
        <f t="shared" si="91"/>
        <v/>
      </c>
      <c r="BI113" s="233">
        <f t="shared" si="92"/>
        <v>0</v>
      </c>
      <c r="BJ113" s="233">
        <f t="shared" si="93"/>
        <v>0</v>
      </c>
      <c r="BK113" s="233">
        <f t="shared" si="94"/>
        <v>38844</v>
      </c>
      <c r="BL113" s="233">
        <f t="shared" si="95"/>
        <v>170136.72</v>
      </c>
      <c r="BM113" s="233">
        <f t="shared" si="96"/>
        <v>19422</v>
      </c>
      <c r="BN113" s="233">
        <f t="shared" si="97"/>
        <v>19422</v>
      </c>
    </row>
    <row r="114" spans="1:66" s="198" customFormat="1" hidden="1" outlineLevel="1">
      <c r="A114" s="176" t="s">
        <v>473</v>
      </c>
      <c r="B114" s="176" t="s">
        <v>143</v>
      </c>
      <c r="C114" s="176" t="s">
        <v>335</v>
      </c>
      <c r="D114" s="176" t="s">
        <v>335</v>
      </c>
      <c r="E114" s="176"/>
      <c r="F114" s="176" t="s">
        <v>474</v>
      </c>
      <c r="G114" s="176">
        <f>_xlfn.XLOOKUP(AN114,[2]ySQL_0_24102024094604!$B:$B,[2]ySQL_0_24102024094604!$D:$D,0)</f>
        <v>0</v>
      </c>
      <c r="H114" s="176" t="s">
        <v>475</v>
      </c>
      <c r="I114" s="177">
        <v>99</v>
      </c>
      <c r="J114" s="194">
        <v>39972</v>
      </c>
      <c r="K114" s="194"/>
      <c r="L114" s="194"/>
      <c r="M114" s="194"/>
      <c r="N114" s="177"/>
      <c r="O114" s="177">
        <v>12.25</v>
      </c>
      <c r="P114" s="177" t="s">
        <v>167</v>
      </c>
      <c r="Q114" s="177">
        <v>13</v>
      </c>
      <c r="R114" s="177">
        <v>4</v>
      </c>
      <c r="S114" s="177">
        <v>4</v>
      </c>
      <c r="T114" s="179">
        <v>10.927134876</v>
      </c>
      <c r="U114" s="177">
        <v>10.25</v>
      </c>
      <c r="V114" s="177">
        <v>3</v>
      </c>
      <c r="W114" s="177">
        <v>9</v>
      </c>
      <c r="X114" s="180">
        <v>290155.45</v>
      </c>
      <c r="Y114" s="180"/>
      <c r="Z114" s="180">
        <v>79944</v>
      </c>
      <c r="AA114" s="180">
        <v>28419.5</v>
      </c>
      <c r="AB114" s="180">
        <v>129909</v>
      </c>
      <c r="AC114" s="180">
        <v>528427.94999999995</v>
      </c>
      <c r="AD114" s="195">
        <v>4835924.1100000003</v>
      </c>
      <c r="AE114" s="177" t="s">
        <v>161</v>
      </c>
      <c r="AF114" s="182">
        <v>44824</v>
      </c>
      <c r="AG114" s="177">
        <v>13.927042211162439</v>
      </c>
      <c r="AH114" s="177">
        <v>10.898250638349309</v>
      </c>
      <c r="AI114" s="196">
        <f>AG114/Q114-1</f>
        <v>7.1310939320187616E-2</v>
      </c>
      <c r="AJ114" s="196">
        <f>AH114/Q114-1</f>
        <v>-0.16167302781928394</v>
      </c>
      <c r="AK114" s="177">
        <v>6.4</v>
      </c>
      <c r="AL114" s="177"/>
      <c r="AM114" s="177"/>
      <c r="AN114" s="177" t="s">
        <v>476</v>
      </c>
      <c r="AO114" s="177"/>
      <c r="AP114" s="196">
        <f>AG114/O114-1</f>
        <v>0.13690140499285208</v>
      </c>
      <c r="AQ114" s="196">
        <f>AH114/O114-1</f>
        <v>-0.11034688666536252</v>
      </c>
      <c r="AR114" s="177" t="str">
        <f t="shared" si="80"/>
        <v>New Lease</v>
      </c>
      <c r="AS114" s="182" t="str">
        <f t="shared" si="81"/>
        <v>Q3 2022</v>
      </c>
      <c r="AT114" s="182" t="str">
        <f t="shared" si="82"/>
        <v>2H2022</v>
      </c>
      <c r="AU114" s="184" t="str">
        <f t="shared" si="83"/>
        <v>20-50K</v>
      </c>
      <c r="AV114" s="179">
        <v>0</v>
      </c>
      <c r="AW114" s="233">
        <f t="shared" si="84"/>
        <v>0</v>
      </c>
      <c r="AX114" s="233">
        <f t="shared" si="85"/>
        <v>489657</v>
      </c>
      <c r="AY114" s="233"/>
      <c r="AZ114" s="233">
        <f t="shared" si="98"/>
        <v>0</v>
      </c>
      <c r="BA114" s="233">
        <f t="shared" si="86"/>
        <v>519636</v>
      </c>
      <c r="BB114" s="233" t="str">
        <f t="shared" si="87"/>
        <v/>
      </c>
      <c r="BC114" s="233">
        <f t="shared" si="77"/>
        <v>556691.73126458505</v>
      </c>
      <c r="BD114" s="233">
        <f t="shared" si="99"/>
        <v>435624.87451609859</v>
      </c>
      <c r="BE114" s="233">
        <f t="shared" si="88"/>
        <v>119916</v>
      </c>
      <c r="BF114" s="233">
        <f t="shared" si="89"/>
        <v>39972</v>
      </c>
      <c r="BG114" s="233">
        <f t="shared" si="90"/>
        <v>359748</v>
      </c>
      <c r="BH114" s="186">
        <f t="shared" si="91"/>
        <v>519636</v>
      </c>
      <c r="BI114" s="233">
        <f t="shared" si="92"/>
        <v>3</v>
      </c>
      <c r="BJ114" s="233">
        <f t="shared" si="93"/>
        <v>1558908</v>
      </c>
      <c r="BK114" s="233">
        <f t="shared" si="94"/>
        <v>436779.43526347203</v>
      </c>
      <c r="BL114" s="233">
        <f t="shared" si="95"/>
        <v>409713</v>
      </c>
      <c r="BM114" s="233">
        <f t="shared" si="96"/>
        <v>159888</v>
      </c>
      <c r="BN114" s="233">
        <f t="shared" si="97"/>
        <v>159888</v>
      </c>
    </row>
    <row r="115" spans="1:66" s="198" customFormat="1" hidden="1" outlineLevel="1">
      <c r="A115" s="176" t="s">
        <v>477</v>
      </c>
      <c r="B115" s="176" t="s">
        <v>143</v>
      </c>
      <c r="C115" s="176"/>
      <c r="D115" s="176"/>
      <c r="E115" s="176"/>
      <c r="F115" s="176" t="s">
        <v>181</v>
      </c>
      <c r="G115" s="176" t="str">
        <f>_xlfn.XLOOKUP(AN115,[2]ySQL_0_24102024094604!$B:$B,[2]ySQL_0_24102024094604!$D:$D,0)</f>
        <v>Yes</v>
      </c>
      <c r="H115" s="176" t="s">
        <v>478</v>
      </c>
      <c r="I115" s="177">
        <v>61</v>
      </c>
      <c r="J115" s="194">
        <v>20721</v>
      </c>
      <c r="K115" s="194"/>
      <c r="L115" s="194"/>
      <c r="M115" s="194"/>
      <c r="N115" s="177">
        <v>2.17</v>
      </c>
      <c r="O115" s="177">
        <v>4.5</v>
      </c>
      <c r="P115" s="177" t="s">
        <v>167</v>
      </c>
      <c r="Q115" s="177">
        <v>7.3</v>
      </c>
      <c r="R115" s="177">
        <v>4</v>
      </c>
      <c r="S115" s="177">
        <v>3</v>
      </c>
      <c r="T115" s="179">
        <v>19.4339538676</v>
      </c>
      <c r="U115" s="177">
        <v>60.29</v>
      </c>
      <c r="V115" s="177">
        <v>3</v>
      </c>
      <c r="W115" s="177">
        <f>9-$W$3</f>
        <v>8.09</v>
      </c>
      <c r="X115" s="180">
        <v>51615.32</v>
      </c>
      <c r="Y115" s="180">
        <f>Z115/J115</f>
        <v>4.5847208146324983</v>
      </c>
      <c r="Z115" s="180">
        <v>95000</v>
      </c>
      <c r="AA115" s="180">
        <v>0</v>
      </c>
      <c r="AB115" s="180">
        <v>12605.28</v>
      </c>
      <c r="AC115" s="180">
        <v>159220.6</v>
      </c>
      <c r="AD115" s="195">
        <v>819290.82</v>
      </c>
      <c r="AE115" s="177" t="s">
        <v>147</v>
      </c>
      <c r="AF115" s="182">
        <v>44680</v>
      </c>
      <c r="AG115" s="177">
        <v>7.5315157719376611</v>
      </c>
      <c r="AH115" s="177">
        <v>6.9351054548155009</v>
      </c>
      <c r="AI115" s="196">
        <f>AG115/Q115-1</f>
        <v>3.171448930652887E-2</v>
      </c>
      <c r="AJ115" s="196">
        <f>AH115/Q115-1</f>
        <v>-4.9985554134862831E-2</v>
      </c>
      <c r="AK115" s="177"/>
      <c r="AL115" s="177"/>
      <c r="AM115" s="177"/>
      <c r="AN115" s="177" t="s">
        <v>479</v>
      </c>
      <c r="AO115" s="177"/>
      <c r="AP115" s="196">
        <f>AG115/O115-1</f>
        <v>0.67367017154170239</v>
      </c>
      <c r="AQ115" s="196">
        <f>AH115/O115-1</f>
        <v>0.54113454551455575</v>
      </c>
      <c r="AR115" s="177" t="str">
        <f t="shared" si="80"/>
        <v>New Lease</v>
      </c>
      <c r="AS115" s="182" t="str">
        <f t="shared" si="81"/>
        <v>Q2 2022</v>
      </c>
      <c r="AT115" s="182" t="str">
        <f t="shared" si="82"/>
        <v>1H2022</v>
      </c>
      <c r="AU115" s="184" t="str">
        <f t="shared" si="83"/>
        <v>20-50K</v>
      </c>
      <c r="AV115" s="179">
        <f t="shared" ref="AV115:AV144" si="100">IF(N115="","",J115)</f>
        <v>20721</v>
      </c>
      <c r="AW115" s="233">
        <f t="shared" si="84"/>
        <v>44964.57</v>
      </c>
      <c r="AX115" s="233">
        <f t="shared" si="85"/>
        <v>93244.5</v>
      </c>
      <c r="AY115" s="198" t="str">
        <f t="shared" ref="AY115:AY122" si="101">IF(P115="","",J115*P115)</f>
        <v/>
      </c>
      <c r="AZ115" s="233">
        <f t="shared" si="98"/>
        <v>151263.29999999999</v>
      </c>
      <c r="BA115" s="233">
        <f t="shared" si="86"/>
        <v>151263.29999999999</v>
      </c>
      <c r="BB115" s="233">
        <f t="shared" si="87"/>
        <v>151263.29999999999</v>
      </c>
      <c r="BC115" s="233">
        <f t="shared" si="77"/>
        <v>156060.53831032026</v>
      </c>
      <c r="BD115" s="233">
        <f t="shared" si="99"/>
        <v>143702.32012923199</v>
      </c>
      <c r="BE115" s="233">
        <f t="shared" si="88"/>
        <v>62163</v>
      </c>
      <c r="BF115" s="233">
        <f t="shared" si="89"/>
        <v>20721</v>
      </c>
      <c r="BG115" s="233">
        <f t="shared" si="90"/>
        <v>167632.88999999998</v>
      </c>
      <c r="BH115" s="186">
        <f t="shared" si="91"/>
        <v>151263.29999999999</v>
      </c>
      <c r="BI115" s="233">
        <f t="shared" si="92"/>
        <v>1.0000003966593352</v>
      </c>
      <c r="BJ115" s="233">
        <f t="shared" si="93"/>
        <v>151263.35999999999</v>
      </c>
      <c r="BK115" s="233">
        <f t="shared" si="94"/>
        <v>402690.95809053961</v>
      </c>
      <c r="BL115" s="233">
        <f t="shared" si="95"/>
        <v>1249269.0900000001</v>
      </c>
      <c r="BM115" s="233">
        <f t="shared" si="96"/>
        <v>82884</v>
      </c>
      <c r="BN115" s="233">
        <f t="shared" si="97"/>
        <v>62163</v>
      </c>
    </row>
    <row r="116" spans="1:66" s="198" customFormat="1" hidden="1" outlineLevel="1">
      <c r="A116" s="176" t="s">
        <v>480</v>
      </c>
      <c r="B116" s="176" t="s">
        <v>143</v>
      </c>
      <c r="C116" s="176"/>
      <c r="D116" s="176"/>
      <c r="E116" s="176"/>
      <c r="F116" s="176" t="s">
        <v>244</v>
      </c>
      <c r="G116" s="176">
        <f>_xlfn.XLOOKUP(AN116,[2]ySQL_0_24102024094604!$B:$B,[2]ySQL_0_24102024094604!$D:$D,0)</f>
        <v>0</v>
      </c>
      <c r="H116" s="176" t="s">
        <v>481</v>
      </c>
      <c r="I116" s="177">
        <v>62</v>
      </c>
      <c r="J116" s="194">
        <v>8204</v>
      </c>
      <c r="K116" s="194"/>
      <c r="L116" s="194"/>
      <c r="M116" s="194"/>
      <c r="N116" s="177">
        <v>5.28</v>
      </c>
      <c r="O116" s="177">
        <v>7.44</v>
      </c>
      <c r="P116" s="177">
        <v>8</v>
      </c>
      <c r="Q116" s="177">
        <v>8.5</v>
      </c>
      <c r="R116" s="177">
        <v>4</v>
      </c>
      <c r="S116" s="177">
        <v>3</v>
      </c>
      <c r="T116" s="179">
        <v>14.6150687035</v>
      </c>
      <c r="U116" s="177">
        <v>19.22</v>
      </c>
      <c r="V116" s="177">
        <v>3</v>
      </c>
      <c r="W116" s="177">
        <f>6-$W$3</f>
        <v>5.09</v>
      </c>
      <c r="X116" s="180">
        <v>26444.36</v>
      </c>
      <c r="Y116" s="180">
        <f>Z116/J116</f>
        <v>3.6</v>
      </c>
      <c r="Z116" s="180">
        <v>29534.400000000001</v>
      </c>
      <c r="AA116" s="180">
        <v>0</v>
      </c>
      <c r="AB116" s="180">
        <v>11622.34</v>
      </c>
      <c r="AC116" s="180">
        <v>67601.100000000006</v>
      </c>
      <c r="AD116" s="195">
        <v>391612</v>
      </c>
      <c r="AE116" s="177" t="s">
        <v>147</v>
      </c>
      <c r="AF116" s="182">
        <v>45051</v>
      </c>
      <c r="AG116" s="177"/>
      <c r="AH116" s="177"/>
      <c r="AI116" s="196"/>
      <c r="AJ116" s="196"/>
      <c r="AK116" s="177">
        <v>2.9</v>
      </c>
      <c r="AL116" s="177"/>
      <c r="AM116" s="177"/>
      <c r="AN116" s="177" t="s">
        <v>246</v>
      </c>
      <c r="AO116" s="177"/>
      <c r="AP116" s="196"/>
      <c r="AQ116" s="196"/>
      <c r="AR116" s="177" t="str">
        <f t="shared" si="80"/>
        <v>New Lease</v>
      </c>
      <c r="AS116" s="182" t="str">
        <f t="shared" si="81"/>
        <v>Q2 2023</v>
      </c>
      <c r="AT116" s="182" t="str">
        <f t="shared" si="82"/>
        <v>1H2023</v>
      </c>
      <c r="AU116" s="184" t="str">
        <f t="shared" si="83"/>
        <v>&lt; 20K</v>
      </c>
      <c r="AV116" s="179">
        <f t="shared" si="100"/>
        <v>8204</v>
      </c>
      <c r="AW116" s="233">
        <f t="shared" si="84"/>
        <v>43317.120000000003</v>
      </c>
      <c r="AX116" s="233">
        <f t="shared" si="85"/>
        <v>61037.760000000002</v>
      </c>
      <c r="AY116" s="198">
        <f t="shared" si="101"/>
        <v>65632</v>
      </c>
      <c r="AZ116" s="233">
        <f t="shared" si="98"/>
        <v>69734</v>
      </c>
      <c r="BA116" s="233">
        <f t="shared" si="86"/>
        <v>69734</v>
      </c>
      <c r="BB116" s="233">
        <f t="shared" si="87"/>
        <v>69734</v>
      </c>
      <c r="BC116" s="233">
        <f t="shared" si="77"/>
        <v>0</v>
      </c>
      <c r="BD116" s="233">
        <f t="shared" si="99"/>
        <v>0</v>
      </c>
      <c r="BE116" s="233">
        <f t="shared" si="88"/>
        <v>24612</v>
      </c>
      <c r="BF116" s="233">
        <f t="shared" si="89"/>
        <v>8204</v>
      </c>
      <c r="BG116" s="233">
        <f t="shared" si="90"/>
        <v>41758.36</v>
      </c>
      <c r="BH116" s="186">
        <f t="shared" si="91"/>
        <v>69734</v>
      </c>
      <c r="BI116" s="233">
        <f t="shared" si="92"/>
        <v>2.0000011472165657</v>
      </c>
      <c r="BJ116" s="233">
        <f t="shared" si="93"/>
        <v>139468.07999999999</v>
      </c>
      <c r="BK116" s="233">
        <f t="shared" si="94"/>
        <v>119902.02364351401</v>
      </c>
      <c r="BL116" s="233">
        <f t="shared" si="95"/>
        <v>157680.88</v>
      </c>
      <c r="BM116" s="233">
        <f t="shared" si="96"/>
        <v>32816</v>
      </c>
      <c r="BN116" s="233">
        <f t="shared" si="97"/>
        <v>24612</v>
      </c>
    </row>
    <row r="117" spans="1:66" s="198" customFormat="1" hidden="1" outlineLevel="1">
      <c r="A117" s="176" t="s">
        <v>482</v>
      </c>
      <c r="B117" s="176" t="s">
        <v>143</v>
      </c>
      <c r="C117" s="176"/>
      <c r="D117" s="176"/>
      <c r="E117" s="176"/>
      <c r="F117" s="176" t="s">
        <v>173</v>
      </c>
      <c r="G117" s="176">
        <f>_xlfn.XLOOKUP(AN117,[2]ySQL_0_24102024094604!$B:$B,[2]ySQL_0_24102024094604!$D:$D,0)</f>
        <v>0</v>
      </c>
      <c r="H117" s="176" t="s">
        <v>483</v>
      </c>
      <c r="I117" s="177">
        <v>36</v>
      </c>
      <c r="J117" s="194">
        <v>9247</v>
      </c>
      <c r="K117" s="194"/>
      <c r="L117" s="194"/>
      <c r="M117" s="194"/>
      <c r="N117" s="177">
        <v>7.5</v>
      </c>
      <c r="O117" s="177">
        <v>12.73</v>
      </c>
      <c r="P117" s="177">
        <v>14.04</v>
      </c>
      <c r="Q117" s="177">
        <v>14.5</v>
      </c>
      <c r="R117" s="177">
        <v>3.5</v>
      </c>
      <c r="S117" s="177">
        <v>3</v>
      </c>
      <c r="T117" s="179">
        <v>17.660279239899999</v>
      </c>
      <c r="U117" s="177">
        <v>20</v>
      </c>
      <c r="V117" s="177">
        <v>3</v>
      </c>
      <c r="W117" s="177">
        <f>6-$W$3</f>
        <v>5.09</v>
      </c>
      <c r="X117" s="180">
        <v>30591.38</v>
      </c>
      <c r="Y117" s="180">
        <f>Z117/J117</f>
        <v>3.2983670379582568</v>
      </c>
      <c r="Z117" s="180">
        <v>30500</v>
      </c>
      <c r="AA117" s="180">
        <v>0</v>
      </c>
      <c r="AB117" s="180">
        <v>10942.28</v>
      </c>
      <c r="AC117" s="180">
        <v>72033.66</v>
      </c>
      <c r="AD117" s="195">
        <v>407885.17</v>
      </c>
      <c r="AE117" s="177" t="s">
        <v>147</v>
      </c>
      <c r="AF117" s="182">
        <v>44986</v>
      </c>
      <c r="AG117" s="177">
        <v>17.222882586485241</v>
      </c>
      <c r="AH117" s="177">
        <v>16.108664791487893</v>
      </c>
      <c r="AI117" s="196">
        <v>-18.778500596400001</v>
      </c>
      <c r="AJ117" s="196">
        <v>-11.0942399413</v>
      </c>
      <c r="AK117" s="177">
        <v>5.0999999999999996</v>
      </c>
      <c r="AL117" s="177"/>
      <c r="AM117" s="177"/>
      <c r="AN117" s="177" t="s">
        <v>484</v>
      </c>
      <c r="AO117" s="177"/>
      <c r="AP117" s="196">
        <f>AG117/O117-1</f>
        <v>0.35293657395799216</v>
      </c>
      <c r="AQ117" s="196">
        <f>AH117/O117-1</f>
        <v>0.26540964583565541</v>
      </c>
      <c r="AR117" s="177" t="str">
        <f t="shared" si="80"/>
        <v>New Lease</v>
      </c>
      <c r="AS117" s="182" t="str">
        <f t="shared" si="81"/>
        <v>Q1 2023</v>
      </c>
      <c r="AT117" s="182" t="str">
        <f t="shared" si="82"/>
        <v>1H2023</v>
      </c>
      <c r="AU117" s="184" t="str">
        <f t="shared" si="83"/>
        <v>&lt; 20K</v>
      </c>
      <c r="AV117" s="179">
        <f t="shared" si="100"/>
        <v>9247</v>
      </c>
      <c r="AW117" s="233">
        <f t="shared" si="84"/>
        <v>69352.5</v>
      </c>
      <c r="AX117" s="233">
        <f t="shared" si="85"/>
        <v>117714.31</v>
      </c>
      <c r="AY117" s="198">
        <f t="shared" si="101"/>
        <v>129827.87999999999</v>
      </c>
      <c r="AZ117" s="233">
        <f t="shared" si="98"/>
        <v>134081.5</v>
      </c>
      <c r="BA117" s="233">
        <f t="shared" si="86"/>
        <v>134081.5</v>
      </c>
      <c r="BB117" s="233">
        <f t="shared" si="87"/>
        <v>134081.5</v>
      </c>
      <c r="BC117" s="233">
        <f t="shared" si="77"/>
        <v>159259.99527722903</v>
      </c>
      <c r="BD117" s="233">
        <f t="shared" si="99"/>
        <v>148956.82332688855</v>
      </c>
      <c r="BE117" s="233">
        <f t="shared" si="88"/>
        <v>27741</v>
      </c>
      <c r="BF117" s="233">
        <f t="shared" si="89"/>
        <v>9247</v>
      </c>
      <c r="BG117" s="233">
        <f t="shared" si="90"/>
        <v>47067.229999999996</v>
      </c>
      <c r="BH117" s="186">
        <f t="shared" si="91"/>
        <v>134081.5</v>
      </c>
      <c r="BI117" s="233">
        <f t="shared" si="92"/>
        <v>0.97931004650156805</v>
      </c>
      <c r="BJ117" s="233">
        <f t="shared" si="93"/>
        <v>131307.36000000002</v>
      </c>
      <c r="BK117" s="233">
        <f t="shared" si="94"/>
        <v>163304.60213135529</v>
      </c>
      <c r="BL117" s="233">
        <f t="shared" si="95"/>
        <v>184940</v>
      </c>
      <c r="BM117" s="233">
        <f t="shared" si="96"/>
        <v>32364.5</v>
      </c>
      <c r="BN117" s="233">
        <f t="shared" si="97"/>
        <v>27741</v>
      </c>
    </row>
    <row r="118" spans="1:66" s="198" customFormat="1" hidden="1" outlineLevel="1">
      <c r="A118" s="176" t="s">
        <v>485</v>
      </c>
      <c r="B118" s="176" t="s">
        <v>252</v>
      </c>
      <c r="C118" s="176"/>
      <c r="D118" s="176"/>
      <c r="E118" s="176"/>
      <c r="F118" s="176" t="s">
        <v>173</v>
      </c>
      <c r="G118" s="176">
        <f>_xlfn.XLOOKUP(AN118,[2]ySQL_0_24102024094604!$B:$B,[2]ySQL_0_24102024094604!$D:$D,0)</f>
        <v>0</v>
      </c>
      <c r="H118" s="176" t="s">
        <v>486</v>
      </c>
      <c r="I118" s="177">
        <v>60</v>
      </c>
      <c r="J118" s="194">
        <v>10431</v>
      </c>
      <c r="K118" s="194"/>
      <c r="L118" s="194"/>
      <c r="M118" s="194"/>
      <c r="N118" s="177">
        <v>8.16</v>
      </c>
      <c r="O118" s="177">
        <v>12.5</v>
      </c>
      <c r="P118" s="177" t="s">
        <v>167</v>
      </c>
      <c r="Q118" s="177">
        <v>13.5</v>
      </c>
      <c r="R118" s="177">
        <v>5</v>
      </c>
      <c r="S118" s="177">
        <v>3</v>
      </c>
      <c r="T118" s="179">
        <v>5</v>
      </c>
      <c r="U118" s="177">
        <v>5.45</v>
      </c>
      <c r="V118" s="177">
        <v>0</v>
      </c>
      <c r="W118" s="177">
        <v>0</v>
      </c>
      <c r="X118" s="180">
        <v>38577.1</v>
      </c>
      <c r="Y118" s="180"/>
      <c r="Z118" s="180">
        <v>0</v>
      </c>
      <c r="AA118" s="180">
        <v>0</v>
      </c>
      <c r="AB118" s="180">
        <v>0</v>
      </c>
      <c r="AC118" s="180">
        <v>38577.1</v>
      </c>
      <c r="AD118" s="195">
        <v>771542</v>
      </c>
      <c r="AE118" s="177" t="s">
        <v>147</v>
      </c>
      <c r="AF118" s="182">
        <v>44699</v>
      </c>
      <c r="AG118" s="177">
        <v>12.350162848424503</v>
      </c>
      <c r="AH118" s="177">
        <v>10.860346279540453</v>
      </c>
      <c r="AI118" s="196">
        <f>AG118/Q118-1</f>
        <v>-8.5173122338925711E-2</v>
      </c>
      <c r="AJ118" s="196">
        <f>AH118/Q118-1</f>
        <v>-0.19552990521922575</v>
      </c>
      <c r="AK118" s="177"/>
      <c r="AL118" s="177"/>
      <c r="AM118" s="177"/>
      <c r="AN118" s="177" t="s">
        <v>373</v>
      </c>
      <c r="AO118" s="177"/>
      <c r="AP118" s="196">
        <f>AG118/O118-1</f>
        <v>-1.1986972126039719E-2</v>
      </c>
      <c r="AQ118" s="196">
        <f>AH118/O118-1</f>
        <v>-0.13117229763676375</v>
      </c>
      <c r="AR118" s="177" t="str">
        <f t="shared" si="80"/>
        <v>Renewal</v>
      </c>
      <c r="AS118" s="182" t="str">
        <f t="shared" si="81"/>
        <v>Q2 2022</v>
      </c>
      <c r="AT118" s="182" t="str">
        <f t="shared" si="82"/>
        <v>1H2022</v>
      </c>
      <c r="AU118" s="184" t="str">
        <f t="shared" si="83"/>
        <v>&lt; 20K</v>
      </c>
      <c r="AV118" s="179">
        <f t="shared" si="100"/>
        <v>10431</v>
      </c>
      <c r="AW118" s="233">
        <f t="shared" si="84"/>
        <v>85116.96</v>
      </c>
      <c r="AX118" s="233">
        <f t="shared" si="85"/>
        <v>130387.5</v>
      </c>
      <c r="AY118" s="198" t="str">
        <f t="shared" si="101"/>
        <v/>
      </c>
      <c r="AZ118" s="233">
        <f t="shared" si="98"/>
        <v>140818.5</v>
      </c>
      <c r="BA118" s="233">
        <f t="shared" si="86"/>
        <v>140818.5</v>
      </c>
      <c r="BB118" s="233">
        <f t="shared" si="87"/>
        <v>140818.5</v>
      </c>
      <c r="BC118" s="233">
        <f t="shared" si="77"/>
        <v>128824.548671916</v>
      </c>
      <c r="BD118" s="233">
        <f t="shared" si="99"/>
        <v>113284.27204188646</v>
      </c>
      <c r="BE118" s="233">
        <f t="shared" si="88"/>
        <v>0</v>
      </c>
      <c r="BF118" s="233">
        <f t="shared" si="89"/>
        <v>0</v>
      </c>
      <c r="BG118" s="233">
        <f t="shared" si="90"/>
        <v>0</v>
      </c>
      <c r="BH118" s="186" t="str">
        <f t="shared" si="91"/>
        <v/>
      </c>
      <c r="BI118" s="233">
        <f t="shared" si="92"/>
        <v>0</v>
      </c>
      <c r="BJ118" s="233">
        <f t="shared" si="93"/>
        <v>0</v>
      </c>
      <c r="BK118" s="233">
        <f t="shared" si="94"/>
        <v>52155</v>
      </c>
      <c r="BL118" s="233">
        <f t="shared" si="95"/>
        <v>56848.950000000004</v>
      </c>
      <c r="BM118" s="233">
        <f t="shared" si="96"/>
        <v>52155</v>
      </c>
      <c r="BN118" s="233">
        <f t="shared" si="97"/>
        <v>31293</v>
      </c>
    </row>
    <row r="119" spans="1:66" s="198" customFormat="1" hidden="1" outlineLevel="1">
      <c r="A119" s="176" t="s">
        <v>487</v>
      </c>
      <c r="B119" s="176" t="s">
        <v>157</v>
      </c>
      <c r="C119" s="176"/>
      <c r="D119" s="176"/>
      <c r="E119" s="176"/>
      <c r="F119" s="176" t="s">
        <v>153</v>
      </c>
      <c r="G119" s="176">
        <f>_xlfn.XLOOKUP(AN119,[2]ySQL_0_24102024094604!$B:$B,[2]ySQL_0_24102024094604!$D:$D,0)</f>
        <v>0</v>
      </c>
      <c r="H119" s="176" t="s">
        <v>488</v>
      </c>
      <c r="I119" s="177">
        <v>36</v>
      </c>
      <c r="J119" s="194">
        <v>20500</v>
      </c>
      <c r="K119" s="194"/>
      <c r="L119" s="194"/>
      <c r="M119" s="194"/>
      <c r="N119" s="177">
        <v>5.8</v>
      </c>
      <c r="O119" s="177">
        <v>6.91</v>
      </c>
      <c r="P119" s="177">
        <v>6.45</v>
      </c>
      <c r="Q119" s="177">
        <v>6.1</v>
      </c>
      <c r="R119" s="177">
        <v>5</v>
      </c>
      <c r="S119" s="177">
        <v>3</v>
      </c>
      <c r="T119" s="179">
        <v>4.0000494648</v>
      </c>
      <c r="U119" s="177">
        <v>10.3</v>
      </c>
      <c r="V119" s="177">
        <v>0</v>
      </c>
      <c r="W119" s="177">
        <v>0</v>
      </c>
      <c r="X119" s="180">
        <v>15769</v>
      </c>
      <c r="Y119" s="180"/>
      <c r="Z119" s="180">
        <v>0</v>
      </c>
      <c r="AA119" s="180">
        <v>0</v>
      </c>
      <c r="AB119" s="180">
        <v>0</v>
      </c>
      <c r="AC119" s="180">
        <v>15769</v>
      </c>
      <c r="AD119" s="195">
        <v>394220</v>
      </c>
      <c r="AE119" s="177" t="s">
        <v>147</v>
      </c>
      <c r="AF119" s="182">
        <v>45040</v>
      </c>
      <c r="AG119" s="177"/>
      <c r="AH119" s="177"/>
      <c r="AI119" s="196"/>
      <c r="AJ119" s="196"/>
      <c r="AK119" s="177"/>
      <c r="AL119" s="177"/>
      <c r="AM119" s="177"/>
      <c r="AN119" s="177" t="s">
        <v>489</v>
      </c>
      <c r="AO119" s="177"/>
      <c r="AP119" s="196"/>
      <c r="AQ119" s="196"/>
      <c r="AR119" s="177" t="str">
        <f t="shared" si="80"/>
        <v>Renewal</v>
      </c>
      <c r="AS119" s="182" t="str">
        <f t="shared" si="81"/>
        <v>Q2 2023</v>
      </c>
      <c r="AT119" s="182" t="str">
        <f t="shared" si="82"/>
        <v>1H2023</v>
      </c>
      <c r="AU119" s="184" t="str">
        <f t="shared" si="83"/>
        <v>20-50K</v>
      </c>
      <c r="AV119" s="179">
        <f t="shared" si="100"/>
        <v>20500</v>
      </c>
      <c r="AW119" s="233">
        <f t="shared" si="84"/>
        <v>118900</v>
      </c>
      <c r="AX119" s="233">
        <f t="shared" si="85"/>
        <v>141655</v>
      </c>
      <c r="AY119" s="198">
        <f t="shared" si="101"/>
        <v>132225</v>
      </c>
      <c r="AZ119" s="233">
        <f t="shared" si="98"/>
        <v>125049.99999999999</v>
      </c>
      <c r="BA119" s="233">
        <f t="shared" si="86"/>
        <v>125049.99999999999</v>
      </c>
      <c r="BB119" s="233">
        <f t="shared" si="87"/>
        <v>125049.99999999999</v>
      </c>
      <c r="BC119" s="233">
        <f t="shared" si="77"/>
        <v>0</v>
      </c>
      <c r="BD119" s="233">
        <f t="shared" si="99"/>
        <v>0</v>
      </c>
      <c r="BE119" s="233">
        <f t="shared" si="88"/>
        <v>0</v>
      </c>
      <c r="BF119" s="233">
        <f t="shared" si="89"/>
        <v>0</v>
      </c>
      <c r="BG119" s="233">
        <f t="shared" si="90"/>
        <v>0</v>
      </c>
      <c r="BH119" s="186" t="str">
        <f t="shared" si="91"/>
        <v/>
      </c>
      <c r="BI119" s="233">
        <f t="shared" si="92"/>
        <v>0</v>
      </c>
      <c r="BJ119" s="233">
        <f t="shared" si="93"/>
        <v>0</v>
      </c>
      <c r="BK119" s="233">
        <f t="shared" si="94"/>
        <v>82001.014028399994</v>
      </c>
      <c r="BL119" s="233">
        <f t="shared" si="95"/>
        <v>211150.00000000003</v>
      </c>
      <c r="BM119" s="233">
        <f t="shared" si="96"/>
        <v>102500</v>
      </c>
      <c r="BN119" s="233">
        <f t="shared" si="97"/>
        <v>61500</v>
      </c>
    </row>
    <row r="120" spans="1:66" s="198" customFormat="1" hidden="1" outlineLevel="1">
      <c r="A120" s="176" t="s">
        <v>490</v>
      </c>
      <c r="B120" s="176" t="s">
        <v>143</v>
      </c>
      <c r="C120" s="176"/>
      <c r="D120" s="176"/>
      <c r="E120" s="176"/>
      <c r="F120" s="176" t="s">
        <v>158</v>
      </c>
      <c r="G120" s="176">
        <f>_xlfn.XLOOKUP(AN120,[2]ySQL_0_24102024094604!$B:$B,[2]ySQL_0_24102024094604!$D:$D,0)</f>
        <v>0</v>
      </c>
      <c r="H120" s="176" t="s">
        <v>491</v>
      </c>
      <c r="I120" s="177">
        <v>60</v>
      </c>
      <c r="J120" s="194">
        <v>33340</v>
      </c>
      <c r="K120" s="194"/>
      <c r="L120" s="194"/>
      <c r="M120" s="194"/>
      <c r="N120" s="177">
        <v>2.2000000000000002</v>
      </c>
      <c r="O120" s="177">
        <v>2.71</v>
      </c>
      <c r="P120" s="177">
        <v>3.3</v>
      </c>
      <c r="Q120" s="177">
        <v>4.5999999999999996</v>
      </c>
      <c r="R120" s="177">
        <v>3</v>
      </c>
      <c r="S120" s="177">
        <v>3</v>
      </c>
      <c r="T120" s="179">
        <v>11.826990905000001</v>
      </c>
      <c r="U120" s="177">
        <v>13</v>
      </c>
      <c r="V120" s="177">
        <v>3</v>
      </c>
      <c r="W120" s="177">
        <f>6-$W$3</f>
        <v>5.09</v>
      </c>
      <c r="X120" s="180">
        <v>30586.74</v>
      </c>
      <c r="Y120" s="180">
        <f>Z120/J120</f>
        <v>2</v>
      </c>
      <c r="Z120" s="180">
        <v>66680</v>
      </c>
      <c r="AA120" s="180">
        <v>0</v>
      </c>
      <c r="AB120" s="180">
        <v>10</v>
      </c>
      <c r="AC120" s="180">
        <v>97276.74</v>
      </c>
      <c r="AD120" s="195">
        <v>822497.8</v>
      </c>
      <c r="AE120" s="177" t="s">
        <v>147</v>
      </c>
      <c r="AF120" s="182">
        <v>44981</v>
      </c>
      <c r="AG120" s="185"/>
      <c r="AH120" s="185"/>
      <c r="AI120" s="196" t="s">
        <v>167</v>
      </c>
      <c r="AJ120" s="196" t="s">
        <v>167</v>
      </c>
      <c r="AK120" s="177"/>
      <c r="AL120" s="177"/>
      <c r="AM120" s="177"/>
      <c r="AN120" s="177" t="s">
        <v>436</v>
      </c>
      <c r="AO120" s="177"/>
      <c r="AP120" s="196">
        <f>AG120/O120-1</f>
        <v>-1</v>
      </c>
      <c r="AQ120" s="196">
        <f>AH120/O120-1</f>
        <v>-1</v>
      </c>
      <c r="AR120" s="177" t="str">
        <f t="shared" si="80"/>
        <v>New Lease</v>
      </c>
      <c r="AS120" s="182" t="str">
        <f t="shared" si="81"/>
        <v>Q1 2023</v>
      </c>
      <c r="AT120" s="182" t="str">
        <f t="shared" si="82"/>
        <v>1H2023</v>
      </c>
      <c r="AU120" s="184" t="str">
        <f t="shared" si="83"/>
        <v>20-50K</v>
      </c>
      <c r="AV120" s="179">
        <f t="shared" si="100"/>
        <v>33340</v>
      </c>
      <c r="AW120" s="233">
        <f t="shared" si="84"/>
        <v>73348</v>
      </c>
      <c r="AX120" s="233">
        <f t="shared" si="85"/>
        <v>90351.4</v>
      </c>
      <c r="AY120" s="198">
        <f t="shared" si="101"/>
        <v>110022</v>
      </c>
      <c r="AZ120" s="233">
        <f t="shared" si="98"/>
        <v>153364</v>
      </c>
      <c r="BA120" s="233">
        <f t="shared" si="86"/>
        <v>153364</v>
      </c>
      <c r="BB120" s="233">
        <f t="shared" si="87"/>
        <v>153364</v>
      </c>
      <c r="BC120" s="233">
        <f t="shared" si="77"/>
        <v>0</v>
      </c>
      <c r="BD120" s="233">
        <f t="shared" si="99"/>
        <v>0</v>
      </c>
      <c r="BE120" s="233">
        <f t="shared" si="88"/>
        <v>100020</v>
      </c>
      <c r="BF120" s="233">
        <f t="shared" si="89"/>
        <v>33340</v>
      </c>
      <c r="BG120" s="233">
        <f t="shared" si="90"/>
        <v>169700.6</v>
      </c>
      <c r="BH120" s="186">
        <f t="shared" si="91"/>
        <v>153364</v>
      </c>
      <c r="BI120" s="233">
        <f t="shared" si="92"/>
        <v>7.8245220521113161E-4</v>
      </c>
      <c r="BJ120" s="233">
        <f t="shared" si="93"/>
        <v>119.99999999999999</v>
      </c>
      <c r="BK120" s="233">
        <f t="shared" si="94"/>
        <v>394311.87677269999</v>
      </c>
      <c r="BL120" s="233">
        <f t="shared" si="95"/>
        <v>433420</v>
      </c>
      <c r="BM120" s="233">
        <f t="shared" si="96"/>
        <v>100020</v>
      </c>
      <c r="BN120" s="233">
        <f t="shared" si="97"/>
        <v>100020</v>
      </c>
    </row>
    <row r="121" spans="1:66" s="198" customFormat="1" hidden="1" outlineLevel="1">
      <c r="A121" s="176" t="s">
        <v>492</v>
      </c>
      <c r="B121" s="176" t="s">
        <v>157</v>
      </c>
      <c r="C121" s="176" t="s">
        <v>157</v>
      </c>
      <c r="D121" s="192" t="s">
        <v>413</v>
      </c>
      <c r="E121" s="192">
        <f>O121/N121-1</f>
        <v>0.73109243697478998</v>
      </c>
      <c r="F121" s="176" t="s">
        <v>158</v>
      </c>
      <c r="G121" s="176">
        <f>_xlfn.XLOOKUP(AN121,[2]ySQL_0_24102024094604!$B:$B,[2]ySQL_0_24102024094604!$D:$D,0)</f>
        <v>0</v>
      </c>
      <c r="H121" s="176" t="s">
        <v>493</v>
      </c>
      <c r="I121" s="177">
        <v>60</v>
      </c>
      <c r="J121" s="194">
        <v>45000</v>
      </c>
      <c r="K121" s="194"/>
      <c r="L121" s="194"/>
      <c r="M121" s="194"/>
      <c r="N121" s="177">
        <v>2.38</v>
      </c>
      <c r="O121" s="177">
        <v>4.12</v>
      </c>
      <c r="P121" s="177">
        <v>4.1500000000000004</v>
      </c>
      <c r="Q121" s="177">
        <v>4.1500000000000004</v>
      </c>
      <c r="R121" s="177">
        <v>4</v>
      </c>
      <c r="S121" s="177">
        <v>3.5</v>
      </c>
      <c r="T121" s="179">
        <v>8.4500726574999998</v>
      </c>
      <c r="U121" s="177">
        <v>11</v>
      </c>
      <c r="V121" s="177">
        <v>0</v>
      </c>
      <c r="W121" s="177">
        <v>0</v>
      </c>
      <c r="X121" s="180">
        <v>20224</v>
      </c>
      <c r="Y121" s="180"/>
      <c r="Z121" s="180">
        <v>22500</v>
      </c>
      <c r="AA121" s="180">
        <v>0</v>
      </c>
      <c r="AB121" s="180">
        <v>0</v>
      </c>
      <c r="AC121" s="180">
        <v>42724</v>
      </c>
      <c r="AD121" s="195">
        <v>505605.12</v>
      </c>
      <c r="AE121" s="177" t="s">
        <v>161</v>
      </c>
      <c r="AF121" s="182">
        <v>44971</v>
      </c>
      <c r="AG121" s="177">
        <v>4.1006725327651292</v>
      </c>
      <c r="AH121" s="177">
        <v>3.9413144101150484</v>
      </c>
      <c r="AI121" s="196">
        <v>1.1886136682999999</v>
      </c>
      <c r="AJ121" s="196">
        <v>5.0285684310000001</v>
      </c>
      <c r="AK121" s="177"/>
      <c r="AL121" s="177"/>
      <c r="AM121" s="177"/>
      <c r="AN121" s="177" t="s">
        <v>494</v>
      </c>
      <c r="AO121" s="177"/>
      <c r="AP121" s="196">
        <f>AG121/O121-1</f>
        <v>-4.6911328239978012E-3</v>
      </c>
      <c r="AQ121" s="196">
        <f>AH121/O121-1</f>
        <v>-4.3370288807027091E-2</v>
      </c>
      <c r="AR121" s="177" t="str">
        <f t="shared" si="80"/>
        <v>Renewal</v>
      </c>
      <c r="AS121" s="182" t="str">
        <f t="shared" si="81"/>
        <v>Q1 2023</v>
      </c>
      <c r="AT121" s="182" t="str">
        <f t="shared" si="82"/>
        <v>1H2023</v>
      </c>
      <c r="AU121" s="184" t="str">
        <f t="shared" si="83"/>
        <v>20-50K</v>
      </c>
      <c r="AV121" s="179">
        <f t="shared" si="100"/>
        <v>45000</v>
      </c>
      <c r="AW121" s="233">
        <f t="shared" si="84"/>
        <v>107100</v>
      </c>
      <c r="AX121" s="233">
        <f t="shared" si="85"/>
        <v>185400</v>
      </c>
      <c r="AY121" s="198">
        <f t="shared" si="101"/>
        <v>186750.00000000003</v>
      </c>
      <c r="AZ121" s="233">
        <f t="shared" si="98"/>
        <v>186750.00000000003</v>
      </c>
      <c r="BA121" s="233">
        <f t="shared" si="86"/>
        <v>186750.00000000003</v>
      </c>
      <c r="BB121" s="233">
        <f t="shared" si="87"/>
        <v>186750.00000000003</v>
      </c>
      <c r="BC121" s="233">
        <f t="shared" si="77"/>
        <v>184530.26397443083</v>
      </c>
      <c r="BD121" s="233">
        <f t="shared" si="99"/>
        <v>177359.14845517717</v>
      </c>
      <c r="BE121" s="233">
        <f t="shared" si="88"/>
        <v>0</v>
      </c>
      <c r="BF121" s="233">
        <f t="shared" si="89"/>
        <v>0</v>
      </c>
      <c r="BG121" s="233">
        <f t="shared" si="90"/>
        <v>0</v>
      </c>
      <c r="BH121" s="186" t="str">
        <f t="shared" si="91"/>
        <v/>
      </c>
      <c r="BI121" s="233">
        <f t="shared" si="92"/>
        <v>0</v>
      </c>
      <c r="BJ121" s="233">
        <f t="shared" si="93"/>
        <v>0</v>
      </c>
      <c r="BK121" s="233">
        <f t="shared" si="94"/>
        <v>380253.26958749996</v>
      </c>
      <c r="BL121" s="233">
        <f t="shared" si="95"/>
        <v>495000</v>
      </c>
      <c r="BM121" s="233">
        <f t="shared" si="96"/>
        <v>180000</v>
      </c>
      <c r="BN121" s="233">
        <f t="shared" si="97"/>
        <v>157500</v>
      </c>
    </row>
    <row r="122" spans="1:66" s="198" customFormat="1" hidden="1" outlineLevel="1">
      <c r="A122" s="176" t="s">
        <v>495</v>
      </c>
      <c r="B122" s="176" t="s">
        <v>157</v>
      </c>
      <c r="C122" s="176"/>
      <c r="D122" s="176"/>
      <c r="E122" s="176"/>
      <c r="F122" s="176" t="s">
        <v>173</v>
      </c>
      <c r="G122" s="176">
        <f>_xlfn.XLOOKUP(AN122,[2]ySQL_0_24102024094604!$B:$B,[2]ySQL_0_24102024094604!$D:$D,0)</f>
        <v>0</v>
      </c>
      <c r="H122" s="176" t="s">
        <v>496</v>
      </c>
      <c r="I122" s="177">
        <v>36</v>
      </c>
      <c r="J122" s="194">
        <v>50000</v>
      </c>
      <c r="K122" s="194"/>
      <c r="L122" s="194"/>
      <c r="M122" s="194"/>
      <c r="N122" s="177">
        <v>9.01</v>
      </c>
      <c r="O122" s="177">
        <v>12.38</v>
      </c>
      <c r="P122" s="177">
        <v>13.5</v>
      </c>
      <c r="Q122" s="177">
        <v>14.5</v>
      </c>
      <c r="R122" s="177">
        <v>4.5</v>
      </c>
      <c r="S122" s="177">
        <v>3</v>
      </c>
      <c r="T122" s="179">
        <v>7.4999730472000001</v>
      </c>
      <c r="U122" s="177">
        <v>19</v>
      </c>
      <c r="V122" s="177">
        <v>0</v>
      </c>
      <c r="W122" s="177">
        <v>0</v>
      </c>
      <c r="X122" s="180">
        <v>166749</v>
      </c>
      <c r="Y122" s="180"/>
      <c r="Z122" s="180">
        <v>0</v>
      </c>
      <c r="AA122" s="180">
        <v>0</v>
      </c>
      <c r="AB122" s="180">
        <v>0</v>
      </c>
      <c r="AC122" s="180">
        <v>166749</v>
      </c>
      <c r="AD122" s="195">
        <v>2223327.9900000002</v>
      </c>
      <c r="AE122" s="177" t="s">
        <v>147</v>
      </c>
      <c r="AF122" s="182">
        <v>44953</v>
      </c>
      <c r="AG122" s="177">
        <v>14.105026782552805</v>
      </c>
      <c r="AH122" s="177">
        <v>12.407344345468378</v>
      </c>
      <c r="AI122" s="196">
        <v>2.7239532238000002</v>
      </c>
      <c r="AJ122" s="196">
        <v>14.4321079623</v>
      </c>
      <c r="AK122" s="177">
        <v>1.4</v>
      </c>
      <c r="AL122" s="177"/>
      <c r="AM122" s="177"/>
      <c r="AN122" s="177" t="s">
        <v>497</v>
      </c>
      <c r="AO122" s="177"/>
      <c r="AP122" s="196">
        <f>AG122/O122-1</f>
        <v>0.13933980472962881</v>
      </c>
      <c r="AQ122" s="196">
        <f>AH122/O122-1</f>
        <v>2.2087516533422225E-3</v>
      </c>
      <c r="AR122" s="177" t="str">
        <f t="shared" si="80"/>
        <v>Renewal</v>
      </c>
      <c r="AS122" s="182" t="str">
        <f t="shared" si="81"/>
        <v>Q1 2023</v>
      </c>
      <c r="AT122" s="182" t="str">
        <f t="shared" si="82"/>
        <v>1H2023</v>
      </c>
      <c r="AU122" s="184" t="str">
        <f t="shared" si="83"/>
        <v>50-100K</v>
      </c>
      <c r="AV122" s="179">
        <f t="shared" si="100"/>
        <v>50000</v>
      </c>
      <c r="AW122" s="233">
        <f t="shared" si="84"/>
        <v>450500</v>
      </c>
      <c r="AX122" s="233">
        <f t="shared" si="85"/>
        <v>619000</v>
      </c>
      <c r="AY122" s="198">
        <f t="shared" si="101"/>
        <v>675000</v>
      </c>
      <c r="AZ122" s="233">
        <f t="shared" si="98"/>
        <v>725000</v>
      </c>
      <c r="BA122" s="233">
        <f t="shared" si="86"/>
        <v>725000</v>
      </c>
      <c r="BB122" s="233">
        <f t="shared" si="87"/>
        <v>725000</v>
      </c>
      <c r="BC122" s="233">
        <f t="shared" si="77"/>
        <v>705251.33912764024</v>
      </c>
      <c r="BD122" s="233">
        <f t="shared" si="99"/>
        <v>620367.21727341891</v>
      </c>
      <c r="BE122" s="233">
        <f t="shared" si="88"/>
        <v>0</v>
      </c>
      <c r="BF122" s="233">
        <f t="shared" si="89"/>
        <v>0</v>
      </c>
      <c r="BG122" s="233">
        <f t="shared" si="90"/>
        <v>0</v>
      </c>
      <c r="BH122" s="186" t="str">
        <f t="shared" si="91"/>
        <v/>
      </c>
      <c r="BI122" s="233">
        <f t="shared" si="92"/>
        <v>0</v>
      </c>
      <c r="BJ122" s="233">
        <f t="shared" si="93"/>
        <v>0</v>
      </c>
      <c r="BK122" s="233">
        <f t="shared" si="94"/>
        <v>374998.65236000001</v>
      </c>
      <c r="BL122" s="233">
        <f t="shared" si="95"/>
        <v>950000</v>
      </c>
      <c r="BM122" s="233">
        <f t="shared" si="96"/>
        <v>225000</v>
      </c>
      <c r="BN122" s="233">
        <f t="shared" si="97"/>
        <v>150000</v>
      </c>
    </row>
    <row r="123" spans="1:66" s="198" customFormat="1" hidden="1" outlineLevel="1">
      <c r="A123" s="176" t="s">
        <v>498</v>
      </c>
      <c r="B123" s="176" t="s">
        <v>143</v>
      </c>
      <c r="C123" s="176"/>
      <c r="D123" s="176"/>
      <c r="E123" s="176"/>
      <c r="F123" s="176" t="s">
        <v>158</v>
      </c>
      <c r="G123" s="176">
        <f>_xlfn.XLOOKUP(AN123,[2]ySQL_0_24102024094604!$B:$B,[2]ySQL_0_24102024094604!$D:$D,0)</f>
        <v>0</v>
      </c>
      <c r="H123" s="176" t="s">
        <v>499</v>
      </c>
      <c r="I123" s="177">
        <v>36</v>
      </c>
      <c r="J123" s="194">
        <v>41496</v>
      </c>
      <c r="K123" s="194"/>
      <c r="L123" s="194"/>
      <c r="M123" s="194"/>
      <c r="N123" s="177">
        <v>2.41</v>
      </c>
      <c r="O123" s="177">
        <v>3.35</v>
      </c>
      <c r="P123" s="177" t="s">
        <v>167</v>
      </c>
      <c r="Q123" s="177">
        <v>3.5</v>
      </c>
      <c r="R123" s="177">
        <v>3</v>
      </c>
      <c r="S123" s="177">
        <v>2</v>
      </c>
      <c r="T123" s="179">
        <v>8.3834362866000003</v>
      </c>
      <c r="U123" s="177">
        <v>23</v>
      </c>
      <c r="V123" s="177">
        <v>3</v>
      </c>
      <c r="W123" s="177">
        <f>6-$W$3</f>
        <v>5.09</v>
      </c>
      <c r="X123" s="180">
        <v>26934</v>
      </c>
      <c r="Y123" s="180"/>
      <c r="Z123" s="180">
        <v>0</v>
      </c>
      <c r="AA123" s="180">
        <v>10700</v>
      </c>
      <c r="AB123" s="180">
        <v>0</v>
      </c>
      <c r="AC123" s="180">
        <v>37634</v>
      </c>
      <c r="AD123" s="195">
        <v>448909</v>
      </c>
      <c r="AE123" s="177" t="s">
        <v>147</v>
      </c>
      <c r="AF123" s="182">
        <v>44524</v>
      </c>
      <c r="AG123" s="177">
        <v>3.5247781324826755</v>
      </c>
      <c r="AH123" s="177">
        <v>3.4029156748097797</v>
      </c>
      <c r="AI123" s="196">
        <f>AG123/Q123-1</f>
        <v>7.079466423621561E-3</v>
      </c>
      <c r="AJ123" s="196">
        <f>AH123/Q123-1</f>
        <v>-2.7738378625777216E-2</v>
      </c>
      <c r="AK123" s="177"/>
      <c r="AL123" s="177"/>
      <c r="AM123" s="177"/>
      <c r="AN123" s="177" t="s">
        <v>331</v>
      </c>
      <c r="AO123" s="177"/>
      <c r="AP123" s="196">
        <f>AG123/O123-1</f>
        <v>5.2172576860500142E-2</v>
      </c>
      <c r="AQ123" s="196">
        <f>AH123/O123-1</f>
        <v>1.5795723823814889E-2</v>
      </c>
      <c r="AR123" s="177" t="str">
        <f t="shared" si="80"/>
        <v>New Lease</v>
      </c>
      <c r="AS123" s="182" t="str">
        <f t="shared" si="81"/>
        <v>Q4 2021</v>
      </c>
      <c r="AT123" s="182" t="str">
        <f t="shared" si="82"/>
        <v>2H2021</v>
      </c>
      <c r="AU123" s="184" t="str">
        <f t="shared" si="83"/>
        <v>20-50K</v>
      </c>
      <c r="AV123" s="179">
        <f t="shared" si="100"/>
        <v>41496</v>
      </c>
      <c r="AW123" s="233">
        <f t="shared" si="84"/>
        <v>100005.36</v>
      </c>
      <c r="AX123" s="233">
        <f t="shared" si="85"/>
        <v>139011.6</v>
      </c>
      <c r="AY123" s="233"/>
      <c r="AZ123" s="233">
        <f t="shared" si="98"/>
        <v>145236</v>
      </c>
      <c r="BA123" s="233">
        <f t="shared" si="86"/>
        <v>145236</v>
      </c>
      <c r="BB123" s="233">
        <f t="shared" si="87"/>
        <v>145236</v>
      </c>
      <c r="BC123" s="233">
        <f t="shared" si="77"/>
        <v>146264.1933855011</v>
      </c>
      <c r="BD123" s="233">
        <f t="shared" si="99"/>
        <v>141207.38884190662</v>
      </c>
      <c r="BE123" s="233">
        <f t="shared" si="88"/>
        <v>124488</v>
      </c>
      <c r="BF123" s="233">
        <f t="shared" si="89"/>
        <v>41496</v>
      </c>
      <c r="BG123" s="233">
        <f t="shared" si="90"/>
        <v>211214.63999999998</v>
      </c>
      <c r="BH123" s="186" t="str">
        <f t="shared" si="91"/>
        <v/>
      </c>
      <c r="BI123" s="233">
        <f t="shared" si="92"/>
        <v>0</v>
      </c>
      <c r="BJ123" s="233">
        <f t="shared" si="93"/>
        <v>0</v>
      </c>
      <c r="BK123" s="233">
        <f t="shared" si="94"/>
        <v>347879.07214875362</v>
      </c>
      <c r="BL123" s="233">
        <f t="shared" si="95"/>
        <v>954408</v>
      </c>
      <c r="BM123" s="233">
        <f t="shared" si="96"/>
        <v>124488</v>
      </c>
      <c r="BN123" s="233">
        <f t="shared" si="97"/>
        <v>82992</v>
      </c>
    </row>
    <row r="124" spans="1:66" s="198" customFormat="1" hidden="1" outlineLevel="1">
      <c r="A124" s="176" t="s">
        <v>500</v>
      </c>
      <c r="B124" s="176" t="s">
        <v>143</v>
      </c>
      <c r="C124" s="176"/>
      <c r="D124" s="176"/>
      <c r="E124" s="176"/>
      <c r="F124" s="176" t="s">
        <v>173</v>
      </c>
      <c r="G124" s="176">
        <f>_xlfn.XLOOKUP(AN124,[2]ySQL_0_24102024094604!$B:$B,[2]ySQL_0_24102024094604!$D:$D,0)</f>
        <v>0</v>
      </c>
      <c r="H124" s="176" t="s">
        <v>501</v>
      </c>
      <c r="I124" s="177">
        <v>61</v>
      </c>
      <c r="J124" s="178">
        <v>50000</v>
      </c>
      <c r="K124" s="178">
        <f>VLOOKUP(AN124,'[4]Performance Table'!$B$4:$BJ$388,61,0)</f>
        <v>15417018.24</v>
      </c>
      <c r="L124" s="178">
        <f>VLOOKUP(H124,'[5]Leasing Activity Report'!$F$4:$J$25,5,0)</f>
        <v>71000</v>
      </c>
      <c r="M124" s="190">
        <f>Q124/(K124/L124)</f>
        <v>7.1382155931081007E-2</v>
      </c>
      <c r="N124" s="177">
        <v>14.5</v>
      </c>
      <c r="O124" s="177">
        <v>13.14</v>
      </c>
      <c r="P124" s="177">
        <v>14.47</v>
      </c>
      <c r="Q124" s="177">
        <v>15.5</v>
      </c>
      <c r="R124" s="177">
        <v>4</v>
      </c>
      <c r="S124" s="177">
        <v>3</v>
      </c>
      <c r="T124" s="179">
        <f>AC124/AD124*100</f>
        <v>9.0335391190787142</v>
      </c>
      <c r="U124" s="177"/>
      <c r="V124" s="177">
        <v>3.2</v>
      </c>
      <c r="W124" s="177">
        <v>6</v>
      </c>
      <c r="X124" s="188">
        <v>315862.5</v>
      </c>
      <c r="Y124" s="188"/>
      <c r="Z124" s="188" t="s">
        <v>167</v>
      </c>
      <c r="AA124" s="188"/>
      <c r="AB124" s="188">
        <v>64585</v>
      </c>
      <c r="AC124" s="188">
        <f>SUM(X124:AB124)</f>
        <v>380447.5</v>
      </c>
      <c r="AD124" s="189">
        <v>4211500</v>
      </c>
      <c r="AE124" s="177" t="s">
        <v>147</v>
      </c>
      <c r="AF124" s="182">
        <v>45350</v>
      </c>
      <c r="AG124" s="177"/>
      <c r="AH124" s="177"/>
      <c r="AI124" s="183"/>
      <c r="AJ124" s="183"/>
      <c r="AK124" s="177"/>
      <c r="AL124" s="177"/>
      <c r="AM124" s="177"/>
      <c r="AN124" s="177" t="s">
        <v>497</v>
      </c>
      <c r="AO124" s="177"/>
      <c r="AP124" s="183"/>
      <c r="AQ124" s="183"/>
      <c r="AR124" s="177" t="str">
        <f t="shared" si="80"/>
        <v>New Lease</v>
      </c>
      <c r="AS124" s="182" t="str">
        <f t="shared" si="81"/>
        <v>Q1 2024</v>
      </c>
      <c r="AT124" s="182" t="str">
        <f t="shared" si="82"/>
        <v>1H2024</v>
      </c>
      <c r="AU124" s="184" t="str">
        <f t="shared" si="83"/>
        <v>50-100K</v>
      </c>
      <c r="AV124" s="179">
        <f t="shared" si="100"/>
        <v>50000</v>
      </c>
      <c r="AW124" s="233">
        <f t="shared" si="84"/>
        <v>725000</v>
      </c>
      <c r="AX124" s="233">
        <f t="shared" si="85"/>
        <v>657000</v>
      </c>
      <c r="AY124" s="198">
        <f>IF(P124="","",J124*P124)</f>
        <v>723500</v>
      </c>
      <c r="AZ124" s="233">
        <f>IFERROR(Q124*AV124,"")</f>
        <v>775000</v>
      </c>
      <c r="BA124" s="233">
        <f t="shared" si="86"/>
        <v>775000</v>
      </c>
      <c r="BB124" s="233">
        <f t="shared" si="87"/>
        <v>775000</v>
      </c>
      <c r="BC124" s="233">
        <f t="shared" si="77"/>
        <v>0</v>
      </c>
      <c r="BD124" s="233">
        <f t="shared" si="99"/>
        <v>0</v>
      </c>
      <c r="BE124" s="233">
        <f t="shared" si="88"/>
        <v>160000</v>
      </c>
      <c r="BF124" s="233">
        <f t="shared" si="89"/>
        <v>50000</v>
      </c>
      <c r="BG124" s="233">
        <f t="shared" si="90"/>
        <v>300000</v>
      </c>
      <c r="BH124" s="186">
        <f t="shared" si="91"/>
        <v>775000</v>
      </c>
      <c r="BI124" s="233">
        <f t="shared" si="92"/>
        <v>1.0000258064516128</v>
      </c>
      <c r="BJ124" s="233">
        <f t="shared" si="93"/>
        <v>775019.99999999988</v>
      </c>
      <c r="BK124" s="233">
        <f t="shared" si="94"/>
        <v>451676.95595393569</v>
      </c>
      <c r="BL124" s="233">
        <f t="shared" si="95"/>
        <v>0</v>
      </c>
      <c r="BM124" s="233">
        <f t="shared" si="96"/>
        <v>200000</v>
      </c>
      <c r="BN124" s="233">
        <f t="shared" si="97"/>
        <v>150000</v>
      </c>
    </row>
    <row r="125" spans="1:66" s="198" customFormat="1" hidden="1" outlineLevel="1">
      <c r="A125" s="176" t="s">
        <v>502</v>
      </c>
      <c r="B125" s="176" t="s">
        <v>157</v>
      </c>
      <c r="C125" s="176" t="s">
        <v>157</v>
      </c>
      <c r="D125" s="192" t="s">
        <v>413</v>
      </c>
      <c r="E125" s="192">
        <f>O125/N125-1</f>
        <v>0.38225255972696237</v>
      </c>
      <c r="F125" s="176" t="s">
        <v>158</v>
      </c>
      <c r="G125" s="176">
        <f>_xlfn.XLOOKUP(AN125,[2]ySQL_0_24102024094604!$B:$B,[2]ySQL_0_24102024094604!$D:$D,0)</f>
        <v>0</v>
      </c>
      <c r="H125" s="176" t="s">
        <v>503</v>
      </c>
      <c r="I125" s="177">
        <v>24</v>
      </c>
      <c r="J125" s="194">
        <v>30000</v>
      </c>
      <c r="K125" s="194"/>
      <c r="L125" s="194"/>
      <c r="M125" s="194"/>
      <c r="N125" s="177">
        <v>2.93</v>
      </c>
      <c r="O125" s="177">
        <v>4.05</v>
      </c>
      <c r="P125" s="177" t="s">
        <v>167</v>
      </c>
      <c r="Q125" s="177">
        <v>4.3499999999999996</v>
      </c>
      <c r="R125" s="177">
        <v>4</v>
      </c>
      <c r="S125" s="177">
        <v>4</v>
      </c>
      <c r="T125" s="179">
        <v>4</v>
      </c>
      <c r="U125" s="177">
        <v>11</v>
      </c>
      <c r="V125" s="177">
        <v>0</v>
      </c>
      <c r="W125" s="177">
        <v>0</v>
      </c>
      <c r="X125" s="180">
        <v>10620</v>
      </c>
      <c r="Y125" s="180"/>
      <c r="Z125" s="180">
        <v>0</v>
      </c>
      <c r="AA125" s="180">
        <v>0</v>
      </c>
      <c r="AB125" s="180">
        <v>0</v>
      </c>
      <c r="AC125" s="180">
        <v>10620</v>
      </c>
      <c r="AD125" s="195">
        <v>265500</v>
      </c>
      <c r="AE125" s="177" t="s">
        <v>161</v>
      </c>
      <c r="AF125" s="182">
        <v>44832</v>
      </c>
      <c r="AG125" s="177">
        <v>5.1575460209889883</v>
      </c>
      <c r="AH125" s="177">
        <v>5.1590039102887095</v>
      </c>
      <c r="AI125" s="196">
        <f>AG125/Q125-1</f>
        <v>0.18564276344574449</v>
      </c>
      <c r="AJ125" s="196">
        <f>AH125/Q125-1</f>
        <v>0.1859779104111976</v>
      </c>
      <c r="AK125" s="177"/>
      <c r="AL125" s="177"/>
      <c r="AM125" s="177"/>
      <c r="AN125" s="177" t="s">
        <v>260</v>
      </c>
      <c r="AO125" s="177"/>
      <c r="AP125" s="196">
        <f>AG125/O125-1</f>
        <v>0.27346815333061447</v>
      </c>
      <c r="AQ125" s="196">
        <f>AH125/O125-1</f>
        <v>0.27382812599721218</v>
      </c>
      <c r="AR125" s="177" t="str">
        <f t="shared" si="80"/>
        <v>Renewal</v>
      </c>
      <c r="AS125" s="182" t="str">
        <f t="shared" si="81"/>
        <v>Q3 2022</v>
      </c>
      <c r="AT125" s="182" t="str">
        <f t="shared" si="82"/>
        <v>2H2022</v>
      </c>
      <c r="AU125" s="184" t="str">
        <f t="shared" si="83"/>
        <v>20-50K</v>
      </c>
      <c r="AV125" s="179">
        <f t="shared" si="100"/>
        <v>30000</v>
      </c>
      <c r="AW125" s="233">
        <f t="shared" si="84"/>
        <v>87900</v>
      </c>
      <c r="AX125" s="233">
        <f t="shared" si="85"/>
        <v>121500</v>
      </c>
      <c r="AY125" s="233"/>
      <c r="AZ125" s="233">
        <f>Q125*AV125</f>
        <v>130499.99999999999</v>
      </c>
      <c r="BA125" s="233">
        <f t="shared" si="86"/>
        <v>130499.99999999999</v>
      </c>
      <c r="BB125" s="233">
        <f t="shared" si="87"/>
        <v>130499.99999999999</v>
      </c>
      <c r="BC125" s="233">
        <f t="shared" si="77"/>
        <v>154726.38062966964</v>
      </c>
      <c r="BD125" s="233">
        <f t="shared" si="99"/>
        <v>154770.11730866128</v>
      </c>
      <c r="BE125" s="233">
        <f t="shared" si="88"/>
        <v>0</v>
      </c>
      <c r="BF125" s="233">
        <f t="shared" si="89"/>
        <v>0</v>
      </c>
      <c r="BG125" s="233">
        <f t="shared" si="90"/>
        <v>0</v>
      </c>
      <c r="BH125" s="186" t="str">
        <f t="shared" si="91"/>
        <v/>
      </c>
      <c r="BI125" s="233">
        <f t="shared" si="92"/>
        <v>0</v>
      </c>
      <c r="BJ125" s="233">
        <f t="shared" si="93"/>
        <v>0</v>
      </c>
      <c r="BK125" s="233">
        <f t="shared" si="94"/>
        <v>120000</v>
      </c>
      <c r="BL125" s="233">
        <f t="shared" si="95"/>
        <v>330000</v>
      </c>
      <c r="BM125" s="233">
        <f t="shared" si="96"/>
        <v>120000</v>
      </c>
      <c r="BN125" s="233">
        <f t="shared" si="97"/>
        <v>120000</v>
      </c>
    </row>
    <row r="126" spans="1:66" s="198" customFormat="1" hidden="1" outlineLevel="1">
      <c r="A126" s="176" t="s">
        <v>504</v>
      </c>
      <c r="B126" s="176" t="s">
        <v>157</v>
      </c>
      <c r="C126" s="176"/>
      <c r="D126" s="176"/>
      <c r="E126" s="176"/>
      <c r="F126" s="176" t="s">
        <v>153</v>
      </c>
      <c r="G126" s="176" t="str">
        <f>_xlfn.XLOOKUP(AN126,[2]ySQL_0_24102024094604!$B:$B,[2]ySQL_0_24102024094604!$D:$D,0)</f>
        <v>Yes</v>
      </c>
      <c r="H126" s="176" t="s">
        <v>505</v>
      </c>
      <c r="I126" s="177">
        <v>60</v>
      </c>
      <c r="J126" s="194">
        <v>32598</v>
      </c>
      <c r="K126" s="194"/>
      <c r="L126" s="194"/>
      <c r="M126" s="194"/>
      <c r="N126" s="177">
        <v>3.4</v>
      </c>
      <c r="O126" s="177">
        <v>5.45</v>
      </c>
      <c r="P126" s="177">
        <v>6.5</v>
      </c>
      <c r="Q126" s="177">
        <v>6.5</v>
      </c>
      <c r="R126" s="179">
        <v>4.5</v>
      </c>
      <c r="S126" s="179">
        <v>4.5</v>
      </c>
      <c r="T126" s="179">
        <v>6.4999676860999998</v>
      </c>
      <c r="U126" s="197">
        <v>23</v>
      </c>
      <c r="V126" s="177">
        <v>0</v>
      </c>
      <c r="W126" s="177">
        <v>0</v>
      </c>
      <c r="X126" s="180">
        <v>159915</v>
      </c>
      <c r="Y126" s="180"/>
      <c r="Z126" s="180">
        <v>0</v>
      </c>
      <c r="AA126" s="180">
        <v>0</v>
      </c>
      <c r="AB126" s="180">
        <v>0</v>
      </c>
      <c r="AC126" s="180">
        <v>159915</v>
      </c>
      <c r="AD126" s="195">
        <v>2460243</v>
      </c>
      <c r="AE126" s="177" t="s">
        <v>147</v>
      </c>
      <c r="AF126" s="182">
        <v>44879</v>
      </c>
      <c r="AG126" s="197">
        <v>6.9308342934204603</v>
      </c>
      <c r="AH126" s="197">
        <v>6.160056745715603</v>
      </c>
      <c r="AI126" s="196">
        <f>AG126/Q126-1</f>
        <v>6.6282198987763108E-2</v>
      </c>
      <c r="AJ126" s="196">
        <f>AH126/Q126-1</f>
        <v>-5.2298962197599552E-2</v>
      </c>
      <c r="AK126" s="177"/>
      <c r="AL126" s="177"/>
      <c r="AM126" s="177"/>
      <c r="AN126" s="177" t="s">
        <v>506</v>
      </c>
      <c r="AO126" s="177"/>
      <c r="AP126" s="196">
        <f>AG126/O126-1</f>
        <v>0.27171271438907518</v>
      </c>
      <c r="AQ126" s="196">
        <f>AH126/O126-1</f>
        <v>0.13028564141570698</v>
      </c>
      <c r="AR126" s="177" t="str">
        <f t="shared" si="80"/>
        <v>Renewal</v>
      </c>
      <c r="AS126" s="182" t="str">
        <f t="shared" si="81"/>
        <v>Q4 2022</v>
      </c>
      <c r="AT126" s="182" t="str">
        <f t="shared" si="82"/>
        <v>2H2022</v>
      </c>
      <c r="AU126" s="184" t="str">
        <f t="shared" si="83"/>
        <v>20-50K</v>
      </c>
      <c r="AV126" s="179">
        <f t="shared" si="100"/>
        <v>32598</v>
      </c>
      <c r="AW126" s="233">
        <f t="shared" si="84"/>
        <v>110833.2</v>
      </c>
      <c r="AX126" s="233">
        <f t="shared" si="85"/>
        <v>177659.1</v>
      </c>
      <c r="AY126" s="233">
        <f>J126*P126</f>
        <v>211887</v>
      </c>
      <c r="AZ126" s="233">
        <f>Q126*AV126</f>
        <v>211887</v>
      </c>
      <c r="BA126" s="233">
        <f t="shared" si="86"/>
        <v>211887</v>
      </c>
      <c r="BB126" s="233">
        <f t="shared" si="87"/>
        <v>211887</v>
      </c>
      <c r="BC126" s="233">
        <f t="shared" si="77"/>
        <v>225931.33629692017</v>
      </c>
      <c r="BD126" s="233">
        <f t="shared" si="99"/>
        <v>200805.52979683722</v>
      </c>
      <c r="BE126" s="233">
        <f t="shared" si="88"/>
        <v>0</v>
      </c>
      <c r="BF126" s="233">
        <f t="shared" si="89"/>
        <v>0</v>
      </c>
      <c r="BG126" s="233">
        <f t="shared" si="90"/>
        <v>0</v>
      </c>
      <c r="BH126" s="186" t="str">
        <f t="shared" si="91"/>
        <v/>
      </c>
      <c r="BI126" s="233">
        <f t="shared" si="92"/>
        <v>0</v>
      </c>
      <c r="BJ126" s="233">
        <f t="shared" si="93"/>
        <v>0</v>
      </c>
      <c r="BK126" s="233">
        <f t="shared" si="94"/>
        <v>211885.94663148778</v>
      </c>
      <c r="BL126" s="233">
        <f t="shared" si="95"/>
        <v>749754</v>
      </c>
      <c r="BM126" s="233">
        <f t="shared" si="96"/>
        <v>146691</v>
      </c>
      <c r="BN126" s="233">
        <f t="shared" si="97"/>
        <v>146691</v>
      </c>
    </row>
    <row r="127" spans="1:66" s="198" customFormat="1" hidden="1" outlineLevel="1">
      <c r="A127" s="176" t="s">
        <v>507</v>
      </c>
      <c r="B127" s="176" t="s">
        <v>157</v>
      </c>
      <c r="C127" s="176" t="s">
        <v>157</v>
      </c>
      <c r="D127" s="192" t="s">
        <v>291</v>
      </c>
      <c r="E127" s="192">
        <f>O127/N127-1</f>
        <v>8.0000000000000071E-2</v>
      </c>
      <c r="F127" s="176" t="s">
        <v>474</v>
      </c>
      <c r="G127" s="176" t="str">
        <f>_xlfn.XLOOKUP(AN127,[2]ySQL_0_24102024094604!$B:$B,[2]ySQL_0_24102024094604!$D:$D,0)</f>
        <v>Yes</v>
      </c>
      <c r="H127" s="176" t="s">
        <v>508</v>
      </c>
      <c r="I127" s="177">
        <v>36</v>
      </c>
      <c r="J127" s="194">
        <v>25327</v>
      </c>
      <c r="K127" s="194"/>
      <c r="L127" s="194"/>
      <c r="M127" s="194"/>
      <c r="N127" s="177">
        <v>8.5</v>
      </c>
      <c r="O127" s="177">
        <v>9.18</v>
      </c>
      <c r="P127" s="177" t="s">
        <v>167</v>
      </c>
      <c r="Q127" s="177">
        <v>9.9499999999999993</v>
      </c>
      <c r="R127" s="177">
        <v>4</v>
      </c>
      <c r="S127" s="177">
        <v>3</v>
      </c>
      <c r="T127" s="179">
        <v>3.9999994915000001</v>
      </c>
      <c r="U127" s="177">
        <v>12.85</v>
      </c>
      <c r="V127" s="177">
        <v>0</v>
      </c>
      <c r="W127" s="177">
        <v>0</v>
      </c>
      <c r="X127" s="180">
        <v>31466.18</v>
      </c>
      <c r="Y127" s="180"/>
      <c r="Z127" s="180">
        <v>0</v>
      </c>
      <c r="AA127" s="180">
        <v>0</v>
      </c>
      <c r="AB127" s="180">
        <v>0</v>
      </c>
      <c r="AC127" s="180">
        <v>31466.18</v>
      </c>
      <c r="AD127" s="195">
        <v>786654.6</v>
      </c>
      <c r="AE127" s="177" t="s">
        <v>161</v>
      </c>
      <c r="AF127" s="182">
        <v>44791</v>
      </c>
      <c r="AG127" s="177">
        <v>12.879764584683679</v>
      </c>
      <c r="AH127" s="177">
        <v>11.927059491089704</v>
      </c>
      <c r="AI127" s="196">
        <f>AG127/Q127-1</f>
        <v>0.29444870197825934</v>
      </c>
      <c r="AJ127" s="196">
        <f>AH127/Q127-1</f>
        <v>0.19869944634067394</v>
      </c>
      <c r="AK127" s="177">
        <v>4</v>
      </c>
      <c r="AL127" s="177"/>
      <c r="AM127" s="177"/>
      <c r="AN127" s="177" t="s">
        <v>509</v>
      </c>
      <c r="AO127" s="177"/>
      <c r="AP127" s="196">
        <f>AG127/O127-1</f>
        <v>0.4030244645624923</v>
      </c>
      <c r="AQ127" s="196">
        <f>AH127/O127-1</f>
        <v>0.29924395327774556</v>
      </c>
      <c r="AR127" s="177" t="str">
        <f t="shared" si="80"/>
        <v>Renewal</v>
      </c>
      <c r="AS127" s="182" t="str">
        <f t="shared" si="81"/>
        <v>Q3 2022</v>
      </c>
      <c r="AT127" s="182" t="str">
        <f t="shared" si="82"/>
        <v>2H2022</v>
      </c>
      <c r="AU127" s="184" t="str">
        <f t="shared" si="83"/>
        <v>20-50K</v>
      </c>
      <c r="AV127" s="179">
        <f t="shared" si="100"/>
        <v>25327</v>
      </c>
      <c r="AW127" s="233">
        <f t="shared" si="84"/>
        <v>215279.5</v>
      </c>
      <c r="AX127" s="233">
        <f t="shared" si="85"/>
        <v>232501.86</v>
      </c>
      <c r="AY127" s="233"/>
      <c r="AZ127" s="233">
        <f>Q127*AV127</f>
        <v>252003.65</v>
      </c>
      <c r="BA127" s="233">
        <f t="shared" si="86"/>
        <v>252003.65</v>
      </c>
      <c r="BB127" s="233">
        <f t="shared" si="87"/>
        <v>252003.65</v>
      </c>
      <c r="BC127" s="233">
        <f t="shared" si="77"/>
        <v>326205.79763628356</v>
      </c>
      <c r="BD127" s="233">
        <f t="shared" si="99"/>
        <v>302076.63573082892</v>
      </c>
      <c r="BE127" s="233">
        <f t="shared" si="88"/>
        <v>0</v>
      </c>
      <c r="BF127" s="233">
        <f t="shared" si="89"/>
        <v>0</v>
      </c>
      <c r="BG127" s="233">
        <f t="shared" si="90"/>
        <v>0</v>
      </c>
      <c r="BH127" s="186" t="str">
        <f t="shared" si="91"/>
        <v/>
      </c>
      <c r="BI127" s="233">
        <f t="shared" si="92"/>
        <v>0</v>
      </c>
      <c r="BJ127" s="233">
        <f t="shared" si="93"/>
        <v>0</v>
      </c>
      <c r="BK127" s="233">
        <f t="shared" si="94"/>
        <v>101307.9871212205</v>
      </c>
      <c r="BL127" s="233">
        <f t="shared" si="95"/>
        <v>325451.95</v>
      </c>
      <c r="BM127" s="233">
        <f t="shared" si="96"/>
        <v>101308</v>
      </c>
      <c r="BN127" s="233">
        <f t="shared" si="97"/>
        <v>75981</v>
      </c>
    </row>
    <row r="128" spans="1:66" s="198" customFormat="1" hidden="1" outlineLevel="1">
      <c r="A128" s="176" t="s">
        <v>510</v>
      </c>
      <c r="B128" s="176" t="s">
        <v>157</v>
      </c>
      <c r="C128" s="176" t="s">
        <v>157</v>
      </c>
      <c r="D128" s="192" t="s">
        <v>413</v>
      </c>
      <c r="E128" s="192">
        <f>O128/N128-1</f>
        <v>0.52509652509652516</v>
      </c>
      <c r="F128" s="176" t="s">
        <v>158</v>
      </c>
      <c r="G128" s="176">
        <f>_xlfn.XLOOKUP(AN128,[2]ySQL_0_24102024094604!$B:$B,[2]ySQL_0_24102024094604!$D:$D,0)</f>
        <v>0</v>
      </c>
      <c r="H128" s="176" t="s">
        <v>511</v>
      </c>
      <c r="I128" s="177">
        <v>60</v>
      </c>
      <c r="J128" s="194">
        <v>24000</v>
      </c>
      <c r="K128" s="194"/>
      <c r="L128" s="194"/>
      <c r="M128" s="194"/>
      <c r="N128" s="177">
        <v>2.59</v>
      </c>
      <c r="O128" s="177">
        <v>3.95</v>
      </c>
      <c r="P128" s="177" t="s">
        <v>167</v>
      </c>
      <c r="Q128" s="177">
        <v>4</v>
      </c>
      <c r="R128" s="177">
        <v>4</v>
      </c>
      <c r="S128" s="177">
        <v>4</v>
      </c>
      <c r="T128" s="179">
        <v>9.9548530994999993</v>
      </c>
      <c r="U128" s="177">
        <v>12</v>
      </c>
      <c r="V128" s="177">
        <v>0</v>
      </c>
      <c r="W128" s="177">
        <v>0</v>
      </c>
      <c r="X128" s="180">
        <v>20803.2</v>
      </c>
      <c r="Y128" s="180"/>
      <c r="Z128" s="180">
        <v>30970</v>
      </c>
      <c r="AA128" s="180">
        <v>0</v>
      </c>
      <c r="AB128" s="180">
        <v>0</v>
      </c>
      <c r="AC128" s="180">
        <v>51773.2</v>
      </c>
      <c r="AD128" s="195">
        <v>520080</v>
      </c>
      <c r="AE128" s="177" t="s">
        <v>161</v>
      </c>
      <c r="AF128" s="182">
        <v>44832</v>
      </c>
      <c r="AG128" s="177">
        <v>4.1902470570390147</v>
      </c>
      <c r="AH128" s="177">
        <v>3.8846975100573116</v>
      </c>
      <c r="AI128" s="196">
        <f>AG128/Q128-1</f>
        <v>4.7561764259753669E-2</v>
      </c>
      <c r="AJ128" s="196">
        <f>AH128/Q128-1</f>
        <v>-2.8825622485672109E-2</v>
      </c>
      <c r="AK128" s="177"/>
      <c r="AL128" s="177"/>
      <c r="AM128" s="177"/>
      <c r="AN128" s="177" t="s">
        <v>164</v>
      </c>
      <c r="AO128" s="177"/>
      <c r="AP128" s="196">
        <f>AG128/O128-1</f>
        <v>6.082203975671252E-2</v>
      </c>
      <c r="AQ128" s="196">
        <f>AH128/O128-1</f>
        <v>-1.6532275934857843E-2</v>
      </c>
      <c r="AR128" s="177" t="str">
        <f t="shared" si="80"/>
        <v>Renewal</v>
      </c>
      <c r="AS128" s="182" t="str">
        <f t="shared" si="81"/>
        <v>Q3 2022</v>
      </c>
      <c r="AT128" s="182" t="str">
        <f t="shared" si="82"/>
        <v>2H2022</v>
      </c>
      <c r="AU128" s="184" t="str">
        <f t="shared" si="83"/>
        <v>20-50K</v>
      </c>
      <c r="AV128" s="179">
        <f t="shared" si="100"/>
        <v>24000</v>
      </c>
      <c r="AW128" s="233">
        <f t="shared" si="84"/>
        <v>62160</v>
      </c>
      <c r="AX128" s="233">
        <f t="shared" si="85"/>
        <v>94800</v>
      </c>
      <c r="AY128" s="233"/>
      <c r="AZ128" s="233">
        <f>Q128*AV128</f>
        <v>96000</v>
      </c>
      <c r="BA128" s="233">
        <f t="shared" si="86"/>
        <v>96000</v>
      </c>
      <c r="BB128" s="233">
        <f t="shared" si="87"/>
        <v>96000</v>
      </c>
      <c r="BC128" s="233">
        <f t="shared" si="77"/>
        <v>100565.92936893635</v>
      </c>
      <c r="BD128" s="233">
        <f t="shared" si="99"/>
        <v>93232.740241375475</v>
      </c>
      <c r="BE128" s="233">
        <f t="shared" si="88"/>
        <v>0</v>
      </c>
      <c r="BF128" s="233">
        <f t="shared" si="89"/>
        <v>0</v>
      </c>
      <c r="BG128" s="233">
        <f t="shared" si="90"/>
        <v>0</v>
      </c>
      <c r="BH128" s="186" t="str">
        <f t="shared" si="91"/>
        <v/>
      </c>
      <c r="BI128" s="233">
        <f t="shared" si="92"/>
        <v>0</v>
      </c>
      <c r="BJ128" s="233">
        <f t="shared" si="93"/>
        <v>0</v>
      </c>
      <c r="BK128" s="233">
        <f t="shared" si="94"/>
        <v>238916.47438799997</v>
      </c>
      <c r="BL128" s="233">
        <f t="shared" si="95"/>
        <v>288000</v>
      </c>
      <c r="BM128" s="233">
        <f t="shared" si="96"/>
        <v>96000</v>
      </c>
      <c r="BN128" s="233">
        <f t="shared" si="97"/>
        <v>96000</v>
      </c>
    </row>
    <row r="129" spans="1:66" s="198" customFormat="1" hidden="1" outlineLevel="1">
      <c r="A129" s="199" t="s">
        <v>512</v>
      </c>
      <c r="B129" s="176" t="s">
        <v>143</v>
      </c>
      <c r="C129" s="176"/>
      <c r="D129" s="176"/>
      <c r="E129" s="176"/>
      <c r="F129" s="176" t="s">
        <v>181</v>
      </c>
      <c r="G129" s="176">
        <f>_xlfn.XLOOKUP(AN129,[2]ySQL_0_24102024094604!$B:$B,[2]ySQL_0_24102024094604!$D:$D,0)</f>
        <v>0</v>
      </c>
      <c r="H129" s="199" t="s">
        <v>513</v>
      </c>
      <c r="I129" s="200">
        <v>84</v>
      </c>
      <c r="J129" s="194">
        <v>34895</v>
      </c>
      <c r="K129" s="194"/>
      <c r="L129" s="194"/>
      <c r="M129" s="194"/>
      <c r="N129" s="177">
        <v>7.33</v>
      </c>
      <c r="O129" s="177">
        <v>8.2899999999999991</v>
      </c>
      <c r="P129" s="177">
        <v>9</v>
      </c>
      <c r="Q129" s="177">
        <v>10</v>
      </c>
      <c r="R129" s="177">
        <v>4</v>
      </c>
      <c r="S129" s="177">
        <v>3</v>
      </c>
      <c r="T129" s="179">
        <v>3.9273612406999998</v>
      </c>
      <c r="U129" s="177">
        <v>44.11</v>
      </c>
      <c r="V129" s="177">
        <v>3.4</v>
      </c>
      <c r="W129" s="177">
        <f>9-$W$3</f>
        <v>8.09</v>
      </c>
      <c r="X129" s="180">
        <v>108242.39</v>
      </c>
      <c r="Y129" s="180"/>
      <c r="Z129" s="180">
        <v>0</v>
      </c>
      <c r="AA129" s="180">
        <v>0</v>
      </c>
      <c r="AB129" s="180">
        <v>0</v>
      </c>
      <c r="AC129" s="180">
        <v>108242.39</v>
      </c>
      <c r="AD129" s="181">
        <v>2756110</v>
      </c>
      <c r="AE129" s="200" t="s">
        <v>147</v>
      </c>
      <c r="AF129" s="201">
        <v>45041</v>
      </c>
      <c r="AG129" s="177"/>
      <c r="AH129" s="177"/>
      <c r="AI129" s="196"/>
      <c r="AJ129" s="196"/>
      <c r="AK129" s="200">
        <v>7</v>
      </c>
      <c r="AL129" s="200"/>
      <c r="AM129" s="200"/>
      <c r="AN129" s="200" t="s">
        <v>514</v>
      </c>
      <c r="AO129" s="177"/>
      <c r="AP129" s="196"/>
      <c r="AQ129" s="196"/>
      <c r="AR129" s="177" t="str">
        <f t="shared" si="80"/>
        <v>New Lease</v>
      </c>
      <c r="AS129" s="182" t="str">
        <f t="shared" si="81"/>
        <v>Q2 2023</v>
      </c>
      <c r="AT129" s="182" t="str">
        <f t="shared" si="82"/>
        <v>1H2023</v>
      </c>
      <c r="AU129" s="184" t="str">
        <f t="shared" si="83"/>
        <v>20-50K</v>
      </c>
      <c r="AV129" s="179">
        <f t="shared" si="100"/>
        <v>34895</v>
      </c>
      <c r="AW129" s="233">
        <f t="shared" si="84"/>
        <v>255780.35</v>
      </c>
      <c r="AX129" s="233">
        <f t="shared" si="85"/>
        <v>289279.55</v>
      </c>
      <c r="AY129" s="198">
        <f t="shared" ref="AY129:AY146" si="102">IF(P129="","",J129*P129)</f>
        <v>314055</v>
      </c>
      <c r="AZ129" s="233">
        <f>Q129*AV129</f>
        <v>348950</v>
      </c>
      <c r="BA129" s="233">
        <f t="shared" si="86"/>
        <v>348950</v>
      </c>
      <c r="BB129" s="233">
        <f t="shared" si="87"/>
        <v>348950</v>
      </c>
      <c r="BC129" s="233">
        <f t="shared" si="77"/>
        <v>0</v>
      </c>
      <c r="BD129" s="233">
        <f t="shared" si="99"/>
        <v>0</v>
      </c>
      <c r="BE129" s="233">
        <f t="shared" si="88"/>
        <v>118643</v>
      </c>
      <c r="BF129" s="233">
        <f t="shared" si="89"/>
        <v>34895</v>
      </c>
      <c r="BG129" s="233">
        <f t="shared" si="90"/>
        <v>282300.55</v>
      </c>
      <c r="BH129" s="198" t="str">
        <f t="shared" si="91"/>
        <v/>
      </c>
      <c r="BI129" s="233">
        <f t="shared" si="92"/>
        <v>0</v>
      </c>
      <c r="BJ129" s="233">
        <f t="shared" si="93"/>
        <v>0</v>
      </c>
      <c r="BK129" s="233">
        <f t="shared" si="94"/>
        <v>137045.27049422648</v>
      </c>
      <c r="BL129" s="233">
        <f t="shared" si="95"/>
        <v>1539218.45</v>
      </c>
      <c r="BM129" s="233">
        <f t="shared" si="96"/>
        <v>139580</v>
      </c>
      <c r="BN129" s="233">
        <f t="shared" si="97"/>
        <v>104685</v>
      </c>
    </row>
    <row r="130" spans="1:66" s="198" customFormat="1" hidden="1" outlineLevel="1">
      <c r="A130" s="176" t="s">
        <v>192</v>
      </c>
      <c r="B130" s="176" t="s">
        <v>143</v>
      </c>
      <c r="C130" s="176"/>
      <c r="D130" s="176"/>
      <c r="E130" s="176"/>
      <c r="F130" s="176" t="s">
        <v>158</v>
      </c>
      <c r="G130" s="438">
        <v>0</v>
      </c>
      <c r="H130" s="176" t="s">
        <v>515</v>
      </c>
      <c r="I130" s="177">
        <v>62</v>
      </c>
      <c r="J130" s="178">
        <v>9613</v>
      </c>
      <c r="K130" s="178">
        <f>_xlfn.XLOOKUP(AN130,'[1]Performance Table'!$B:$B,'[1]Performance Table'!$BE:$BE,0)</f>
        <v>2585298.4700000002</v>
      </c>
      <c r="L130" s="437">
        <v>55290</v>
      </c>
      <c r="M130" s="190">
        <f>Q130/(K130/L130)</f>
        <v>0.1197633478659816</v>
      </c>
      <c r="N130" s="177"/>
      <c r="O130" s="442">
        <v>5</v>
      </c>
      <c r="P130" s="442">
        <v>4.1500000000000004</v>
      </c>
      <c r="Q130" s="442">
        <v>5.6</v>
      </c>
      <c r="R130" s="177">
        <v>3</v>
      </c>
      <c r="S130" s="177">
        <v>3</v>
      </c>
      <c r="T130" s="179"/>
      <c r="U130" s="177"/>
      <c r="V130" s="177">
        <v>4</v>
      </c>
      <c r="W130" s="177">
        <v>12</v>
      </c>
      <c r="X130" s="180">
        <v>17236.260000000002</v>
      </c>
      <c r="Y130" s="180"/>
      <c r="Z130" s="180">
        <v>30000</v>
      </c>
      <c r="AA130" s="180"/>
      <c r="AB130" s="180">
        <v>12277.72</v>
      </c>
      <c r="AC130" s="180">
        <f>SUM(X130:AB130)</f>
        <v>59513.98</v>
      </c>
      <c r="AD130" s="443">
        <v>287271.08</v>
      </c>
      <c r="AE130" s="177" t="s">
        <v>161</v>
      </c>
      <c r="AF130" s="182">
        <v>45586</v>
      </c>
      <c r="AG130" s="177"/>
      <c r="AH130" s="177"/>
      <c r="AI130" s="183"/>
      <c r="AJ130" s="183"/>
      <c r="AK130" s="249" t="s">
        <v>162</v>
      </c>
      <c r="AL130" s="249" t="s">
        <v>162</v>
      </c>
      <c r="AM130" s="444">
        <v>5.51</v>
      </c>
      <c r="AN130" s="177" t="s">
        <v>195</v>
      </c>
      <c r="AO130" s="177"/>
      <c r="AP130" s="183"/>
      <c r="AQ130" s="183"/>
      <c r="AR130" s="177" t="str">
        <f t="shared" si="80"/>
        <v>New Lease</v>
      </c>
      <c r="AS130" s="182" t="str">
        <f t="shared" si="81"/>
        <v>Q4 2024</v>
      </c>
      <c r="AT130" s="182" t="str">
        <f t="shared" si="82"/>
        <v>2H2024</v>
      </c>
      <c r="AU130" s="184" t="str">
        <f t="shared" si="83"/>
        <v>&lt; 20K</v>
      </c>
      <c r="AV130" s="179" t="str">
        <f t="shared" si="100"/>
        <v/>
      </c>
      <c r="AW130" s="233" t="str">
        <f t="shared" si="84"/>
        <v/>
      </c>
      <c r="AX130" s="233">
        <f t="shared" si="85"/>
        <v>48065</v>
      </c>
      <c r="AY130" s="198">
        <f t="shared" si="102"/>
        <v>39893.950000000004</v>
      </c>
      <c r="AZ130" s="233" t="str">
        <f>IFERROR(Q130*AV130,"")</f>
        <v/>
      </c>
      <c r="BA130" s="233">
        <f t="shared" si="86"/>
        <v>53832.799999999996</v>
      </c>
      <c r="BB130" s="233" t="str">
        <f t="shared" si="87"/>
        <v/>
      </c>
      <c r="BC130" s="233">
        <f t="shared" si="77"/>
        <v>0</v>
      </c>
      <c r="BD130" s="233">
        <f t="shared" si="99"/>
        <v>0</v>
      </c>
      <c r="BE130" s="233">
        <f t="shared" si="88"/>
        <v>38452</v>
      </c>
      <c r="BF130" s="233">
        <f t="shared" si="89"/>
        <v>9613</v>
      </c>
      <c r="BG130" s="233">
        <f t="shared" si="90"/>
        <v>115356</v>
      </c>
      <c r="BH130" s="186">
        <f t="shared" si="91"/>
        <v>53832.799999999996</v>
      </c>
      <c r="BI130" s="233">
        <f t="shared" si="92"/>
        <v>2.7368563403724124</v>
      </c>
      <c r="BJ130" s="233">
        <f t="shared" si="93"/>
        <v>147332.63999999998</v>
      </c>
      <c r="BK130" s="233">
        <f t="shared" si="94"/>
        <v>0</v>
      </c>
      <c r="BL130" s="233">
        <f t="shared" si="95"/>
        <v>0</v>
      </c>
      <c r="BM130" s="233">
        <f t="shared" si="96"/>
        <v>28839</v>
      </c>
      <c r="BN130" s="233">
        <f t="shared" si="97"/>
        <v>28839</v>
      </c>
    </row>
    <row r="131" spans="1:66" s="198" customFormat="1" hidden="1" outlineLevel="1">
      <c r="A131" s="176" t="s">
        <v>516</v>
      </c>
      <c r="B131" s="176" t="s">
        <v>143</v>
      </c>
      <c r="C131" s="176"/>
      <c r="D131" s="176"/>
      <c r="E131" s="176"/>
      <c r="F131" s="176" t="s">
        <v>153</v>
      </c>
      <c r="G131" s="176">
        <f>_xlfn.XLOOKUP(AN131,[2]ySQL_0_24102024094604!$B:$B,[2]ySQL_0_24102024094604!$D:$D,0)</f>
        <v>0</v>
      </c>
      <c r="H131" s="176" t="s">
        <v>517</v>
      </c>
      <c r="I131" s="177">
        <v>63</v>
      </c>
      <c r="J131" s="178">
        <v>7437</v>
      </c>
      <c r="K131" s="178">
        <f>VLOOKUP(AN131,'[4]Performance Table'!$B$4:$BJ$388,61,0)</f>
        <v>6386923.0300000003</v>
      </c>
      <c r="L131" s="178">
        <f>VLOOKUP(H131,'[5]Leasing Activity Report'!$F$4:$J$25,5,0)</f>
        <v>87532</v>
      </c>
      <c r="M131" s="190">
        <f>Q131/(K131/L131)</f>
        <v>0.10895377895293033</v>
      </c>
      <c r="N131" s="177">
        <v>4.54</v>
      </c>
      <c r="O131" s="177">
        <v>6.22</v>
      </c>
      <c r="P131" s="177">
        <v>7.14</v>
      </c>
      <c r="Q131" s="177">
        <v>7.95</v>
      </c>
      <c r="R131" s="177">
        <v>4</v>
      </c>
      <c r="S131" s="177">
        <v>3</v>
      </c>
      <c r="T131" s="179">
        <f>AC131/AD131*100</f>
        <v>10.16253512081486</v>
      </c>
      <c r="U131" s="177"/>
      <c r="V131" s="177">
        <v>4</v>
      </c>
      <c r="W131" s="177">
        <v>6</v>
      </c>
      <c r="X131" s="188">
        <v>17651.47</v>
      </c>
      <c r="Y131" s="188"/>
      <c r="Z131" s="188" t="s">
        <v>167</v>
      </c>
      <c r="AA131" s="188"/>
      <c r="AB131" s="188">
        <v>15177.43</v>
      </c>
      <c r="AC131" s="188">
        <f>SUM(X131:AB131)</f>
        <v>32828.9</v>
      </c>
      <c r="AD131" s="189">
        <v>323038.49</v>
      </c>
      <c r="AE131" s="177" t="s">
        <v>147</v>
      </c>
      <c r="AF131" s="182">
        <v>45324</v>
      </c>
      <c r="AG131" s="177"/>
      <c r="AH131" s="177"/>
      <c r="AI131" s="183"/>
      <c r="AJ131" s="183"/>
      <c r="AK131" s="177"/>
      <c r="AL131" s="177"/>
      <c r="AM131" s="177"/>
      <c r="AN131" s="177" t="s">
        <v>199</v>
      </c>
      <c r="AO131" s="177"/>
      <c r="AP131" s="183"/>
      <c r="AQ131" s="183"/>
      <c r="AR131" s="177" t="str">
        <f t="shared" si="80"/>
        <v>New Lease</v>
      </c>
      <c r="AS131" s="182" t="str">
        <f t="shared" si="81"/>
        <v>Q1 2024</v>
      </c>
      <c r="AT131" s="182" t="str">
        <f t="shared" si="82"/>
        <v>1H2024</v>
      </c>
      <c r="AU131" s="184" t="str">
        <f t="shared" si="83"/>
        <v>&lt; 20K</v>
      </c>
      <c r="AV131" s="179">
        <f t="shared" si="100"/>
        <v>7437</v>
      </c>
      <c r="AW131" s="233">
        <f t="shared" si="84"/>
        <v>33763.980000000003</v>
      </c>
      <c r="AX131" s="233">
        <f t="shared" si="85"/>
        <v>46258.14</v>
      </c>
      <c r="AY131" s="198">
        <f t="shared" si="102"/>
        <v>53100.18</v>
      </c>
      <c r="AZ131" s="233">
        <f>IFERROR(Q131*AV131,"")</f>
        <v>59124.15</v>
      </c>
      <c r="BA131" s="233">
        <f t="shared" si="86"/>
        <v>59124.15</v>
      </c>
      <c r="BB131" s="233">
        <f t="shared" si="87"/>
        <v>59124.15</v>
      </c>
      <c r="BC131" s="233">
        <f t="shared" si="77"/>
        <v>0</v>
      </c>
      <c r="BD131" s="233">
        <f t="shared" si="99"/>
        <v>0</v>
      </c>
      <c r="BE131" s="233">
        <f t="shared" si="88"/>
        <v>29748</v>
      </c>
      <c r="BF131" s="233">
        <f t="shared" si="89"/>
        <v>7437</v>
      </c>
      <c r="BG131" s="233">
        <f t="shared" si="90"/>
        <v>44622</v>
      </c>
      <c r="BH131" s="186">
        <f t="shared" si="91"/>
        <v>59124.15</v>
      </c>
      <c r="BI131" s="233">
        <f t="shared" si="92"/>
        <v>3.0804529113737789</v>
      </c>
      <c r="BJ131" s="233">
        <f t="shared" si="93"/>
        <v>182129.16000000003</v>
      </c>
      <c r="BK131" s="233">
        <f t="shared" si="94"/>
        <v>75578.773693500116</v>
      </c>
      <c r="BL131" s="233">
        <f t="shared" si="95"/>
        <v>0</v>
      </c>
      <c r="BM131" s="233">
        <f t="shared" si="96"/>
        <v>29748</v>
      </c>
      <c r="BN131" s="233">
        <f t="shared" si="97"/>
        <v>22311</v>
      </c>
    </row>
    <row r="132" spans="1:66" s="198" customFormat="1" hidden="1" outlineLevel="1">
      <c r="A132" s="176" t="s">
        <v>518</v>
      </c>
      <c r="B132" s="176" t="s">
        <v>143</v>
      </c>
      <c r="C132" s="176" t="s">
        <v>290</v>
      </c>
      <c r="D132" s="192" t="s">
        <v>413</v>
      </c>
      <c r="E132" s="192">
        <f>O132/N132-1</f>
        <v>0.3569321533923302</v>
      </c>
      <c r="F132" s="176" t="s">
        <v>158</v>
      </c>
      <c r="G132" s="176">
        <f>_xlfn.XLOOKUP(AN132,[2]ySQL_0_24102024094604!$B:$B,[2]ySQL_0_24102024094604!$D:$D,0)</f>
        <v>0</v>
      </c>
      <c r="H132" s="176" t="s">
        <v>519</v>
      </c>
      <c r="I132" s="177">
        <v>36</v>
      </c>
      <c r="J132" s="178">
        <v>15000</v>
      </c>
      <c r="K132" s="178"/>
      <c r="L132" s="178"/>
      <c r="M132" s="178"/>
      <c r="N132" s="177">
        <v>3.39</v>
      </c>
      <c r="O132" s="177">
        <v>4.5999999999999996</v>
      </c>
      <c r="P132" s="177">
        <v>5</v>
      </c>
      <c r="Q132" s="177">
        <v>5.2</v>
      </c>
      <c r="R132" s="177">
        <v>3.5</v>
      </c>
      <c r="S132" s="177">
        <v>3</v>
      </c>
      <c r="T132" s="179">
        <v>6</v>
      </c>
      <c r="U132" s="177">
        <v>6</v>
      </c>
      <c r="V132" s="177">
        <v>4</v>
      </c>
      <c r="W132" s="177">
        <v>6</v>
      </c>
      <c r="X132" s="188">
        <v>14535</v>
      </c>
      <c r="Y132" s="188"/>
      <c r="Z132" s="188">
        <v>0</v>
      </c>
      <c r="AA132" s="188">
        <v>0</v>
      </c>
      <c r="AB132" s="188">
        <v>0</v>
      </c>
      <c r="AC132" s="188">
        <v>14535</v>
      </c>
      <c r="AD132" s="181">
        <v>242286</v>
      </c>
      <c r="AE132" s="177" t="s">
        <v>161</v>
      </c>
      <c r="AF132" s="182">
        <v>45163</v>
      </c>
      <c r="AG132" s="177"/>
      <c r="AH132" s="177"/>
      <c r="AI132" s="183"/>
      <c r="AJ132" s="183"/>
      <c r="AK132" s="177"/>
      <c r="AL132" s="177"/>
      <c r="AM132" s="177"/>
      <c r="AN132" s="177" t="s">
        <v>494</v>
      </c>
      <c r="AO132" s="177"/>
      <c r="AP132" s="183"/>
      <c r="AQ132" s="183"/>
      <c r="AR132" s="177" t="str">
        <f t="shared" si="80"/>
        <v>New Lease</v>
      </c>
      <c r="AS132" s="182" t="str">
        <f t="shared" si="81"/>
        <v>Q3 2023</v>
      </c>
      <c r="AT132" s="182" t="str">
        <f t="shared" si="82"/>
        <v>2H2023</v>
      </c>
      <c r="AU132" s="184" t="str">
        <f t="shared" si="83"/>
        <v>&lt; 20K</v>
      </c>
      <c r="AV132" s="179">
        <f t="shared" si="100"/>
        <v>15000</v>
      </c>
      <c r="AW132" s="233">
        <f t="shared" si="84"/>
        <v>50850</v>
      </c>
      <c r="AX132" s="233">
        <f t="shared" si="85"/>
        <v>69000</v>
      </c>
      <c r="AY132" s="198">
        <f t="shared" si="102"/>
        <v>75000</v>
      </c>
      <c r="AZ132" s="233">
        <f>IFERROR(Q132*AV132,"")</f>
        <v>78000</v>
      </c>
      <c r="BA132" s="233">
        <f t="shared" si="86"/>
        <v>78000</v>
      </c>
      <c r="BB132" s="233">
        <f t="shared" si="87"/>
        <v>78000</v>
      </c>
      <c r="BC132" s="233">
        <f t="shared" ref="BC132:BC168" si="103">AG132*J132</f>
        <v>0</v>
      </c>
      <c r="BD132" s="233">
        <f t="shared" si="99"/>
        <v>0</v>
      </c>
      <c r="BE132" s="233">
        <f t="shared" si="88"/>
        <v>60000</v>
      </c>
      <c r="BF132" s="233">
        <f t="shared" si="89"/>
        <v>15000</v>
      </c>
      <c r="BG132" s="233">
        <f t="shared" si="90"/>
        <v>90000</v>
      </c>
      <c r="BH132" s="186" t="str">
        <f t="shared" si="91"/>
        <v/>
      </c>
      <c r="BI132" s="233">
        <f t="shared" si="92"/>
        <v>0</v>
      </c>
      <c r="BJ132" s="233">
        <f t="shared" si="93"/>
        <v>0</v>
      </c>
      <c r="BK132" s="233">
        <f t="shared" si="94"/>
        <v>90000</v>
      </c>
      <c r="BL132" s="233">
        <f t="shared" si="95"/>
        <v>90000</v>
      </c>
      <c r="BM132" s="233">
        <f t="shared" si="96"/>
        <v>52500</v>
      </c>
      <c r="BN132" s="233">
        <f t="shared" si="97"/>
        <v>45000</v>
      </c>
    </row>
    <row r="133" spans="1:66" s="198" customFormat="1" hidden="1" outlineLevel="1">
      <c r="A133" s="176" t="s">
        <v>520</v>
      </c>
      <c r="B133" s="176" t="s">
        <v>143</v>
      </c>
      <c r="C133" s="176"/>
      <c r="D133" s="176"/>
      <c r="E133" s="176"/>
      <c r="F133" s="176" t="s">
        <v>153</v>
      </c>
      <c r="G133" s="176">
        <f>_xlfn.XLOOKUP(AN133,[2]ySQL_0_24102024094604!$B:$B,[2]ySQL_0_24102024094604!$D:$D,0)</f>
        <v>0</v>
      </c>
      <c r="H133" s="176" t="s">
        <v>521</v>
      </c>
      <c r="I133" s="177">
        <v>63</v>
      </c>
      <c r="J133" s="178">
        <v>48276</v>
      </c>
      <c r="K133" s="178"/>
      <c r="L133" s="178"/>
      <c r="M133" s="178"/>
      <c r="N133" s="177"/>
      <c r="O133" s="177">
        <v>4.1900000000000004</v>
      </c>
      <c r="P133" s="177">
        <v>5.3</v>
      </c>
      <c r="Q133" s="177">
        <v>5.75</v>
      </c>
      <c r="R133" s="177">
        <v>4</v>
      </c>
      <c r="S133" s="177">
        <v>3</v>
      </c>
      <c r="T133" s="179">
        <f>AC133/AD133*100</f>
        <v>11.990710249922008</v>
      </c>
      <c r="U133" s="177">
        <v>25.12</v>
      </c>
      <c r="V133" s="177">
        <v>4</v>
      </c>
      <c r="W133" s="177">
        <v>9</v>
      </c>
      <c r="X133" s="188">
        <v>120860</v>
      </c>
      <c r="Y133" s="188"/>
      <c r="Z133" s="188">
        <v>0</v>
      </c>
      <c r="AA133" s="188">
        <v>0</v>
      </c>
      <c r="AB133" s="188">
        <v>69396</v>
      </c>
      <c r="AC133" s="188">
        <v>190256</v>
      </c>
      <c r="AD133" s="181">
        <v>1586695</v>
      </c>
      <c r="AE133" s="177" t="s">
        <v>147</v>
      </c>
      <c r="AF133" s="182">
        <v>45111</v>
      </c>
      <c r="AG133" s="177" t="s">
        <v>167</v>
      </c>
      <c r="AH133" s="177" t="s">
        <v>167</v>
      </c>
      <c r="AI133" s="183" t="s">
        <v>167</v>
      </c>
      <c r="AJ133" s="183" t="s">
        <v>167</v>
      </c>
      <c r="AK133" s="177">
        <v>7</v>
      </c>
      <c r="AL133" s="177"/>
      <c r="AM133" s="177"/>
      <c r="AN133" s="177" t="s">
        <v>522</v>
      </c>
      <c r="AO133" s="177"/>
      <c r="AP133" s="183"/>
      <c r="AQ133" s="183"/>
      <c r="AR133" s="177" t="str">
        <f t="shared" ref="AR133:AR168" si="104">IF(B133="Expansion","New Lease",IF(B133="Early Renewal","Renewal",IF(B133="Renewal per Option","Renewal",IF(B133="Renewal","Renewal",B133))))</f>
        <v>New Lease</v>
      </c>
      <c r="AS133" s="182" t="str">
        <f t="shared" ref="AS133:AS168" si="105">"Q"&amp;ROUNDUP(MONTH(AF133)/3,0)&amp;" "&amp;YEAR(AF133)</f>
        <v>Q3 2023</v>
      </c>
      <c r="AT133" s="182" t="str">
        <f t="shared" ref="AT133:AT168" si="106">(MONTH(AF133)&gt;6)+1&amp;"H"&amp;YEAR(AF133)</f>
        <v>2H2023</v>
      </c>
      <c r="AU133" s="184" t="str">
        <f t="shared" ref="AU133:AU168" si="107">IF(J133&lt;$A$223,$A$228,IF(J133&lt;$A$224,$A$229,IF(J133&lt;$A$225,$A$230,IF(J133&gt;$A$225,$A$231))))</f>
        <v>20-50K</v>
      </c>
      <c r="AV133" s="179" t="str">
        <f t="shared" si="100"/>
        <v/>
      </c>
      <c r="AW133" s="233" t="str">
        <f t="shared" ref="AW133:AW164" si="108">IFERROR(N133*AV133,"")</f>
        <v/>
      </c>
      <c r="AX133" s="233">
        <f t="shared" ref="AX133:AX168" si="109">J133*O133</f>
        <v>202276.44000000003</v>
      </c>
      <c r="AY133" s="198">
        <f t="shared" si="102"/>
        <v>255862.8</v>
      </c>
      <c r="AZ133" s="233" t="str">
        <f>IFERROR(Q133*AV133,"")</f>
        <v/>
      </c>
      <c r="BA133" s="233">
        <f t="shared" ref="BA133:BA168" si="110">J133*Q133</f>
        <v>277587</v>
      </c>
      <c r="BB133" s="233" t="str">
        <f t="shared" ref="BB133:BB168" si="111">IF(N133&gt;0,Q133*J133,"")</f>
        <v/>
      </c>
      <c r="BC133" s="233" t="e">
        <f t="shared" si="103"/>
        <v>#VALUE!</v>
      </c>
      <c r="BD133" s="233" t="e">
        <f t="shared" si="99"/>
        <v>#VALUE!</v>
      </c>
      <c r="BE133" s="233">
        <f t="shared" ref="BE133:BE168" si="112">V133*J133</f>
        <v>193104</v>
      </c>
      <c r="BF133" s="233">
        <f t="shared" ref="BF133:BF168" si="113">IF(AR133="New Lease",J133,0)</f>
        <v>48276</v>
      </c>
      <c r="BG133" s="233">
        <f t="shared" ref="BG133:BG168" si="114">W133*J133</f>
        <v>434484</v>
      </c>
      <c r="BH133" s="186">
        <f t="shared" ref="BH133:BH164" si="115">IF(BI133&gt;0,Q133*J133,"")</f>
        <v>277587</v>
      </c>
      <c r="BI133" s="233">
        <f t="shared" ref="BI133:BI168" si="116">AB133/((J133*Q133)/12)</f>
        <v>2.9999675777323866</v>
      </c>
      <c r="BJ133" s="233">
        <f t="shared" ref="BJ133:BJ164" si="117">BI133*J133*Q133</f>
        <v>832752</v>
      </c>
      <c r="BK133" s="233">
        <f t="shared" ref="BK133:BK168" si="118">J133*T133</f>
        <v>578863.52802523493</v>
      </c>
      <c r="BL133" s="233">
        <f t="shared" ref="BL133:BL168" si="119">J133*U133</f>
        <v>1212693.1200000001</v>
      </c>
      <c r="BM133" s="233">
        <f t="shared" ref="BM133:BM168" si="120">J133*R133</f>
        <v>193104</v>
      </c>
      <c r="BN133" s="233">
        <f t="shared" ref="BN133:BN168" si="121">J133*S133</f>
        <v>144828</v>
      </c>
    </row>
    <row r="134" spans="1:66" s="198" customFormat="1" hidden="1" outlineLevel="1">
      <c r="A134" s="176" t="s">
        <v>523</v>
      </c>
      <c r="B134" s="176" t="s">
        <v>238</v>
      </c>
      <c r="C134" s="176"/>
      <c r="D134" s="176"/>
      <c r="E134" s="176"/>
      <c r="F134" s="176" t="s">
        <v>144</v>
      </c>
      <c r="G134" s="176">
        <f>_xlfn.XLOOKUP(AN134,[2]ySQL_0_24102024094604!$B:$B,[2]ySQL_0_24102024094604!$D:$D,0)</f>
        <v>0</v>
      </c>
      <c r="H134" s="176" t="s">
        <v>524</v>
      </c>
      <c r="I134" s="177">
        <v>36</v>
      </c>
      <c r="J134" s="194">
        <v>41455</v>
      </c>
      <c r="K134" s="194"/>
      <c r="L134" s="194"/>
      <c r="M134" s="194"/>
      <c r="N134" s="177">
        <v>4.82</v>
      </c>
      <c r="O134" s="177">
        <v>5.25</v>
      </c>
      <c r="P134" s="177" t="s">
        <v>167</v>
      </c>
      <c r="Q134" s="177">
        <v>5.65</v>
      </c>
      <c r="R134" s="177">
        <v>5</v>
      </c>
      <c r="S134" s="177">
        <v>0</v>
      </c>
      <c r="T134" s="179">
        <v>38.036285009099998</v>
      </c>
      <c r="U134" s="177">
        <v>32</v>
      </c>
      <c r="V134" s="177">
        <v>4</v>
      </c>
      <c r="W134" s="177">
        <f>12-$W$3</f>
        <v>11.09</v>
      </c>
      <c r="X134" s="180">
        <v>43131.76</v>
      </c>
      <c r="Y134" s="180">
        <f>Z134/J134</f>
        <v>4.8245085031962365</v>
      </c>
      <c r="Z134" s="180">
        <v>200000</v>
      </c>
      <c r="AA134" s="180">
        <v>0</v>
      </c>
      <c r="AB134" s="180">
        <v>30296.7</v>
      </c>
      <c r="AC134" s="180">
        <v>273428.46000000002</v>
      </c>
      <c r="AD134" s="195">
        <v>718862.16</v>
      </c>
      <c r="AE134" s="177" t="s">
        <v>147</v>
      </c>
      <c r="AF134" s="182">
        <v>44607</v>
      </c>
      <c r="AG134" s="177">
        <v>7.2692462001643028</v>
      </c>
      <c r="AH134" s="177">
        <v>7.0582828304222396</v>
      </c>
      <c r="AI134" s="196">
        <f>AG134/Q134-1</f>
        <v>0.28659224781669068</v>
      </c>
      <c r="AJ134" s="196">
        <f>AH134/Q134-1</f>
        <v>0.24925359830482119</v>
      </c>
      <c r="AK134" s="177"/>
      <c r="AL134" s="177"/>
      <c r="AM134" s="177"/>
      <c r="AN134" s="177" t="s">
        <v>151</v>
      </c>
      <c r="AO134" s="177"/>
      <c r="AP134" s="196">
        <f>AG134/O134-1</f>
        <v>0.38461832384081962</v>
      </c>
      <c r="AQ134" s="196">
        <f>AH134/O134-1</f>
        <v>0.34443482484233146</v>
      </c>
      <c r="AR134" s="177" t="str">
        <f t="shared" si="104"/>
        <v>New Lease</v>
      </c>
      <c r="AS134" s="182" t="str">
        <f t="shared" si="105"/>
        <v>Q1 2022</v>
      </c>
      <c r="AT134" s="182" t="str">
        <f t="shared" si="106"/>
        <v>1H2022</v>
      </c>
      <c r="AU134" s="184" t="str">
        <f t="shared" si="107"/>
        <v>20-50K</v>
      </c>
      <c r="AV134" s="179">
        <f t="shared" si="100"/>
        <v>41455</v>
      </c>
      <c r="AW134" s="233">
        <f t="shared" si="108"/>
        <v>199813.1</v>
      </c>
      <c r="AX134" s="233">
        <f t="shared" si="109"/>
        <v>217638.75</v>
      </c>
      <c r="AY134" s="198" t="str">
        <f t="shared" si="102"/>
        <v/>
      </c>
      <c r="AZ134" s="233">
        <f>Q134*AV134</f>
        <v>234220.75000000003</v>
      </c>
      <c r="BA134" s="233">
        <f t="shared" si="110"/>
        <v>234220.75000000003</v>
      </c>
      <c r="BB134" s="233">
        <f t="shared" si="111"/>
        <v>234220.75000000003</v>
      </c>
      <c r="BC134" s="233">
        <f t="shared" si="103"/>
        <v>301346.60122781119</v>
      </c>
      <c r="BD134" s="233">
        <f t="shared" si="99"/>
        <v>292601.11473515397</v>
      </c>
      <c r="BE134" s="233">
        <f t="shared" si="112"/>
        <v>165820</v>
      </c>
      <c r="BF134" s="233">
        <f t="shared" si="113"/>
        <v>41455</v>
      </c>
      <c r="BG134" s="233">
        <f t="shared" si="114"/>
        <v>459735.95</v>
      </c>
      <c r="BH134" s="186">
        <f t="shared" si="115"/>
        <v>234220.75000000003</v>
      </c>
      <c r="BI134" s="233">
        <f t="shared" si="116"/>
        <v>1.5522126028543584</v>
      </c>
      <c r="BJ134" s="233">
        <f t="shared" si="117"/>
        <v>363560.39999999997</v>
      </c>
      <c r="BK134" s="233">
        <f t="shared" si="118"/>
        <v>1576794.1950522405</v>
      </c>
      <c r="BL134" s="233">
        <f t="shared" si="119"/>
        <v>1326560</v>
      </c>
      <c r="BM134" s="233">
        <f t="shared" si="120"/>
        <v>207275</v>
      </c>
      <c r="BN134" s="233">
        <f t="shared" si="121"/>
        <v>0</v>
      </c>
    </row>
    <row r="135" spans="1:66" s="198" customFormat="1" hidden="1" outlineLevel="1">
      <c r="A135" s="199" t="s">
        <v>525</v>
      </c>
      <c r="B135" s="176" t="s">
        <v>157</v>
      </c>
      <c r="C135" s="176" t="s">
        <v>157</v>
      </c>
      <c r="D135" s="192" t="s">
        <v>413</v>
      </c>
      <c r="E135" s="192">
        <f>O135/N135-1</f>
        <v>0.21165644171779152</v>
      </c>
      <c r="F135" s="176" t="s">
        <v>158</v>
      </c>
      <c r="G135" s="176">
        <f>_xlfn.XLOOKUP(AN135,[2]ySQL_0_24102024094604!$B:$B,[2]ySQL_0_24102024094604!$D:$D,0)</f>
        <v>0</v>
      </c>
      <c r="H135" s="199" t="s">
        <v>526</v>
      </c>
      <c r="I135" s="200">
        <v>60</v>
      </c>
      <c r="J135" s="194">
        <v>24000</v>
      </c>
      <c r="K135" s="194"/>
      <c r="L135" s="194"/>
      <c r="M135" s="194"/>
      <c r="N135" s="177">
        <v>3.26</v>
      </c>
      <c r="O135" s="177">
        <v>3.95</v>
      </c>
      <c r="P135" s="177">
        <v>4.3499999999999996</v>
      </c>
      <c r="Q135" s="177">
        <v>4.55</v>
      </c>
      <c r="R135" s="177">
        <v>3.75</v>
      </c>
      <c r="S135" s="177">
        <v>3</v>
      </c>
      <c r="T135" s="179">
        <v>5.9245085034000002</v>
      </c>
      <c r="U135" s="177">
        <v>11</v>
      </c>
      <c r="V135" s="177">
        <v>0</v>
      </c>
      <c r="W135" s="177">
        <v>0</v>
      </c>
      <c r="X135" s="180">
        <v>22836.11</v>
      </c>
      <c r="Y135" s="180"/>
      <c r="Z135" s="180">
        <v>12000</v>
      </c>
      <c r="AA135" s="180">
        <v>0</v>
      </c>
      <c r="AB135" s="180">
        <v>0</v>
      </c>
      <c r="AC135" s="180">
        <v>34836.11</v>
      </c>
      <c r="AD135" s="181">
        <v>588515</v>
      </c>
      <c r="AE135" s="200" t="s">
        <v>161</v>
      </c>
      <c r="AF135" s="201">
        <v>45092</v>
      </c>
      <c r="AG135" s="177"/>
      <c r="AH135" s="177"/>
      <c r="AI135" s="196"/>
      <c r="AJ135" s="196"/>
      <c r="AK135" s="200"/>
      <c r="AL135" s="200"/>
      <c r="AM135" s="200"/>
      <c r="AN135" s="200" t="s">
        <v>164</v>
      </c>
      <c r="AO135" s="177"/>
      <c r="AP135" s="196"/>
      <c r="AQ135" s="196"/>
      <c r="AR135" s="177" t="str">
        <f t="shared" si="104"/>
        <v>Renewal</v>
      </c>
      <c r="AS135" s="182" t="str">
        <f t="shared" si="105"/>
        <v>Q2 2023</v>
      </c>
      <c r="AT135" s="182" t="str">
        <f t="shared" si="106"/>
        <v>1H2023</v>
      </c>
      <c r="AU135" s="184" t="str">
        <f t="shared" si="107"/>
        <v>20-50K</v>
      </c>
      <c r="AV135" s="179">
        <f t="shared" si="100"/>
        <v>24000</v>
      </c>
      <c r="AW135" s="233">
        <f t="shared" si="108"/>
        <v>78240</v>
      </c>
      <c r="AX135" s="233">
        <f t="shared" si="109"/>
        <v>94800</v>
      </c>
      <c r="AY135" s="198">
        <f t="shared" si="102"/>
        <v>104399.99999999999</v>
      </c>
      <c r="AZ135" s="233">
        <f>Q135*AV135</f>
        <v>109200</v>
      </c>
      <c r="BA135" s="233">
        <f t="shared" si="110"/>
        <v>109200</v>
      </c>
      <c r="BB135" s="233">
        <f t="shared" si="111"/>
        <v>109200</v>
      </c>
      <c r="BC135" s="233">
        <f t="shared" si="103"/>
        <v>0</v>
      </c>
      <c r="BD135" s="233">
        <f t="shared" si="99"/>
        <v>0</v>
      </c>
      <c r="BE135" s="233">
        <f t="shared" si="112"/>
        <v>0</v>
      </c>
      <c r="BF135" s="233">
        <f t="shared" si="113"/>
        <v>0</v>
      </c>
      <c r="BG135" s="233">
        <f t="shared" si="114"/>
        <v>0</v>
      </c>
      <c r="BH135" s="198" t="str">
        <f t="shared" si="115"/>
        <v/>
      </c>
      <c r="BI135" s="233">
        <f t="shared" si="116"/>
        <v>0</v>
      </c>
      <c r="BJ135" s="233">
        <f t="shared" si="117"/>
        <v>0</v>
      </c>
      <c r="BK135" s="233">
        <f t="shared" si="118"/>
        <v>142188.20408160001</v>
      </c>
      <c r="BL135" s="233">
        <f t="shared" si="119"/>
        <v>264000</v>
      </c>
      <c r="BM135" s="233">
        <f t="shared" si="120"/>
        <v>90000</v>
      </c>
      <c r="BN135" s="233">
        <f t="shared" si="121"/>
        <v>72000</v>
      </c>
    </row>
    <row r="136" spans="1:66" s="198" customFormat="1" hidden="1" outlineLevel="1">
      <c r="A136" s="176" t="s">
        <v>527</v>
      </c>
      <c r="B136" s="176" t="s">
        <v>143</v>
      </c>
      <c r="C136" s="176"/>
      <c r="D136" s="176"/>
      <c r="E136" s="176"/>
      <c r="F136" s="176" t="s">
        <v>158</v>
      </c>
      <c r="G136" s="176" t="str">
        <f>_xlfn.XLOOKUP(AN136,[2]ySQL_0_24102024094604!$B:$B,[2]ySQL_0_24102024094604!$D:$D,0)</f>
        <v>Yes</v>
      </c>
      <c r="H136" s="176" t="s">
        <v>528</v>
      </c>
      <c r="I136" s="177">
        <v>36</v>
      </c>
      <c r="J136" s="194">
        <v>74906</v>
      </c>
      <c r="K136" s="194"/>
      <c r="L136" s="194"/>
      <c r="M136" s="194"/>
      <c r="N136" s="177">
        <v>3.75</v>
      </c>
      <c r="O136" s="177">
        <v>4.33</v>
      </c>
      <c r="P136" s="177">
        <v>4.3499999999999996</v>
      </c>
      <c r="Q136" s="177">
        <v>4.25</v>
      </c>
      <c r="R136" s="177">
        <v>3.5</v>
      </c>
      <c r="S136" s="177">
        <v>3</v>
      </c>
      <c r="T136" s="179">
        <v>8.6821493038999993</v>
      </c>
      <c r="U136" s="177">
        <v>15</v>
      </c>
      <c r="V136" s="177">
        <v>4</v>
      </c>
      <c r="W136" s="177">
        <f>6-$W$3</f>
        <v>5.09</v>
      </c>
      <c r="X136" s="180">
        <v>59325.55</v>
      </c>
      <c r="Y136" s="180"/>
      <c r="Z136" s="180">
        <v>0</v>
      </c>
      <c r="AA136" s="180">
        <v>0</v>
      </c>
      <c r="AB136" s="180">
        <v>26520</v>
      </c>
      <c r="AC136" s="180">
        <v>85845.55</v>
      </c>
      <c r="AD136" s="195">
        <v>988759.2</v>
      </c>
      <c r="AE136" s="177" t="s">
        <v>147</v>
      </c>
      <c r="AF136" s="182">
        <v>44938</v>
      </c>
      <c r="AG136" s="177">
        <v>3.7777197069186039</v>
      </c>
      <c r="AH136" s="177">
        <v>3.7256841763182549</v>
      </c>
      <c r="AI136" s="196">
        <v>11.112477484299999</v>
      </c>
      <c r="AJ136" s="196">
        <v>12.3368429102</v>
      </c>
      <c r="AK136" s="177"/>
      <c r="AL136" s="177"/>
      <c r="AM136" s="177"/>
      <c r="AN136" s="177" t="s">
        <v>529</v>
      </c>
      <c r="AO136" s="177"/>
      <c r="AP136" s="196">
        <f>AG136/O136-1</f>
        <v>-0.12754741179708917</v>
      </c>
      <c r="AQ136" s="196">
        <f>AH136/O136-1</f>
        <v>-0.13956485535375174</v>
      </c>
      <c r="AR136" s="177" t="str">
        <f t="shared" si="104"/>
        <v>New Lease</v>
      </c>
      <c r="AS136" s="182" t="str">
        <f t="shared" si="105"/>
        <v>Q1 2023</v>
      </c>
      <c r="AT136" s="182" t="str">
        <f t="shared" si="106"/>
        <v>1H2023</v>
      </c>
      <c r="AU136" s="184" t="str">
        <f t="shared" si="107"/>
        <v>50-100K</v>
      </c>
      <c r="AV136" s="179">
        <f t="shared" si="100"/>
        <v>74906</v>
      </c>
      <c r="AW136" s="233">
        <f t="shared" si="108"/>
        <v>280897.5</v>
      </c>
      <c r="AX136" s="233">
        <f t="shared" si="109"/>
        <v>324342.98</v>
      </c>
      <c r="AY136" s="198">
        <f t="shared" si="102"/>
        <v>325841.09999999998</v>
      </c>
      <c r="AZ136" s="233">
        <f>Q136*AV136</f>
        <v>318350.5</v>
      </c>
      <c r="BA136" s="233">
        <f t="shared" si="110"/>
        <v>318350.5</v>
      </c>
      <c r="BB136" s="233">
        <f t="shared" si="111"/>
        <v>318350.5</v>
      </c>
      <c r="BC136" s="233">
        <f t="shared" si="103"/>
        <v>282973.87236644496</v>
      </c>
      <c r="BD136" s="233">
        <f t="shared" si="99"/>
        <v>279076.09891129518</v>
      </c>
      <c r="BE136" s="233">
        <f t="shared" si="112"/>
        <v>299624</v>
      </c>
      <c r="BF136" s="233">
        <f t="shared" si="113"/>
        <v>74906</v>
      </c>
      <c r="BG136" s="233">
        <f t="shared" si="114"/>
        <v>381271.54</v>
      </c>
      <c r="BH136" s="186">
        <f t="shared" si="115"/>
        <v>318350.5</v>
      </c>
      <c r="BI136" s="233">
        <f t="shared" si="116"/>
        <v>0.99965289829920168</v>
      </c>
      <c r="BJ136" s="233">
        <f t="shared" si="117"/>
        <v>318240</v>
      </c>
      <c r="BK136" s="233">
        <f t="shared" si="118"/>
        <v>650345.07575793331</v>
      </c>
      <c r="BL136" s="233">
        <f t="shared" si="119"/>
        <v>1123590</v>
      </c>
      <c r="BM136" s="233">
        <f t="shared" si="120"/>
        <v>262171</v>
      </c>
      <c r="BN136" s="233">
        <f t="shared" si="121"/>
        <v>224718</v>
      </c>
    </row>
    <row r="137" spans="1:66" s="198" customFormat="1" hidden="1" outlineLevel="1">
      <c r="A137" s="176" t="s">
        <v>530</v>
      </c>
      <c r="B137" s="176" t="s">
        <v>157</v>
      </c>
      <c r="C137" s="176"/>
      <c r="D137" s="176"/>
      <c r="E137" s="176"/>
      <c r="F137" s="176" t="s">
        <v>153</v>
      </c>
      <c r="G137" s="176">
        <f>_xlfn.XLOOKUP(AN137,[2]ySQL_0_24102024094604!$B:$B,[2]ySQL_0_24102024094604!$D:$D,0)</f>
        <v>0</v>
      </c>
      <c r="H137" s="176" t="s">
        <v>531</v>
      </c>
      <c r="I137" s="177">
        <v>36</v>
      </c>
      <c r="J137" s="194">
        <v>5179</v>
      </c>
      <c r="K137" s="194"/>
      <c r="L137" s="194"/>
      <c r="M137" s="194"/>
      <c r="N137" s="177">
        <v>6.95</v>
      </c>
      <c r="O137" s="177">
        <v>8.0500000000000007</v>
      </c>
      <c r="P137" s="177">
        <v>7.97</v>
      </c>
      <c r="Q137" s="177">
        <v>8.15</v>
      </c>
      <c r="R137" s="177">
        <v>4</v>
      </c>
      <c r="S137" s="177">
        <v>3</v>
      </c>
      <c r="T137" s="179">
        <v>3.9999954461999998</v>
      </c>
      <c r="U137" s="177">
        <v>20</v>
      </c>
      <c r="V137" s="177">
        <v>0</v>
      </c>
      <c r="W137" s="177">
        <v>0</v>
      </c>
      <c r="X137" s="180">
        <v>5270.36</v>
      </c>
      <c r="Y137" s="180"/>
      <c r="Z137" s="180">
        <v>0</v>
      </c>
      <c r="AA137" s="180">
        <v>0</v>
      </c>
      <c r="AB137" s="180">
        <v>0</v>
      </c>
      <c r="AC137" s="180">
        <v>5270.36</v>
      </c>
      <c r="AD137" s="195">
        <v>131759.15</v>
      </c>
      <c r="AE137" s="177" t="s">
        <v>147</v>
      </c>
      <c r="AF137" s="182">
        <v>44958</v>
      </c>
      <c r="AG137" s="177">
        <v>10.633399667939873</v>
      </c>
      <c r="AH137" s="177">
        <v>9.6590977639075621</v>
      </c>
      <c r="AI137" s="196">
        <v>-30.4711615698</v>
      </c>
      <c r="AJ137" s="196">
        <v>-18.5165369805</v>
      </c>
      <c r="AK137" s="177"/>
      <c r="AL137" s="177"/>
      <c r="AM137" s="177"/>
      <c r="AN137" s="177" t="s">
        <v>288</v>
      </c>
      <c r="AO137" s="177"/>
      <c r="AP137" s="196">
        <f>AG137/O137-1</f>
        <v>0.32091921340867979</v>
      </c>
      <c r="AQ137" s="196">
        <f>AH137/O137-1</f>
        <v>0.19988792098230568</v>
      </c>
      <c r="AR137" s="177" t="str">
        <f t="shared" si="104"/>
        <v>Renewal</v>
      </c>
      <c r="AS137" s="182" t="str">
        <f t="shared" si="105"/>
        <v>Q1 2023</v>
      </c>
      <c r="AT137" s="182" t="str">
        <f t="shared" si="106"/>
        <v>1H2023</v>
      </c>
      <c r="AU137" s="184" t="str">
        <f t="shared" si="107"/>
        <v>&lt; 20K</v>
      </c>
      <c r="AV137" s="179">
        <f t="shared" si="100"/>
        <v>5179</v>
      </c>
      <c r="AW137" s="233">
        <f t="shared" si="108"/>
        <v>35994.050000000003</v>
      </c>
      <c r="AX137" s="233">
        <f t="shared" si="109"/>
        <v>41690.950000000004</v>
      </c>
      <c r="AY137" s="198">
        <f t="shared" si="102"/>
        <v>41276.629999999997</v>
      </c>
      <c r="AZ137" s="233">
        <f>Q137*AV137</f>
        <v>42208.85</v>
      </c>
      <c r="BA137" s="233">
        <f t="shared" si="110"/>
        <v>42208.85</v>
      </c>
      <c r="BB137" s="233">
        <f t="shared" si="111"/>
        <v>42208.85</v>
      </c>
      <c r="BC137" s="233">
        <f t="shared" si="103"/>
        <v>55070.376880260599</v>
      </c>
      <c r="BD137" s="233">
        <f t="shared" si="99"/>
        <v>50024.467319277261</v>
      </c>
      <c r="BE137" s="233">
        <f t="shared" si="112"/>
        <v>0</v>
      </c>
      <c r="BF137" s="233">
        <f t="shared" si="113"/>
        <v>0</v>
      </c>
      <c r="BG137" s="233">
        <f t="shared" si="114"/>
        <v>0</v>
      </c>
      <c r="BH137" s="186" t="str">
        <f t="shared" si="115"/>
        <v/>
      </c>
      <c r="BI137" s="233">
        <f t="shared" si="116"/>
        <v>0</v>
      </c>
      <c r="BJ137" s="233">
        <f t="shared" si="117"/>
        <v>0</v>
      </c>
      <c r="BK137" s="233">
        <f t="shared" si="118"/>
        <v>20715.976415869798</v>
      </c>
      <c r="BL137" s="233">
        <f t="shared" si="119"/>
        <v>103580</v>
      </c>
      <c r="BM137" s="233">
        <f t="shared" si="120"/>
        <v>20716</v>
      </c>
      <c r="BN137" s="233">
        <f t="shared" si="121"/>
        <v>15537</v>
      </c>
    </row>
    <row r="138" spans="1:66" s="198" customFormat="1" hidden="1" outlineLevel="1">
      <c r="A138" s="176" t="s">
        <v>532</v>
      </c>
      <c r="B138" s="176" t="s">
        <v>143</v>
      </c>
      <c r="C138" s="176"/>
      <c r="D138" s="176"/>
      <c r="E138" s="176"/>
      <c r="F138" s="176" t="s">
        <v>153</v>
      </c>
      <c r="G138" s="176">
        <f>_xlfn.XLOOKUP(AN138,[2]ySQL_0_24102024094604!$B:$B,[2]ySQL_0_24102024094604!$D:$D,0)</f>
        <v>0</v>
      </c>
      <c r="H138" s="176" t="s">
        <v>533</v>
      </c>
      <c r="I138" s="177">
        <v>87</v>
      </c>
      <c r="J138" s="178">
        <v>30523</v>
      </c>
      <c r="K138" s="178">
        <f>VLOOKUP(AN138,'[4]Performance Table'!$B$4:$BJ$388,61,0)</f>
        <v>2543251.31</v>
      </c>
      <c r="L138" s="178">
        <f>VLOOKUP(H138,'[5]Leasing Activity Report'!$F$4:$J$25,5,0)</f>
        <v>30523</v>
      </c>
      <c r="M138" s="190">
        <f>Q138/(K138/L138)</f>
        <v>8.5811201253249328E-2</v>
      </c>
      <c r="N138" s="177">
        <v>5.53</v>
      </c>
      <c r="O138" s="177">
        <v>7.24</v>
      </c>
      <c r="P138" s="177">
        <v>7.15</v>
      </c>
      <c r="Q138" s="177">
        <v>7.15</v>
      </c>
      <c r="R138" s="177">
        <v>4</v>
      </c>
      <c r="S138" s="177">
        <v>4</v>
      </c>
      <c r="T138" s="179">
        <f>AC138/AD138*100</f>
        <v>13.380176542421832</v>
      </c>
      <c r="U138" s="177"/>
      <c r="V138" s="177">
        <v>5</v>
      </c>
      <c r="W138" s="177">
        <v>4</v>
      </c>
      <c r="X138" s="188">
        <v>130916.71</v>
      </c>
      <c r="Y138" s="188"/>
      <c r="Z138" s="188">
        <v>45784.5</v>
      </c>
      <c r="AA138" s="188"/>
      <c r="AB138" s="188">
        <v>56034.12</v>
      </c>
      <c r="AC138" s="188">
        <f>SUM(X138:AB138)</f>
        <v>232735.33000000002</v>
      </c>
      <c r="AD138" s="189">
        <v>1739404.03</v>
      </c>
      <c r="AE138" s="177" t="s">
        <v>161</v>
      </c>
      <c r="AF138" s="182">
        <v>45356</v>
      </c>
      <c r="AG138" s="177"/>
      <c r="AH138" s="177"/>
      <c r="AI138" s="183"/>
      <c r="AJ138" s="183"/>
      <c r="AK138" s="177"/>
      <c r="AL138" s="177"/>
      <c r="AM138" s="177"/>
      <c r="AN138" s="177" t="s">
        <v>534</v>
      </c>
      <c r="AO138" s="177"/>
      <c r="AP138" s="183"/>
      <c r="AQ138" s="183"/>
      <c r="AR138" s="177" t="str">
        <f t="shared" si="104"/>
        <v>New Lease</v>
      </c>
      <c r="AS138" s="182" t="str">
        <f t="shared" si="105"/>
        <v>Q1 2024</v>
      </c>
      <c r="AT138" s="182" t="str">
        <f t="shared" si="106"/>
        <v>1H2024</v>
      </c>
      <c r="AU138" s="184" t="str">
        <f t="shared" si="107"/>
        <v>20-50K</v>
      </c>
      <c r="AV138" s="179">
        <f t="shared" si="100"/>
        <v>30523</v>
      </c>
      <c r="AW138" s="233">
        <f t="shared" si="108"/>
        <v>168792.19</v>
      </c>
      <c r="AX138" s="233">
        <f t="shared" si="109"/>
        <v>220986.52000000002</v>
      </c>
      <c r="AY138" s="198">
        <f t="shared" si="102"/>
        <v>218239.45</v>
      </c>
      <c r="AZ138" s="233">
        <f>IFERROR(Q138*AV138,"")</f>
        <v>218239.45</v>
      </c>
      <c r="BA138" s="233">
        <f t="shared" si="110"/>
        <v>218239.45</v>
      </c>
      <c r="BB138" s="233">
        <f t="shared" si="111"/>
        <v>218239.45</v>
      </c>
      <c r="BC138" s="233">
        <f t="shared" si="103"/>
        <v>0</v>
      </c>
      <c r="BD138" s="233">
        <f t="shared" si="99"/>
        <v>0</v>
      </c>
      <c r="BE138" s="233">
        <f t="shared" si="112"/>
        <v>152615</v>
      </c>
      <c r="BF138" s="233">
        <f t="shared" si="113"/>
        <v>30523</v>
      </c>
      <c r="BG138" s="233">
        <f t="shared" si="114"/>
        <v>122092</v>
      </c>
      <c r="BH138" s="186">
        <f t="shared" si="115"/>
        <v>218239.45</v>
      </c>
      <c r="BI138" s="233">
        <f t="shared" si="116"/>
        <v>3.0810627501123191</v>
      </c>
      <c r="BJ138" s="233">
        <f t="shared" si="117"/>
        <v>672409.44</v>
      </c>
      <c r="BK138" s="233">
        <f t="shared" si="118"/>
        <v>408403.12860434159</v>
      </c>
      <c r="BL138" s="233">
        <f t="shared" si="119"/>
        <v>0</v>
      </c>
      <c r="BM138" s="233">
        <f t="shared" si="120"/>
        <v>122092</v>
      </c>
      <c r="BN138" s="233">
        <f t="shared" si="121"/>
        <v>122092</v>
      </c>
    </row>
    <row r="139" spans="1:66" s="198" customFormat="1" hidden="1" outlineLevel="1">
      <c r="A139" s="176" t="s">
        <v>535</v>
      </c>
      <c r="B139" s="176" t="s">
        <v>143</v>
      </c>
      <c r="C139" s="176"/>
      <c r="D139" s="176"/>
      <c r="E139" s="176"/>
      <c r="F139" s="176" t="s">
        <v>244</v>
      </c>
      <c r="G139" s="176">
        <f>_xlfn.XLOOKUP(AN139,[2]ySQL_0_24102024094604!$B:$B,[2]ySQL_0_24102024094604!$D:$D,0)</f>
        <v>0</v>
      </c>
      <c r="H139" s="176" t="s">
        <v>536</v>
      </c>
      <c r="I139" s="177">
        <v>60</v>
      </c>
      <c r="J139" s="178">
        <v>5423</v>
      </c>
      <c r="K139" s="178"/>
      <c r="L139" s="178"/>
      <c r="M139" s="178"/>
      <c r="N139" s="177">
        <v>5.03</v>
      </c>
      <c r="O139" s="177">
        <v>7.49</v>
      </c>
      <c r="P139" s="177">
        <v>9</v>
      </c>
      <c r="Q139" s="177">
        <v>9</v>
      </c>
      <c r="R139" s="177">
        <v>4</v>
      </c>
      <c r="S139" s="177">
        <v>3</v>
      </c>
      <c r="T139" s="179">
        <v>12.9435658026</v>
      </c>
      <c r="U139" s="177">
        <v>21.2</v>
      </c>
      <c r="V139" s="177">
        <v>5</v>
      </c>
      <c r="W139" s="177">
        <v>6</v>
      </c>
      <c r="X139" s="180">
        <v>17841.400000000001</v>
      </c>
      <c r="Y139" s="180">
        <f>Z139/J139</f>
        <v>3.0187442375069149</v>
      </c>
      <c r="Z139" s="180">
        <v>16370.65</v>
      </c>
      <c r="AA139" s="180">
        <v>0</v>
      </c>
      <c r="AB139" s="180">
        <v>0</v>
      </c>
      <c r="AC139" s="180">
        <v>34212.050000000003</v>
      </c>
      <c r="AD139" s="181">
        <v>264354</v>
      </c>
      <c r="AE139" s="177" t="s">
        <v>147</v>
      </c>
      <c r="AF139" s="182">
        <v>45201</v>
      </c>
      <c r="AG139" s="177"/>
      <c r="AH139" s="177"/>
      <c r="AI139" s="183"/>
      <c r="AJ139" s="183"/>
      <c r="AK139" s="177"/>
      <c r="AL139" s="177"/>
      <c r="AM139" s="177"/>
      <c r="AN139" s="177" t="s">
        <v>285</v>
      </c>
      <c r="AO139" s="177"/>
      <c r="AP139" s="183"/>
      <c r="AQ139" s="183"/>
      <c r="AR139" s="177" t="str">
        <f t="shared" si="104"/>
        <v>New Lease</v>
      </c>
      <c r="AS139" s="182" t="str">
        <f t="shared" si="105"/>
        <v>Q4 2023</v>
      </c>
      <c r="AT139" s="182" t="str">
        <f t="shared" si="106"/>
        <v>2H2023</v>
      </c>
      <c r="AU139" s="184" t="str">
        <f t="shared" si="107"/>
        <v>&lt; 20K</v>
      </c>
      <c r="AV139" s="179">
        <f t="shared" si="100"/>
        <v>5423</v>
      </c>
      <c r="AW139" s="233">
        <f t="shared" si="108"/>
        <v>27277.690000000002</v>
      </c>
      <c r="AX139" s="233">
        <f t="shared" si="109"/>
        <v>40618.270000000004</v>
      </c>
      <c r="AY139" s="198">
        <f t="shared" si="102"/>
        <v>48807</v>
      </c>
      <c r="AZ139" s="233">
        <f>IFERROR(Q139*AV139,"")</f>
        <v>48807</v>
      </c>
      <c r="BA139" s="233">
        <f t="shared" si="110"/>
        <v>48807</v>
      </c>
      <c r="BB139" s="233">
        <f t="shared" si="111"/>
        <v>48807</v>
      </c>
      <c r="BC139" s="233">
        <f t="shared" si="103"/>
        <v>0</v>
      </c>
      <c r="BD139" s="233">
        <f t="shared" si="99"/>
        <v>0</v>
      </c>
      <c r="BE139" s="233">
        <f t="shared" si="112"/>
        <v>27115</v>
      </c>
      <c r="BF139" s="233">
        <f t="shared" si="113"/>
        <v>5423</v>
      </c>
      <c r="BG139" s="233">
        <f t="shared" si="114"/>
        <v>32538</v>
      </c>
      <c r="BH139" s="186" t="str">
        <f t="shared" si="115"/>
        <v/>
      </c>
      <c r="BI139" s="233">
        <f t="shared" si="116"/>
        <v>0</v>
      </c>
      <c r="BJ139" s="233">
        <f t="shared" si="117"/>
        <v>0</v>
      </c>
      <c r="BK139" s="233">
        <f t="shared" si="118"/>
        <v>70192.957347499803</v>
      </c>
      <c r="BL139" s="233">
        <f t="shared" si="119"/>
        <v>114967.59999999999</v>
      </c>
      <c r="BM139" s="233">
        <f t="shared" si="120"/>
        <v>21692</v>
      </c>
      <c r="BN139" s="233">
        <f t="shared" si="121"/>
        <v>16269</v>
      </c>
    </row>
    <row r="140" spans="1:66" s="198" customFormat="1" hidden="1" outlineLevel="1">
      <c r="A140" s="176" t="s">
        <v>537</v>
      </c>
      <c r="B140" s="176" t="s">
        <v>157</v>
      </c>
      <c r="C140" s="176"/>
      <c r="D140" s="176"/>
      <c r="E140" s="176"/>
      <c r="F140" s="176" t="s">
        <v>153</v>
      </c>
      <c r="G140" s="176">
        <f>_xlfn.XLOOKUP(AN140,[2]ySQL_0_24102024094604!$B:$B,[2]ySQL_0_24102024094604!$D:$D,0)</f>
        <v>0</v>
      </c>
      <c r="H140" s="176" t="s">
        <v>538</v>
      </c>
      <c r="I140" s="177">
        <v>36</v>
      </c>
      <c r="J140" s="194">
        <v>12530</v>
      </c>
      <c r="K140" s="194"/>
      <c r="L140" s="194"/>
      <c r="M140" s="194"/>
      <c r="N140" s="177">
        <v>2.77</v>
      </c>
      <c r="O140" s="177">
        <v>5.27</v>
      </c>
      <c r="P140" s="177" t="s">
        <v>167</v>
      </c>
      <c r="Q140" s="177">
        <v>6.25</v>
      </c>
      <c r="R140" s="177">
        <v>4</v>
      </c>
      <c r="S140" s="177">
        <v>3</v>
      </c>
      <c r="T140" s="179">
        <v>5.9999993479000002</v>
      </c>
      <c r="U140" s="177">
        <v>11</v>
      </c>
      <c r="V140" s="177">
        <v>0</v>
      </c>
      <c r="W140" s="177">
        <v>0</v>
      </c>
      <c r="X140" s="180">
        <v>18401.830000000002</v>
      </c>
      <c r="Y140" s="180"/>
      <c r="Z140" s="180">
        <v>0</v>
      </c>
      <c r="AA140" s="180">
        <v>0</v>
      </c>
      <c r="AB140" s="180">
        <v>0</v>
      </c>
      <c r="AC140" s="180">
        <v>18401.830000000002</v>
      </c>
      <c r="AD140" s="195">
        <v>306697.2</v>
      </c>
      <c r="AE140" s="177" t="s">
        <v>147</v>
      </c>
      <c r="AF140" s="182">
        <v>44712</v>
      </c>
      <c r="AG140" s="177">
        <v>5.3831449894414236</v>
      </c>
      <c r="AH140" s="177">
        <v>5.2244722211679582</v>
      </c>
      <c r="AI140" s="196">
        <f>AG140/Q140-1</f>
        <v>-0.13869680168937226</v>
      </c>
      <c r="AJ140" s="196">
        <f>AH140/Q140-1</f>
        <v>-0.16408444461312666</v>
      </c>
      <c r="AK140" s="177"/>
      <c r="AL140" s="177"/>
      <c r="AM140" s="177"/>
      <c r="AN140" s="177" t="s">
        <v>199</v>
      </c>
      <c r="AO140" s="177"/>
      <c r="AP140" s="196">
        <f>AG140/O140-1</f>
        <v>2.1469637465165947E-2</v>
      </c>
      <c r="AQ140" s="196">
        <f>AH140/O140-1</f>
        <v>-8.6390472167061638E-3</v>
      </c>
      <c r="AR140" s="177" t="str">
        <f t="shared" si="104"/>
        <v>Renewal</v>
      </c>
      <c r="AS140" s="182" t="str">
        <f t="shared" si="105"/>
        <v>Q2 2022</v>
      </c>
      <c r="AT140" s="182" t="str">
        <f t="shared" si="106"/>
        <v>1H2022</v>
      </c>
      <c r="AU140" s="184" t="str">
        <f t="shared" si="107"/>
        <v>&lt; 20K</v>
      </c>
      <c r="AV140" s="179">
        <f t="shared" si="100"/>
        <v>12530</v>
      </c>
      <c r="AW140" s="233">
        <f t="shared" si="108"/>
        <v>34708.1</v>
      </c>
      <c r="AX140" s="233">
        <f t="shared" si="109"/>
        <v>66033.099999999991</v>
      </c>
      <c r="AY140" s="198" t="str">
        <f t="shared" si="102"/>
        <v/>
      </c>
      <c r="AZ140" s="233">
        <f>Q140*AV140</f>
        <v>78312.5</v>
      </c>
      <c r="BA140" s="233">
        <f t="shared" si="110"/>
        <v>78312.5</v>
      </c>
      <c r="BB140" s="233">
        <f t="shared" si="111"/>
        <v>78312.5</v>
      </c>
      <c r="BC140" s="233">
        <f t="shared" si="103"/>
        <v>67450.806717701038</v>
      </c>
      <c r="BD140" s="233">
        <f t="shared" si="99"/>
        <v>65462.636931234512</v>
      </c>
      <c r="BE140" s="233">
        <f t="shared" si="112"/>
        <v>0</v>
      </c>
      <c r="BF140" s="233">
        <f t="shared" si="113"/>
        <v>0</v>
      </c>
      <c r="BG140" s="233">
        <f t="shared" si="114"/>
        <v>0</v>
      </c>
      <c r="BH140" s="186" t="str">
        <f t="shared" si="115"/>
        <v/>
      </c>
      <c r="BI140" s="233">
        <f t="shared" si="116"/>
        <v>0</v>
      </c>
      <c r="BJ140" s="233">
        <f t="shared" si="117"/>
        <v>0</v>
      </c>
      <c r="BK140" s="233">
        <f t="shared" si="118"/>
        <v>75179.991829186998</v>
      </c>
      <c r="BL140" s="233">
        <f t="shared" si="119"/>
        <v>137830</v>
      </c>
      <c r="BM140" s="233">
        <f t="shared" si="120"/>
        <v>50120</v>
      </c>
      <c r="BN140" s="233">
        <f t="shared" si="121"/>
        <v>37590</v>
      </c>
    </row>
    <row r="141" spans="1:66" s="198" customFormat="1" hidden="1" outlineLevel="1">
      <c r="A141" s="176" t="s">
        <v>539</v>
      </c>
      <c r="B141" s="176" t="s">
        <v>143</v>
      </c>
      <c r="C141" s="176"/>
      <c r="D141" s="176"/>
      <c r="E141" s="176"/>
      <c r="F141" s="176" t="s">
        <v>274</v>
      </c>
      <c r="G141" s="176">
        <f>_xlfn.XLOOKUP(AN141,[2]ySQL_0_24102024094604!$B:$B,[2]ySQL_0_24102024094604!$D:$D,0)</f>
        <v>0</v>
      </c>
      <c r="H141" s="176" t="s">
        <v>540</v>
      </c>
      <c r="I141" s="177">
        <v>136</v>
      </c>
      <c r="J141" s="178">
        <v>25100</v>
      </c>
      <c r="K141" s="178"/>
      <c r="L141" s="178"/>
      <c r="M141" s="178"/>
      <c r="N141" s="177">
        <v>4.43</v>
      </c>
      <c r="O141" s="177">
        <v>5.36</v>
      </c>
      <c r="P141" s="177">
        <v>7</v>
      </c>
      <c r="Q141" s="177">
        <v>10.4</v>
      </c>
      <c r="R141" s="177">
        <v>3</v>
      </c>
      <c r="S141" s="177">
        <v>3</v>
      </c>
      <c r="T141" s="179">
        <v>26.75</v>
      </c>
      <c r="U141" s="177">
        <v>32.36</v>
      </c>
      <c r="V141" s="177">
        <v>5</v>
      </c>
      <c r="W141" s="177">
        <v>12</v>
      </c>
      <c r="X141" s="188">
        <v>216253.18</v>
      </c>
      <c r="Y141" s="180">
        <f>Z141/J141</f>
        <v>24.813466135458167</v>
      </c>
      <c r="Z141" s="188">
        <v>622818</v>
      </c>
      <c r="AA141" s="188">
        <v>0</v>
      </c>
      <c r="AB141" s="188">
        <v>87013.33</v>
      </c>
      <c r="AC141" s="188">
        <v>926084.50999999989</v>
      </c>
      <c r="AD141" s="181">
        <v>3462609</v>
      </c>
      <c r="AE141" s="177" t="s">
        <v>147</v>
      </c>
      <c r="AF141" s="182">
        <v>45141</v>
      </c>
      <c r="AG141" s="177" t="s">
        <v>167</v>
      </c>
      <c r="AH141" s="177" t="s">
        <v>167</v>
      </c>
      <c r="AI141" s="183" t="s">
        <v>167</v>
      </c>
      <c r="AJ141" s="183" t="s">
        <v>167</v>
      </c>
      <c r="AK141" s="177">
        <v>7.5</v>
      </c>
      <c r="AL141" s="177"/>
      <c r="AM141" s="177"/>
      <c r="AN141" s="177" t="s">
        <v>355</v>
      </c>
      <c r="AO141" s="177"/>
      <c r="AP141" s="183"/>
      <c r="AQ141" s="183"/>
      <c r="AR141" s="177" t="str">
        <f t="shared" si="104"/>
        <v>New Lease</v>
      </c>
      <c r="AS141" s="182" t="str">
        <f t="shared" si="105"/>
        <v>Q3 2023</v>
      </c>
      <c r="AT141" s="182" t="str">
        <f t="shared" si="106"/>
        <v>2H2023</v>
      </c>
      <c r="AU141" s="184" t="str">
        <f t="shared" si="107"/>
        <v>20-50K</v>
      </c>
      <c r="AV141" s="179">
        <f t="shared" si="100"/>
        <v>25100</v>
      </c>
      <c r="AW141" s="233">
        <f t="shared" si="108"/>
        <v>111193</v>
      </c>
      <c r="AX141" s="233">
        <f t="shared" si="109"/>
        <v>134536</v>
      </c>
      <c r="AY141" s="198">
        <f t="shared" si="102"/>
        <v>175700</v>
      </c>
      <c r="AZ141" s="233">
        <f>IFERROR(Q141*AV141,"")</f>
        <v>261040</v>
      </c>
      <c r="BA141" s="233">
        <f t="shared" si="110"/>
        <v>261040</v>
      </c>
      <c r="BB141" s="233">
        <f t="shared" si="111"/>
        <v>261040</v>
      </c>
      <c r="BC141" s="233" t="e">
        <f t="shared" si="103"/>
        <v>#VALUE!</v>
      </c>
      <c r="BD141" s="233" t="e">
        <f t="shared" si="99"/>
        <v>#VALUE!</v>
      </c>
      <c r="BE141" s="233">
        <f t="shared" si="112"/>
        <v>125500</v>
      </c>
      <c r="BF141" s="233">
        <f t="shared" si="113"/>
        <v>25100</v>
      </c>
      <c r="BG141" s="233">
        <f t="shared" si="114"/>
        <v>301200</v>
      </c>
      <c r="BH141" s="186">
        <f t="shared" si="115"/>
        <v>261040</v>
      </c>
      <c r="BI141" s="233">
        <f t="shared" si="116"/>
        <v>3.9999998467667792</v>
      </c>
      <c r="BJ141" s="233">
        <f t="shared" si="117"/>
        <v>1044159.9600000002</v>
      </c>
      <c r="BK141" s="233">
        <f t="shared" si="118"/>
        <v>671425</v>
      </c>
      <c r="BL141" s="233">
        <f t="shared" si="119"/>
        <v>812236</v>
      </c>
      <c r="BM141" s="233">
        <f t="shared" si="120"/>
        <v>75300</v>
      </c>
      <c r="BN141" s="233">
        <f t="shared" si="121"/>
        <v>75300</v>
      </c>
    </row>
    <row r="142" spans="1:66" s="198" customFormat="1" hidden="1" outlineLevel="1">
      <c r="A142" s="176" t="s">
        <v>541</v>
      </c>
      <c r="B142" s="176" t="s">
        <v>157</v>
      </c>
      <c r="C142" s="176" t="s">
        <v>157</v>
      </c>
      <c r="D142" s="192" t="s">
        <v>413</v>
      </c>
      <c r="E142" s="192">
        <f>O142/N142-1</f>
        <v>0.2013729977116705</v>
      </c>
      <c r="F142" s="176" t="s">
        <v>214</v>
      </c>
      <c r="G142" s="176">
        <f>_xlfn.XLOOKUP(AN142,[2]ySQL_0_24102024094604!$B:$B,[2]ySQL_0_24102024094604!$D:$D,0)</f>
        <v>0</v>
      </c>
      <c r="H142" s="176" t="s">
        <v>542</v>
      </c>
      <c r="I142" s="177">
        <v>60</v>
      </c>
      <c r="J142" s="194">
        <v>17000</v>
      </c>
      <c r="K142" s="194"/>
      <c r="L142" s="194"/>
      <c r="M142" s="194"/>
      <c r="N142" s="177">
        <v>4.37</v>
      </c>
      <c r="O142" s="177">
        <v>5.25</v>
      </c>
      <c r="P142" s="177">
        <v>6.44</v>
      </c>
      <c r="Q142" s="177">
        <v>7</v>
      </c>
      <c r="R142" s="177">
        <v>3.5</v>
      </c>
      <c r="S142" s="177">
        <v>3</v>
      </c>
      <c r="T142" s="179">
        <v>8.5619229683999993</v>
      </c>
      <c r="U142" s="177">
        <v>10.95</v>
      </c>
      <c r="V142" s="177">
        <v>0</v>
      </c>
      <c r="W142" s="177">
        <v>0</v>
      </c>
      <c r="X142" s="180">
        <v>31909</v>
      </c>
      <c r="Y142" s="180"/>
      <c r="Z142" s="180">
        <v>22731.48</v>
      </c>
      <c r="AA142" s="180">
        <v>0</v>
      </c>
      <c r="AB142" s="180">
        <v>0</v>
      </c>
      <c r="AC142" s="180">
        <v>54640.480000000003</v>
      </c>
      <c r="AD142" s="195">
        <v>638180</v>
      </c>
      <c r="AE142" s="177" t="s">
        <v>161</v>
      </c>
      <c r="AF142" s="182">
        <v>44984</v>
      </c>
      <c r="AG142" s="177">
        <v>6.7675715938336154</v>
      </c>
      <c r="AH142" s="177">
        <v>6.5212519479725035</v>
      </c>
      <c r="AI142" s="196">
        <v>3.3204058023999998</v>
      </c>
      <c r="AJ142" s="196">
        <v>6.8392578861000004</v>
      </c>
      <c r="AK142" s="177"/>
      <c r="AL142" s="177"/>
      <c r="AM142" s="177"/>
      <c r="AN142" s="177" t="s">
        <v>236</v>
      </c>
      <c r="AO142" s="177"/>
      <c r="AP142" s="196">
        <f>AG142/O142-1</f>
        <v>0.28906125596830767</v>
      </c>
      <c r="AQ142" s="196">
        <f>AH142/O142-1</f>
        <v>0.2421432281852387</v>
      </c>
      <c r="AR142" s="177" t="str">
        <f t="shared" si="104"/>
        <v>Renewal</v>
      </c>
      <c r="AS142" s="182" t="str">
        <f t="shared" si="105"/>
        <v>Q1 2023</v>
      </c>
      <c r="AT142" s="182" t="str">
        <f t="shared" si="106"/>
        <v>1H2023</v>
      </c>
      <c r="AU142" s="184" t="str">
        <f t="shared" si="107"/>
        <v>&lt; 20K</v>
      </c>
      <c r="AV142" s="179">
        <f t="shared" si="100"/>
        <v>17000</v>
      </c>
      <c r="AW142" s="233">
        <f t="shared" si="108"/>
        <v>74290</v>
      </c>
      <c r="AX142" s="233">
        <f t="shared" si="109"/>
        <v>89250</v>
      </c>
      <c r="AY142" s="198">
        <f t="shared" si="102"/>
        <v>109480</v>
      </c>
      <c r="AZ142" s="233">
        <f>Q142*AV142</f>
        <v>119000</v>
      </c>
      <c r="BA142" s="233">
        <f t="shared" si="110"/>
        <v>119000</v>
      </c>
      <c r="BB142" s="233">
        <f t="shared" si="111"/>
        <v>119000</v>
      </c>
      <c r="BC142" s="233">
        <f t="shared" si="103"/>
        <v>115048.71709517147</v>
      </c>
      <c r="BD142" s="233">
        <f t="shared" si="99"/>
        <v>110861.28311553255</v>
      </c>
      <c r="BE142" s="233">
        <f t="shared" si="112"/>
        <v>0</v>
      </c>
      <c r="BF142" s="233">
        <f t="shared" si="113"/>
        <v>0</v>
      </c>
      <c r="BG142" s="233">
        <f t="shared" si="114"/>
        <v>0</v>
      </c>
      <c r="BH142" s="186" t="str">
        <f t="shared" si="115"/>
        <v/>
      </c>
      <c r="BI142" s="233">
        <f t="shared" si="116"/>
        <v>0</v>
      </c>
      <c r="BJ142" s="233">
        <f t="shared" si="117"/>
        <v>0</v>
      </c>
      <c r="BK142" s="233">
        <f t="shared" si="118"/>
        <v>145552.69046279998</v>
      </c>
      <c r="BL142" s="233">
        <f t="shared" si="119"/>
        <v>186150</v>
      </c>
      <c r="BM142" s="233">
        <f t="shared" si="120"/>
        <v>59500</v>
      </c>
      <c r="BN142" s="233">
        <f t="shared" si="121"/>
        <v>51000</v>
      </c>
    </row>
    <row r="143" spans="1:66" s="198" customFormat="1" hidden="1" outlineLevel="1">
      <c r="A143" s="176" t="s">
        <v>543</v>
      </c>
      <c r="B143" s="176" t="s">
        <v>157</v>
      </c>
      <c r="C143" s="176"/>
      <c r="D143" s="176"/>
      <c r="E143" s="176"/>
      <c r="F143" s="176" t="s">
        <v>153</v>
      </c>
      <c r="G143" s="176">
        <f>_xlfn.XLOOKUP(AN143,[2]ySQL_0_24102024094604!$B:$B,[2]ySQL_0_24102024094604!$D:$D,0)</f>
        <v>0</v>
      </c>
      <c r="H143" s="176" t="s">
        <v>544</v>
      </c>
      <c r="I143" s="177">
        <v>36</v>
      </c>
      <c r="J143" s="194">
        <v>10000</v>
      </c>
      <c r="K143" s="194"/>
      <c r="L143" s="194"/>
      <c r="M143" s="194"/>
      <c r="N143" s="177">
        <v>3.35</v>
      </c>
      <c r="O143" s="177">
        <v>5.25</v>
      </c>
      <c r="P143" s="177" t="s">
        <v>167</v>
      </c>
      <c r="Q143" s="177">
        <v>6</v>
      </c>
      <c r="R143" s="177">
        <v>4</v>
      </c>
      <c r="S143" s="177">
        <v>3</v>
      </c>
      <c r="T143" s="179">
        <v>7.2413685965000001</v>
      </c>
      <c r="U143" s="177">
        <v>11</v>
      </c>
      <c r="V143" s="177">
        <v>0</v>
      </c>
      <c r="W143" s="177">
        <v>0</v>
      </c>
      <c r="X143" s="180">
        <v>17246.84</v>
      </c>
      <c r="Y143" s="180"/>
      <c r="Z143" s="180">
        <v>0</v>
      </c>
      <c r="AA143" s="180">
        <v>0</v>
      </c>
      <c r="AB143" s="180">
        <v>0</v>
      </c>
      <c r="AC143" s="180">
        <v>17246.84</v>
      </c>
      <c r="AD143" s="195">
        <v>238171</v>
      </c>
      <c r="AE143" s="177" t="s">
        <v>147</v>
      </c>
      <c r="AF143" s="182">
        <v>44652</v>
      </c>
      <c r="AG143" s="177">
        <v>5.583434629180962</v>
      </c>
      <c r="AH143" s="177">
        <v>5.1624114649684136</v>
      </c>
      <c r="AI143" s="196">
        <f>AG143/Q143-1</f>
        <v>-6.9427561803172999E-2</v>
      </c>
      <c r="AJ143" s="196">
        <f>AH143/Q143-1</f>
        <v>-0.13959808917193106</v>
      </c>
      <c r="AK143" s="177"/>
      <c r="AL143" s="177"/>
      <c r="AM143" s="177"/>
      <c r="AN143" s="177" t="s">
        <v>199</v>
      </c>
      <c r="AO143" s="177"/>
      <c r="AP143" s="196">
        <f>AG143/O143-1</f>
        <v>6.3511357939230795E-2</v>
      </c>
      <c r="AQ143" s="196">
        <f>AH143/O143-1</f>
        <v>-1.6683530482206943E-2</v>
      </c>
      <c r="AR143" s="177" t="str">
        <f t="shared" si="104"/>
        <v>Renewal</v>
      </c>
      <c r="AS143" s="182" t="str">
        <f t="shared" si="105"/>
        <v>Q2 2022</v>
      </c>
      <c r="AT143" s="182" t="str">
        <f t="shared" si="106"/>
        <v>1H2022</v>
      </c>
      <c r="AU143" s="184" t="str">
        <f t="shared" si="107"/>
        <v>&lt; 20K</v>
      </c>
      <c r="AV143" s="179">
        <f t="shared" si="100"/>
        <v>10000</v>
      </c>
      <c r="AW143" s="233">
        <f t="shared" si="108"/>
        <v>33500</v>
      </c>
      <c r="AX143" s="233">
        <f t="shared" si="109"/>
        <v>52500</v>
      </c>
      <c r="AY143" s="198" t="str">
        <f t="shared" si="102"/>
        <v/>
      </c>
      <c r="AZ143" s="233">
        <f>Q143*AV143</f>
        <v>60000</v>
      </c>
      <c r="BA143" s="233">
        <f t="shared" si="110"/>
        <v>60000</v>
      </c>
      <c r="BB143" s="233">
        <f t="shared" si="111"/>
        <v>60000</v>
      </c>
      <c r="BC143" s="233">
        <f t="shared" si="103"/>
        <v>55834.346291809619</v>
      </c>
      <c r="BD143" s="233">
        <f t="shared" ref="BD143:BD168" si="122">AH143*J143</f>
        <v>51624.114649684139</v>
      </c>
      <c r="BE143" s="233">
        <f t="shared" si="112"/>
        <v>0</v>
      </c>
      <c r="BF143" s="233">
        <f t="shared" si="113"/>
        <v>0</v>
      </c>
      <c r="BG143" s="233">
        <f t="shared" si="114"/>
        <v>0</v>
      </c>
      <c r="BH143" s="186" t="str">
        <f t="shared" si="115"/>
        <v/>
      </c>
      <c r="BI143" s="233">
        <f t="shared" si="116"/>
        <v>0</v>
      </c>
      <c r="BJ143" s="233">
        <f t="shared" si="117"/>
        <v>0</v>
      </c>
      <c r="BK143" s="233">
        <f t="shared" si="118"/>
        <v>72413.685964999997</v>
      </c>
      <c r="BL143" s="233">
        <f t="shared" si="119"/>
        <v>110000</v>
      </c>
      <c r="BM143" s="233">
        <f t="shared" si="120"/>
        <v>40000</v>
      </c>
      <c r="BN143" s="233">
        <f t="shared" si="121"/>
        <v>30000</v>
      </c>
    </row>
    <row r="144" spans="1:66" s="198" customFormat="1" hidden="1" outlineLevel="1">
      <c r="A144" s="176" t="s">
        <v>545</v>
      </c>
      <c r="B144" s="176" t="s">
        <v>143</v>
      </c>
      <c r="C144" s="176"/>
      <c r="D144" s="176"/>
      <c r="E144" s="176"/>
      <c r="F144" s="176" t="s">
        <v>244</v>
      </c>
      <c r="G144" s="176">
        <f>_xlfn.XLOOKUP(AN144,[2]ySQL_0_24102024094604!$B:$B,[2]ySQL_0_24102024094604!$D:$D,0)</f>
        <v>0</v>
      </c>
      <c r="H144" s="176" t="s">
        <v>546</v>
      </c>
      <c r="I144" s="177">
        <v>36</v>
      </c>
      <c r="J144" s="178">
        <v>6635</v>
      </c>
      <c r="K144" s="178"/>
      <c r="L144" s="178"/>
      <c r="M144" s="178"/>
      <c r="N144" s="177">
        <v>4.13</v>
      </c>
      <c r="O144" s="177">
        <v>7.44</v>
      </c>
      <c r="P144" s="177">
        <v>9</v>
      </c>
      <c r="Q144" s="177">
        <v>9</v>
      </c>
      <c r="R144" s="177">
        <v>4</v>
      </c>
      <c r="S144" s="177">
        <v>3</v>
      </c>
      <c r="T144" s="179">
        <v>6.74</v>
      </c>
      <c r="U144" s="177">
        <v>21.23</v>
      </c>
      <c r="V144" s="177">
        <v>5</v>
      </c>
      <c r="W144" s="177">
        <v>6</v>
      </c>
      <c r="X144" s="188">
        <v>12580.45</v>
      </c>
      <c r="Y144" s="188"/>
      <c r="Z144" s="188">
        <v>0</v>
      </c>
      <c r="AA144" s="188">
        <v>0</v>
      </c>
      <c r="AB144" s="188">
        <v>0</v>
      </c>
      <c r="AC144" s="188">
        <v>12580.45</v>
      </c>
      <c r="AD144" s="181">
        <v>186406</v>
      </c>
      <c r="AE144" s="177" t="s">
        <v>147</v>
      </c>
      <c r="AF144" s="182">
        <v>45152</v>
      </c>
      <c r="AG144" s="177"/>
      <c r="AH144" s="177"/>
      <c r="AI144" s="183"/>
      <c r="AJ144" s="183"/>
      <c r="AK144" s="177"/>
      <c r="AL144" s="177"/>
      <c r="AM144" s="177"/>
      <c r="AN144" s="177" t="s">
        <v>285</v>
      </c>
      <c r="AO144" s="177"/>
      <c r="AP144" s="183"/>
      <c r="AQ144" s="183"/>
      <c r="AR144" s="177" t="str">
        <f t="shared" si="104"/>
        <v>New Lease</v>
      </c>
      <c r="AS144" s="182" t="str">
        <f t="shared" si="105"/>
        <v>Q3 2023</v>
      </c>
      <c r="AT144" s="182" t="str">
        <f t="shared" si="106"/>
        <v>2H2023</v>
      </c>
      <c r="AU144" s="184" t="str">
        <f t="shared" si="107"/>
        <v>&lt; 20K</v>
      </c>
      <c r="AV144" s="179">
        <f t="shared" si="100"/>
        <v>6635</v>
      </c>
      <c r="AW144" s="233">
        <f t="shared" si="108"/>
        <v>27402.55</v>
      </c>
      <c r="AX144" s="233">
        <f t="shared" si="109"/>
        <v>49364.4</v>
      </c>
      <c r="AY144" s="198">
        <f t="shared" si="102"/>
        <v>59715</v>
      </c>
      <c r="AZ144" s="233">
        <f>IFERROR(Q144*AV144,"")</f>
        <v>59715</v>
      </c>
      <c r="BA144" s="233">
        <f t="shared" si="110"/>
        <v>59715</v>
      </c>
      <c r="BB144" s="233">
        <f t="shared" si="111"/>
        <v>59715</v>
      </c>
      <c r="BC144" s="233">
        <f t="shared" si="103"/>
        <v>0</v>
      </c>
      <c r="BD144" s="233">
        <f t="shared" si="122"/>
        <v>0</v>
      </c>
      <c r="BE144" s="233">
        <f t="shared" si="112"/>
        <v>33175</v>
      </c>
      <c r="BF144" s="233">
        <f t="shared" si="113"/>
        <v>6635</v>
      </c>
      <c r="BG144" s="233">
        <f t="shared" si="114"/>
        <v>39810</v>
      </c>
      <c r="BH144" s="186" t="str">
        <f t="shared" si="115"/>
        <v/>
      </c>
      <c r="BI144" s="233">
        <f t="shared" si="116"/>
        <v>0</v>
      </c>
      <c r="BJ144" s="233">
        <f t="shared" si="117"/>
        <v>0</v>
      </c>
      <c r="BK144" s="233">
        <f t="shared" si="118"/>
        <v>44719.9</v>
      </c>
      <c r="BL144" s="233">
        <f t="shared" si="119"/>
        <v>140861.04999999999</v>
      </c>
      <c r="BM144" s="233">
        <f t="shared" si="120"/>
        <v>26540</v>
      </c>
      <c r="BN144" s="233">
        <f t="shared" si="121"/>
        <v>19905</v>
      </c>
    </row>
    <row r="145" spans="1:66" s="198" customFormat="1" hidden="1" outlineLevel="1">
      <c r="A145" s="176" t="s">
        <v>547</v>
      </c>
      <c r="B145" s="176" t="s">
        <v>143</v>
      </c>
      <c r="C145" s="176"/>
      <c r="D145" s="176"/>
      <c r="E145" s="176"/>
      <c r="F145" s="176" t="s">
        <v>144</v>
      </c>
      <c r="G145" s="176">
        <f>_xlfn.XLOOKUP(AN145,[2]ySQL_0_24102024094604!$B:$B,[2]ySQL_0_24102024094604!$D:$D,0)</f>
        <v>0</v>
      </c>
      <c r="H145" s="176" t="s">
        <v>548</v>
      </c>
      <c r="I145" s="177">
        <v>36</v>
      </c>
      <c r="J145" s="194">
        <v>43519</v>
      </c>
      <c r="K145" s="194"/>
      <c r="L145" s="194"/>
      <c r="M145" s="194"/>
      <c r="N145" s="177"/>
      <c r="O145" s="177">
        <v>5.75</v>
      </c>
      <c r="P145" s="177" t="s">
        <v>167</v>
      </c>
      <c r="Q145" s="177">
        <v>6.5</v>
      </c>
      <c r="R145" s="177">
        <v>4</v>
      </c>
      <c r="S145" s="177">
        <v>3</v>
      </c>
      <c r="T145" s="179">
        <v>20.761032176499999</v>
      </c>
      <c r="U145" s="177">
        <v>26.2</v>
      </c>
      <c r="V145" s="177">
        <v>5</v>
      </c>
      <c r="W145" s="177">
        <f>12-$W$3</f>
        <v>11.09</v>
      </c>
      <c r="X145" s="180">
        <v>35320.019999999997</v>
      </c>
      <c r="Y145" s="180">
        <f>Z145/J145</f>
        <v>3.4008134378087731</v>
      </c>
      <c r="Z145" s="180">
        <v>148000</v>
      </c>
      <c r="AA145" s="180">
        <v>0</v>
      </c>
      <c r="AB145" s="180">
        <v>0</v>
      </c>
      <c r="AC145" s="180">
        <v>183320.02</v>
      </c>
      <c r="AD145" s="195">
        <v>883000.51</v>
      </c>
      <c r="AE145" s="177" t="s">
        <v>147</v>
      </c>
      <c r="AF145" s="182">
        <v>44692</v>
      </c>
      <c r="AG145" s="177">
        <v>8.0586556138432943</v>
      </c>
      <c r="AH145" s="177">
        <v>7.5699809254067461</v>
      </c>
      <c r="AI145" s="196">
        <f>AG145/Q145-1</f>
        <v>0.23979317136050682</v>
      </c>
      <c r="AJ145" s="196">
        <f>AH145/Q145-1</f>
        <v>0.1646124500625763</v>
      </c>
      <c r="AK145" s="177"/>
      <c r="AL145" s="177"/>
      <c r="AM145" s="177"/>
      <c r="AN145" s="177" t="s">
        <v>549</v>
      </c>
      <c r="AO145" s="177"/>
      <c r="AP145" s="196">
        <f>AG145/O145-1</f>
        <v>0.40150532414665996</v>
      </c>
      <c r="AQ145" s="196">
        <f>AH145/O145-1</f>
        <v>0.31651842180986889</v>
      </c>
      <c r="AR145" s="177" t="str">
        <f t="shared" si="104"/>
        <v>New Lease</v>
      </c>
      <c r="AS145" s="182" t="str">
        <f t="shared" si="105"/>
        <v>Q2 2022</v>
      </c>
      <c r="AT145" s="182" t="str">
        <f t="shared" si="106"/>
        <v>1H2022</v>
      </c>
      <c r="AU145" s="184" t="str">
        <f t="shared" si="107"/>
        <v>20-50K</v>
      </c>
      <c r="AV145" s="179">
        <v>0</v>
      </c>
      <c r="AW145" s="233">
        <f t="shared" si="108"/>
        <v>0</v>
      </c>
      <c r="AX145" s="233">
        <f t="shared" si="109"/>
        <v>250234.25</v>
      </c>
      <c r="AY145" s="198" t="str">
        <f t="shared" si="102"/>
        <v/>
      </c>
      <c r="AZ145" s="233">
        <f>Q145*AV145</f>
        <v>0</v>
      </c>
      <c r="BA145" s="233">
        <f t="shared" si="110"/>
        <v>282873.5</v>
      </c>
      <c r="BB145" s="233" t="str">
        <f t="shared" si="111"/>
        <v/>
      </c>
      <c r="BC145" s="233">
        <f t="shared" si="103"/>
        <v>350704.63365884632</v>
      </c>
      <c r="BD145" s="233">
        <f t="shared" si="122"/>
        <v>329437.99989277619</v>
      </c>
      <c r="BE145" s="233">
        <f t="shared" si="112"/>
        <v>217595</v>
      </c>
      <c r="BF145" s="233">
        <f t="shared" si="113"/>
        <v>43519</v>
      </c>
      <c r="BG145" s="233">
        <f t="shared" si="114"/>
        <v>482625.71</v>
      </c>
      <c r="BH145" s="186" t="str">
        <f t="shared" si="115"/>
        <v/>
      </c>
      <c r="BI145" s="233">
        <f t="shared" si="116"/>
        <v>0</v>
      </c>
      <c r="BJ145" s="233">
        <f t="shared" si="117"/>
        <v>0</v>
      </c>
      <c r="BK145" s="233">
        <f t="shared" si="118"/>
        <v>903499.35928910342</v>
      </c>
      <c r="BL145" s="233">
        <f t="shared" si="119"/>
        <v>1140197.8</v>
      </c>
      <c r="BM145" s="233">
        <f t="shared" si="120"/>
        <v>174076</v>
      </c>
      <c r="BN145" s="233">
        <f t="shared" si="121"/>
        <v>130557</v>
      </c>
    </row>
    <row r="146" spans="1:66" s="198" customFormat="1" hidden="1" outlineLevel="1">
      <c r="A146" s="176" t="s">
        <v>550</v>
      </c>
      <c r="B146" s="176" t="s">
        <v>143</v>
      </c>
      <c r="C146" s="176"/>
      <c r="D146" s="176"/>
      <c r="E146" s="176"/>
      <c r="F146" s="176" t="s">
        <v>153</v>
      </c>
      <c r="G146" s="176">
        <f>_xlfn.XLOOKUP(AN146,[2]ySQL_0_24102024094604!$B:$B,[2]ySQL_0_24102024094604!$D:$D,0)</f>
        <v>0</v>
      </c>
      <c r="H146" s="176" t="s">
        <v>551</v>
      </c>
      <c r="I146" s="177">
        <v>63</v>
      </c>
      <c r="J146" s="194">
        <v>15477</v>
      </c>
      <c r="K146" s="194"/>
      <c r="L146" s="194"/>
      <c r="M146" s="194"/>
      <c r="N146" s="177">
        <v>5.34</v>
      </c>
      <c r="O146" s="177">
        <v>5.87</v>
      </c>
      <c r="P146" s="177" t="s">
        <v>167</v>
      </c>
      <c r="Q146" s="177">
        <v>8</v>
      </c>
      <c r="R146" s="177">
        <v>4</v>
      </c>
      <c r="S146" s="177">
        <v>3</v>
      </c>
      <c r="T146" s="179">
        <v>22.873863373300001</v>
      </c>
      <c r="U146" s="177">
        <v>26</v>
      </c>
      <c r="V146" s="177">
        <v>5</v>
      </c>
      <c r="W146" s="177">
        <f>6-$W$3</f>
        <v>5.09</v>
      </c>
      <c r="X146" s="180">
        <v>48015</v>
      </c>
      <c r="Y146" s="180">
        <f>Z146/J146</f>
        <v>5.8150804419461135</v>
      </c>
      <c r="Z146" s="180">
        <v>90000</v>
      </c>
      <c r="AA146" s="180">
        <v>0</v>
      </c>
      <c r="AB146" s="180">
        <v>30954</v>
      </c>
      <c r="AC146" s="180">
        <v>168969</v>
      </c>
      <c r="AD146" s="195">
        <v>738699</v>
      </c>
      <c r="AE146" s="177" t="s">
        <v>147</v>
      </c>
      <c r="AF146" s="182">
        <v>44701</v>
      </c>
      <c r="AG146" s="177">
        <v>8.8262868511175139</v>
      </c>
      <c r="AH146" s="177">
        <v>7.9818484472176578</v>
      </c>
      <c r="AI146" s="196">
        <f>AG146/Q146-1</f>
        <v>0.10328585638968923</v>
      </c>
      <c r="AJ146" s="196">
        <f>AH146/Q146-1</f>
        <v>-2.2689440977927688E-3</v>
      </c>
      <c r="AK146" s="177"/>
      <c r="AL146" s="177"/>
      <c r="AM146" s="177"/>
      <c r="AN146" s="177" t="s">
        <v>288</v>
      </c>
      <c r="AO146" s="177"/>
      <c r="AP146" s="196">
        <f>AG146/O146-1</f>
        <v>0.50362638008816241</v>
      </c>
      <c r="AQ146" s="196">
        <f>AH146/O146-1</f>
        <v>0.35976975250726717</v>
      </c>
      <c r="AR146" s="177" t="str">
        <f t="shared" si="104"/>
        <v>New Lease</v>
      </c>
      <c r="AS146" s="182" t="str">
        <f t="shared" si="105"/>
        <v>Q2 2022</v>
      </c>
      <c r="AT146" s="182" t="str">
        <f t="shared" si="106"/>
        <v>1H2022</v>
      </c>
      <c r="AU146" s="184" t="str">
        <f t="shared" si="107"/>
        <v>&lt; 20K</v>
      </c>
      <c r="AV146" s="179">
        <f>IF(N146="","",J146)</f>
        <v>15477</v>
      </c>
      <c r="AW146" s="233">
        <f t="shared" si="108"/>
        <v>82647.179999999993</v>
      </c>
      <c r="AX146" s="233">
        <f t="shared" si="109"/>
        <v>90849.99</v>
      </c>
      <c r="AY146" s="198" t="str">
        <f t="shared" si="102"/>
        <v/>
      </c>
      <c r="AZ146" s="233">
        <f>Q146*AV146</f>
        <v>123816</v>
      </c>
      <c r="BA146" s="233">
        <f t="shared" si="110"/>
        <v>123816</v>
      </c>
      <c r="BB146" s="233">
        <f t="shared" si="111"/>
        <v>123816</v>
      </c>
      <c r="BC146" s="233">
        <f t="shared" si="103"/>
        <v>136604.44159474576</v>
      </c>
      <c r="BD146" s="233">
        <f t="shared" si="122"/>
        <v>123535.0684175877</v>
      </c>
      <c r="BE146" s="233">
        <f t="shared" si="112"/>
        <v>77385</v>
      </c>
      <c r="BF146" s="233">
        <f t="shared" si="113"/>
        <v>15477</v>
      </c>
      <c r="BG146" s="233">
        <f t="shared" si="114"/>
        <v>78777.929999999993</v>
      </c>
      <c r="BH146" s="186">
        <f t="shared" si="115"/>
        <v>123816</v>
      </c>
      <c r="BI146" s="233">
        <f t="shared" si="116"/>
        <v>3</v>
      </c>
      <c r="BJ146" s="233">
        <f t="shared" si="117"/>
        <v>371448</v>
      </c>
      <c r="BK146" s="233">
        <f t="shared" si="118"/>
        <v>354018.78342856409</v>
      </c>
      <c r="BL146" s="233">
        <f t="shared" si="119"/>
        <v>402402</v>
      </c>
      <c r="BM146" s="233">
        <f t="shared" si="120"/>
        <v>61908</v>
      </c>
      <c r="BN146" s="233">
        <f t="shared" si="121"/>
        <v>46431</v>
      </c>
    </row>
    <row r="147" spans="1:66" s="198" customFormat="1" hidden="1" outlineLevel="1">
      <c r="A147" s="176" t="s">
        <v>552</v>
      </c>
      <c r="B147" s="176" t="s">
        <v>157</v>
      </c>
      <c r="C147" s="176" t="s">
        <v>157</v>
      </c>
      <c r="D147" s="192" t="s">
        <v>413</v>
      </c>
      <c r="E147" s="192">
        <f>O147/N147-1</f>
        <v>0.32786885245901631</v>
      </c>
      <c r="F147" s="176" t="s">
        <v>158</v>
      </c>
      <c r="G147" s="176">
        <f>_xlfn.XLOOKUP(AN147,[2]ySQL_0_24102024094604!$B:$B,[2]ySQL_0_24102024094604!$D:$D,0)</f>
        <v>0</v>
      </c>
      <c r="H147" s="176" t="s">
        <v>553</v>
      </c>
      <c r="I147" s="177">
        <v>36</v>
      </c>
      <c r="J147" s="194">
        <v>12025</v>
      </c>
      <c r="K147" s="194"/>
      <c r="L147" s="194"/>
      <c r="M147" s="194"/>
      <c r="N147" s="177">
        <v>3.05</v>
      </c>
      <c r="O147" s="177">
        <v>4.05</v>
      </c>
      <c r="P147" s="177">
        <v>4.05</v>
      </c>
      <c r="Q147" s="177">
        <v>4.5</v>
      </c>
      <c r="R147" s="179">
        <v>3.5</v>
      </c>
      <c r="S147" s="179">
        <v>3</v>
      </c>
      <c r="T147" s="179">
        <v>9.3534523371000002</v>
      </c>
      <c r="U147" s="197">
        <v>11</v>
      </c>
      <c r="V147" s="177">
        <v>0</v>
      </c>
      <c r="W147" s="177">
        <v>0</v>
      </c>
      <c r="X147" s="180">
        <v>6724.62</v>
      </c>
      <c r="Y147" s="180"/>
      <c r="Z147" s="180">
        <v>9000</v>
      </c>
      <c r="AA147" s="180">
        <v>0</v>
      </c>
      <c r="AB147" s="180">
        <v>0</v>
      </c>
      <c r="AC147" s="180">
        <v>15724.62</v>
      </c>
      <c r="AD147" s="195">
        <v>168115.68</v>
      </c>
      <c r="AE147" s="177" t="s">
        <v>161</v>
      </c>
      <c r="AF147" s="182">
        <v>44900</v>
      </c>
      <c r="AG147" s="197">
        <v>4.2261896040280016</v>
      </c>
      <c r="AH147" s="197">
        <v>4.1812151712393799</v>
      </c>
      <c r="AI147" s="196">
        <f>AG147/Q147-1</f>
        <v>-6.0846754660444091E-2</v>
      </c>
      <c r="AJ147" s="196">
        <f>AH147/Q147-1</f>
        <v>-7.0841073057915538E-2</v>
      </c>
      <c r="AK147" s="177"/>
      <c r="AL147" s="177"/>
      <c r="AM147" s="177"/>
      <c r="AN147" s="177" t="s">
        <v>494</v>
      </c>
      <c r="AP147" s="196">
        <f>AG147/O147-1</f>
        <v>4.3503605932839973E-2</v>
      </c>
      <c r="AQ147" s="196">
        <f>AH147/O147-1</f>
        <v>3.239880771342718E-2</v>
      </c>
      <c r="AR147" s="177" t="str">
        <f t="shared" si="104"/>
        <v>Renewal</v>
      </c>
      <c r="AS147" s="182" t="str">
        <f t="shared" si="105"/>
        <v>Q4 2022</v>
      </c>
      <c r="AT147" s="182" t="str">
        <f t="shared" si="106"/>
        <v>2H2022</v>
      </c>
      <c r="AU147" s="184" t="str">
        <f t="shared" si="107"/>
        <v>&lt; 20K</v>
      </c>
      <c r="AV147" s="179">
        <f>IF(N147="","",J147)</f>
        <v>12025</v>
      </c>
      <c r="AW147" s="233">
        <f t="shared" si="108"/>
        <v>36676.25</v>
      </c>
      <c r="AX147" s="233">
        <f t="shared" si="109"/>
        <v>48701.25</v>
      </c>
      <c r="AY147" s="233">
        <f>J147*P147</f>
        <v>48701.25</v>
      </c>
      <c r="AZ147" s="233">
        <f>Q147*AV147</f>
        <v>54112.5</v>
      </c>
      <c r="BA147" s="233">
        <f t="shared" si="110"/>
        <v>54112.5</v>
      </c>
      <c r="BB147" s="233">
        <f t="shared" si="111"/>
        <v>54112.5</v>
      </c>
      <c r="BC147" s="233">
        <f t="shared" si="103"/>
        <v>50819.929988436721</v>
      </c>
      <c r="BD147" s="233">
        <f t="shared" si="122"/>
        <v>50279.112434153547</v>
      </c>
      <c r="BE147" s="233">
        <f t="shared" si="112"/>
        <v>0</v>
      </c>
      <c r="BF147" s="233">
        <f t="shared" si="113"/>
        <v>0</v>
      </c>
      <c r="BG147" s="233">
        <f t="shared" si="114"/>
        <v>0</v>
      </c>
      <c r="BH147" s="186" t="str">
        <f t="shared" si="115"/>
        <v/>
      </c>
      <c r="BI147" s="233">
        <f t="shared" si="116"/>
        <v>0</v>
      </c>
      <c r="BJ147" s="233">
        <f t="shared" si="117"/>
        <v>0</v>
      </c>
      <c r="BK147" s="233">
        <f t="shared" si="118"/>
        <v>112475.2643536275</v>
      </c>
      <c r="BL147" s="233">
        <f t="shared" si="119"/>
        <v>132275</v>
      </c>
      <c r="BM147" s="233">
        <f t="shared" si="120"/>
        <v>42087.5</v>
      </c>
      <c r="BN147" s="233">
        <f t="shared" si="121"/>
        <v>36075</v>
      </c>
    </row>
    <row r="148" spans="1:66" s="198" customFormat="1" hidden="1" outlineLevel="1">
      <c r="A148" s="176" t="s">
        <v>554</v>
      </c>
      <c r="B148" s="176" t="s">
        <v>143</v>
      </c>
      <c r="C148" s="176"/>
      <c r="D148" s="176"/>
      <c r="E148" s="176"/>
      <c r="F148" s="176" t="s">
        <v>144</v>
      </c>
      <c r="G148" s="176">
        <f>_xlfn.XLOOKUP(AN148,[2]ySQL_0_24102024094604!$B:$B,[2]ySQL_0_24102024094604!$D:$D,0)</f>
        <v>0</v>
      </c>
      <c r="H148" s="176" t="s">
        <v>555</v>
      </c>
      <c r="I148" s="177">
        <v>36</v>
      </c>
      <c r="J148" s="194">
        <v>21741</v>
      </c>
      <c r="K148" s="194"/>
      <c r="L148" s="194"/>
      <c r="M148" s="194"/>
      <c r="N148" s="177">
        <v>4.84</v>
      </c>
      <c r="O148" s="177">
        <v>5.35</v>
      </c>
      <c r="P148" s="177" t="s">
        <v>167</v>
      </c>
      <c r="Q148" s="177">
        <v>6.5</v>
      </c>
      <c r="R148" s="177">
        <v>3</v>
      </c>
      <c r="S148" s="177">
        <v>3</v>
      </c>
      <c r="T148" s="179">
        <v>18.552674381999999</v>
      </c>
      <c r="U148" s="177">
        <v>21</v>
      </c>
      <c r="V148" s="177">
        <v>5</v>
      </c>
      <c r="W148" s="177">
        <f>6-$W$3</f>
        <v>5.09</v>
      </c>
      <c r="X148" s="180">
        <v>17076</v>
      </c>
      <c r="Y148" s="180">
        <f>Z148/J148</f>
        <v>2.2998022170093373</v>
      </c>
      <c r="Z148" s="180">
        <v>50000</v>
      </c>
      <c r="AA148" s="180">
        <v>0</v>
      </c>
      <c r="AB148" s="180">
        <v>11776.38</v>
      </c>
      <c r="AC148" s="180">
        <v>78852.38</v>
      </c>
      <c r="AD148" s="195">
        <v>425018.94</v>
      </c>
      <c r="AE148" s="177" t="s">
        <v>147</v>
      </c>
      <c r="AF148" s="182">
        <v>44624</v>
      </c>
      <c r="AG148" s="177">
        <v>7.5430373298049833</v>
      </c>
      <c r="AH148" s="177">
        <v>7.3313951031667717</v>
      </c>
      <c r="AI148" s="196">
        <f>AG148/Q148-1</f>
        <v>0.1604672815084589</v>
      </c>
      <c r="AJ148" s="196">
        <f>AH148/Q148-1</f>
        <v>0.12790693894873417</v>
      </c>
      <c r="AK148" s="177">
        <v>6.2</v>
      </c>
      <c r="AL148" s="177"/>
      <c r="AM148" s="177"/>
      <c r="AN148" s="177" t="s">
        <v>151</v>
      </c>
      <c r="AO148" s="177"/>
      <c r="AP148" s="196">
        <f>AG148/O148-1</f>
        <v>0.40991351958971656</v>
      </c>
      <c r="AQ148" s="196">
        <f>AH148/O148-1</f>
        <v>0.37035422489098546</v>
      </c>
      <c r="AR148" s="177" t="str">
        <f t="shared" si="104"/>
        <v>New Lease</v>
      </c>
      <c r="AS148" s="182" t="str">
        <f t="shared" si="105"/>
        <v>Q1 2022</v>
      </c>
      <c r="AT148" s="182" t="str">
        <f t="shared" si="106"/>
        <v>1H2022</v>
      </c>
      <c r="AU148" s="184" t="str">
        <f t="shared" si="107"/>
        <v>20-50K</v>
      </c>
      <c r="AV148" s="179">
        <f>IF(N148="","",J148)</f>
        <v>21741</v>
      </c>
      <c r="AW148" s="233">
        <f t="shared" si="108"/>
        <v>105226.44</v>
      </c>
      <c r="AX148" s="233">
        <f t="shared" si="109"/>
        <v>116314.34999999999</v>
      </c>
      <c r="AY148" s="198" t="str">
        <f t="shared" ref="AY148:AY155" si="123">IF(P148="","",J148*P148)</f>
        <v/>
      </c>
      <c r="AZ148" s="233">
        <f>Q148*AV148</f>
        <v>141316.5</v>
      </c>
      <c r="BA148" s="233">
        <f t="shared" si="110"/>
        <v>141316.5</v>
      </c>
      <c r="BB148" s="233">
        <f t="shared" si="111"/>
        <v>141316.5</v>
      </c>
      <c r="BC148" s="233">
        <f t="shared" si="103"/>
        <v>163993.17458729015</v>
      </c>
      <c r="BD148" s="233">
        <f t="shared" si="122"/>
        <v>159391.86093794878</v>
      </c>
      <c r="BE148" s="233">
        <f t="shared" si="112"/>
        <v>108705</v>
      </c>
      <c r="BF148" s="233">
        <f t="shared" si="113"/>
        <v>21741</v>
      </c>
      <c r="BG148" s="233">
        <f t="shared" si="114"/>
        <v>110661.69</v>
      </c>
      <c r="BH148" s="186">
        <f t="shared" si="115"/>
        <v>141316.5</v>
      </c>
      <c r="BI148" s="233">
        <f t="shared" si="116"/>
        <v>1.0000004245788707</v>
      </c>
      <c r="BJ148" s="233">
        <f t="shared" si="117"/>
        <v>141316.56</v>
      </c>
      <c r="BK148" s="233">
        <f t="shared" si="118"/>
        <v>403353.693739062</v>
      </c>
      <c r="BL148" s="233">
        <f t="shared" si="119"/>
        <v>456561</v>
      </c>
      <c r="BM148" s="233">
        <f t="shared" si="120"/>
        <v>65223</v>
      </c>
      <c r="BN148" s="233">
        <f t="shared" si="121"/>
        <v>65223</v>
      </c>
    </row>
    <row r="149" spans="1:66" s="198" customFormat="1" hidden="1" outlineLevel="1">
      <c r="A149" s="176" t="s">
        <v>556</v>
      </c>
      <c r="B149" s="176" t="s">
        <v>143</v>
      </c>
      <c r="C149" s="176"/>
      <c r="D149" s="176"/>
      <c r="E149" s="176"/>
      <c r="F149" s="176" t="s">
        <v>244</v>
      </c>
      <c r="G149" s="176">
        <f>_xlfn.XLOOKUP(AN149,[2]ySQL_0_24102024094604!$B:$B,[2]ySQL_0_24102024094604!$D:$D,0)</f>
        <v>0</v>
      </c>
      <c r="H149" s="176" t="s">
        <v>557</v>
      </c>
      <c r="I149" s="177">
        <v>36</v>
      </c>
      <c r="J149" s="194">
        <v>15780</v>
      </c>
      <c r="K149" s="194"/>
      <c r="L149" s="194"/>
      <c r="M149" s="194"/>
      <c r="N149" s="177"/>
      <c r="O149" s="177">
        <v>6</v>
      </c>
      <c r="P149" s="177" t="s">
        <v>167</v>
      </c>
      <c r="Q149" s="177">
        <v>7.5</v>
      </c>
      <c r="R149" s="177">
        <v>3</v>
      </c>
      <c r="S149" s="177">
        <v>3</v>
      </c>
      <c r="T149" s="179">
        <v>4.2095030587000002</v>
      </c>
      <c r="U149" s="177">
        <v>27.16</v>
      </c>
      <c r="V149" s="177">
        <v>5.5</v>
      </c>
      <c r="W149" s="177">
        <f>9-$W$3</f>
        <v>8.09</v>
      </c>
      <c r="X149" s="180">
        <v>19092.8</v>
      </c>
      <c r="Y149" s="180">
        <f>Z149/J149</f>
        <v>6.3371356147021551E-2</v>
      </c>
      <c r="Z149" s="180">
        <v>1000</v>
      </c>
      <c r="AA149" s="180">
        <v>0</v>
      </c>
      <c r="AB149" s="180">
        <v>0</v>
      </c>
      <c r="AC149" s="180">
        <v>20092.8</v>
      </c>
      <c r="AD149" s="195">
        <v>477320</v>
      </c>
      <c r="AE149" s="177" t="s">
        <v>147</v>
      </c>
      <c r="AF149" s="182">
        <v>44624</v>
      </c>
      <c r="AG149" s="177">
        <v>6.3780480351086446</v>
      </c>
      <c r="AH149" s="177">
        <v>6.3060286041341946</v>
      </c>
      <c r="AI149" s="196">
        <f>AG149/Q149-1</f>
        <v>-0.14959359531884742</v>
      </c>
      <c r="AJ149" s="196">
        <f>AH149/Q149-1</f>
        <v>-0.15919618611544073</v>
      </c>
      <c r="AK149" s="177"/>
      <c r="AL149" s="177"/>
      <c r="AM149" s="177"/>
      <c r="AN149" s="177" t="s">
        <v>558</v>
      </c>
      <c r="AO149" s="177"/>
      <c r="AP149" s="196">
        <f>AG149/O149-1</f>
        <v>6.300800585144084E-2</v>
      </c>
      <c r="AQ149" s="196">
        <f>AH149/O149-1</f>
        <v>5.1004767355699032E-2</v>
      </c>
      <c r="AR149" s="177" t="str">
        <f t="shared" si="104"/>
        <v>New Lease</v>
      </c>
      <c r="AS149" s="182" t="str">
        <f t="shared" si="105"/>
        <v>Q1 2022</v>
      </c>
      <c r="AT149" s="182" t="str">
        <f t="shared" si="106"/>
        <v>1H2022</v>
      </c>
      <c r="AU149" s="184" t="str">
        <f t="shared" si="107"/>
        <v>&lt; 20K</v>
      </c>
      <c r="AV149" s="179">
        <v>0</v>
      </c>
      <c r="AW149" s="233">
        <f t="shared" si="108"/>
        <v>0</v>
      </c>
      <c r="AX149" s="233">
        <f t="shared" si="109"/>
        <v>94680</v>
      </c>
      <c r="AY149" s="198" t="str">
        <f t="shared" si="123"/>
        <v/>
      </c>
      <c r="AZ149" s="233">
        <f>Q149*AV149</f>
        <v>0</v>
      </c>
      <c r="BA149" s="233">
        <f t="shared" si="110"/>
        <v>118350</v>
      </c>
      <c r="BB149" s="233" t="str">
        <f t="shared" si="111"/>
        <v/>
      </c>
      <c r="BC149" s="233">
        <f t="shared" si="103"/>
        <v>100645.59799401442</v>
      </c>
      <c r="BD149" s="233">
        <f t="shared" si="122"/>
        <v>99509.131373237586</v>
      </c>
      <c r="BE149" s="233">
        <f t="shared" si="112"/>
        <v>86790</v>
      </c>
      <c r="BF149" s="233">
        <f t="shared" si="113"/>
        <v>15780</v>
      </c>
      <c r="BG149" s="233">
        <f t="shared" si="114"/>
        <v>127660.2</v>
      </c>
      <c r="BH149" s="186" t="str">
        <f t="shared" si="115"/>
        <v/>
      </c>
      <c r="BI149" s="233">
        <f t="shared" si="116"/>
        <v>0</v>
      </c>
      <c r="BJ149" s="233">
        <f t="shared" si="117"/>
        <v>0</v>
      </c>
      <c r="BK149" s="233">
        <f t="shared" si="118"/>
        <v>66425.958266286005</v>
      </c>
      <c r="BL149" s="233">
        <f t="shared" si="119"/>
        <v>428584.8</v>
      </c>
      <c r="BM149" s="233">
        <f t="shared" si="120"/>
        <v>47340</v>
      </c>
      <c r="BN149" s="233">
        <f t="shared" si="121"/>
        <v>47340</v>
      </c>
    </row>
    <row r="150" spans="1:66" s="198" customFormat="1" hidden="1" outlineLevel="1">
      <c r="A150" s="176" t="s">
        <v>559</v>
      </c>
      <c r="B150" s="176" t="s">
        <v>238</v>
      </c>
      <c r="C150" s="176"/>
      <c r="D150" s="176"/>
      <c r="E150" s="176"/>
      <c r="F150" s="176" t="s">
        <v>181</v>
      </c>
      <c r="G150" s="176">
        <f>_xlfn.XLOOKUP(AN150,[2]ySQL_0_24102024094604!$B:$B,[2]ySQL_0_24102024094604!$D:$D,0)</f>
        <v>0</v>
      </c>
      <c r="H150" s="176" t="s">
        <v>560</v>
      </c>
      <c r="I150" s="177">
        <v>120</v>
      </c>
      <c r="J150" s="178">
        <v>12187</v>
      </c>
      <c r="K150" s="178"/>
      <c r="L150" s="178"/>
      <c r="M150" s="178"/>
      <c r="N150" s="177"/>
      <c r="O150" s="177">
        <v>9.68</v>
      </c>
      <c r="P150" s="177">
        <v>10</v>
      </c>
      <c r="Q150" s="177">
        <v>10</v>
      </c>
      <c r="R150" s="177">
        <v>4</v>
      </c>
      <c r="S150" s="177">
        <v>3</v>
      </c>
      <c r="T150" s="179">
        <v>25.843332824600001</v>
      </c>
      <c r="U150" s="177">
        <v>38.46</v>
      </c>
      <c r="V150" s="177">
        <v>6</v>
      </c>
      <c r="W150" s="177">
        <v>12</v>
      </c>
      <c r="X150" s="180">
        <v>54289.03</v>
      </c>
      <c r="Y150" s="180">
        <f>Z150/J150</f>
        <v>20.513662098957905</v>
      </c>
      <c r="Z150" s="180">
        <v>250000</v>
      </c>
      <c r="AA150" s="180" t="s">
        <v>167</v>
      </c>
      <c r="AB150" s="180">
        <v>46463.33</v>
      </c>
      <c r="AC150" s="180">
        <v>350752.36</v>
      </c>
      <c r="AD150" s="181">
        <v>4542871</v>
      </c>
      <c r="AE150" s="177" t="s">
        <v>147</v>
      </c>
      <c r="AF150" s="182">
        <v>45222</v>
      </c>
      <c r="AG150" s="177"/>
      <c r="AH150" s="177"/>
      <c r="AI150" s="183"/>
      <c r="AJ150" s="183"/>
      <c r="AK150" s="177"/>
      <c r="AL150" s="177"/>
      <c r="AM150" s="177"/>
      <c r="AN150" s="177" t="s">
        <v>561</v>
      </c>
      <c r="AO150" s="177"/>
      <c r="AP150" s="183"/>
      <c r="AQ150" s="183"/>
      <c r="AR150" s="177" t="str">
        <f t="shared" si="104"/>
        <v>New Lease</v>
      </c>
      <c r="AS150" s="182" t="str">
        <f t="shared" si="105"/>
        <v>Q4 2023</v>
      </c>
      <c r="AT150" s="182" t="str">
        <f t="shared" si="106"/>
        <v>2H2023</v>
      </c>
      <c r="AU150" s="184" t="str">
        <f t="shared" si="107"/>
        <v>&lt; 20K</v>
      </c>
      <c r="AV150" s="179" t="str">
        <f>IF(N150="","",J150)</f>
        <v/>
      </c>
      <c r="AW150" s="233" t="str">
        <f t="shared" si="108"/>
        <v/>
      </c>
      <c r="AX150" s="233">
        <f t="shared" si="109"/>
        <v>117970.16</v>
      </c>
      <c r="AY150" s="198">
        <f t="shared" si="123"/>
        <v>121870</v>
      </c>
      <c r="AZ150" s="233" t="str">
        <f>IFERROR(Q150*AV150,"")</f>
        <v/>
      </c>
      <c r="BA150" s="233">
        <f t="shared" si="110"/>
        <v>121870</v>
      </c>
      <c r="BB150" s="233" t="str">
        <f t="shared" si="111"/>
        <v/>
      </c>
      <c r="BC150" s="233">
        <f t="shared" si="103"/>
        <v>0</v>
      </c>
      <c r="BD150" s="233">
        <f t="shared" si="122"/>
        <v>0</v>
      </c>
      <c r="BE150" s="233">
        <f t="shared" si="112"/>
        <v>73122</v>
      </c>
      <c r="BF150" s="233">
        <f t="shared" si="113"/>
        <v>12187</v>
      </c>
      <c r="BG150" s="233">
        <f t="shared" si="114"/>
        <v>146244</v>
      </c>
      <c r="BH150" s="186">
        <f t="shared" si="115"/>
        <v>121870</v>
      </c>
      <c r="BI150" s="233">
        <f t="shared" si="116"/>
        <v>4.5750386477393947</v>
      </c>
      <c r="BJ150" s="233">
        <f t="shared" si="117"/>
        <v>557559.96000000008</v>
      </c>
      <c r="BK150" s="233">
        <f t="shared" si="118"/>
        <v>314952.69713340019</v>
      </c>
      <c r="BL150" s="233">
        <f t="shared" si="119"/>
        <v>468712.02</v>
      </c>
      <c r="BM150" s="233">
        <f t="shared" si="120"/>
        <v>48748</v>
      </c>
      <c r="BN150" s="233">
        <f t="shared" si="121"/>
        <v>36561</v>
      </c>
    </row>
    <row r="151" spans="1:66" s="198" customFormat="1" hidden="1" outlineLevel="1">
      <c r="A151" s="176" t="s">
        <v>562</v>
      </c>
      <c r="B151" s="176" t="s">
        <v>143</v>
      </c>
      <c r="C151" s="176" t="s">
        <v>290</v>
      </c>
      <c r="D151" s="192" t="s">
        <v>413</v>
      </c>
      <c r="E151" s="192">
        <f>O151/N151-1</f>
        <v>0.50825082508250841</v>
      </c>
      <c r="F151" s="176" t="s">
        <v>158</v>
      </c>
      <c r="G151" s="176">
        <f>_xlfn.XLOOKUP(AN151,[2]ySQL_0_24102024094604!$B:$B,[2]ySQL_0_24102024094604!$D:$D,0)</f>
        <v>0</v>
      </c>
      <c r="H151" s="176" t="s">
        <v>563</v>
      </c>
      <c r="I151" s="177">
        <v>60</v>
      </c>
      <c r="J151" s="178">
        <v>22500</v>
      </c>
      <c r="K151" s="178"/>
      <c r="L151" s="178"/>
      <c r="M151" s="178"/>
      <c r="N151" s="177">
        <v>3.03</v>
      </c>
      <c r="O151" s="177">
        <v>4.57</v>
      </c>
      <c r="P151" s="177">
        <v>4.84</v>
      </c>
      <c r="Q151" s="177">
        <v>5.35</v>
      </c>
      <c r="R151" s="177">
        <v>3.5</v>
      </c>
      <c r="S151" s="177">
        <v>3</v>
      </c>
      <c r="T151" s="179">
        <v>24.7186011386</v>
      </c>
      <c r="U151" s="177">
        <v>11</v>
      </c>
      <c r="V151" s="177">
        <v>6</v>
      </c>
      <c r="W151" s="177">
        <v>6</v>
      </c>
      <c r="X151" s="180">
        <v>38731.5</v>
      </c>
      <c r="Y151" s="180"/>
      <c r="Z151" s="180">
        <v>45000</v>
      </c>
      <c r="AA151" s="180">
        <v>65802</v>
      </c>
      <c r="AB151" s="180">
        <v>10031.25</v>
      </c>
      <c r="AC151" s="180">
        <v>159564.75</v>
      </c>
      <c r="AD151" s="181">
        <v>645507</v>
      </c>
      <c r="AE151" s="177" t="s">
        <v>161</v>
      </c>
      <c r="AF151" s="182">
        <v>45218</v>
      </c>
      <c r="AG151" s="177"/>
      <c r="AH151" s="177"/>
      <c r="AI151" s="183"/>
      <c r="AJ151" s="183"/>
      <c r="AK151" s="177"/>
      <c r="AL151" s="177"/>
      <c r="AM151" s="177"/>
      <c r="AN151" s="177" t="s">
        <v>494</v>
      </c>
      <c r="AO151" s="177"/>
      <c r="AP151" s="183"/>
      <c r="AQ151" s="183"/>
      <c r="AR151" s="177" t="str">
        <f t="shared" si="104"/>
        <v>New Lease</v>
      </c>
      <c r="AS151" s="182" t="str">
        <f t="shared" si="105"/>
        <v>Q4 2023</v>
      </c>
      <c r="AT151" s="182" t="str">
        <f t="shared" si="106"/>
        <v>2H2023</v>
      </c>
      <c r="AU151" s="184" t="str">
        <f t="shared" si="107"/>
        <v>20-50K</v>
      </c>
      <c r="AV151" s="179">
        <f>IF(N151="","",J151)</f>
        <v>22500</v>
      </c>
      <c r="AW151" s="233">
        <f t="shared" si="108"/>
        <v>68175</v>
      </c>
      <c r="AX151" s="233">
        <f t="shared" si="109"/>
        <v>102825</v>
      </c>
      <c r="AY151" s="198">
        <f t="shared" si="123"/>
        <v>108900</v>
      </c>
      <c r="AZ151" s="233">
        <f>IFERROR(Q151*AV151,"")</f>
        <v>120374.99999999999</v>
      </c>
      <c r="BA151" s="233">
        <f t="shared" si="110"/>
        <v>120374.99999999999</v>
      </c>
      <c r="BB151" s="233">
        <f t="shared" si="111"/>
        <v>120374.99999999999</v>
      </c>
      <c r="BC151" s="233">
        <f t="shared" si="103"/>
        <v>0</v>
      </c>
      <c r="BD151" s="233">
        <f t="shared" si="122"/>
        <v>0</v>
      </c>
      <c r="BE151" s="233">
        <f t="shared" si="112"/>
        <v>135000</v>
      </c>
      <c r="BF151" s="233">
        <f t="shared" si="113"/>
        <v>22500</v>
      </c>
      <c r="BG151" s="233">
        <f t="shared" si="114"/>
        <v>135000</v>
      </c>
      <c r="BH151" s="186">
        <f t="shared" si="115"/>
        <v>120374.99999999999</v>
      </c>
      <c r="BI151" s="233">
        <f t="shared" si="116"/>
        <v>1.0000000000000002</v>
      </c>
      <c r="BJ151" s="233">
        <f t="shared" si="117"/>
        <v>120375.00000000001</v>
      </c>
      <c r="BK151" s="233">
        <f t="shared" si="118"/>
        <v>556168.52561849996</v>
      </c>
      <c r="BL151" s="233">
        <f t="shared" si="119"/>
        <v>247500</v>
      </c>
      <c r="BM151" s="233">
        <f t="shared" si="120"/>
        <v>78750</v>
      </c>
      <c r="BN151" s="233">
        <f t="shared" si="121"/>
        <v>67500</v>
      </c>
    </row>
    <row r="152" spans="1:66" s="198" customFormat="1" hidden="1" outlineLevel="1">
      <c r="A152" s="176" t="s">
        <v>564</v>
      </c>
      <c r="B152" s="176" t="s">
        <v>157</v>
      </c>
      <c r="C152" s="176"/>
      <c r="D152" s="176"/>
      <c r="E152" s="176"/>
      <c r="F152" s="176" t="s">
        <v>144</v>
      </c>
      <c r="G152" s="176">
        <f>_xlfn.XLOOKUP(AN152,[2]ySQL_0_24102024094604!$B:$B,[2]ySQL_0_24102024094604!$D:$D,0)</f>
        <v>0</v>
      </c>
      <c r="H152" s="176" t="s">
        <v>565</v>
      </c>
      <c r="I152" s="177">
        <v>37</v>
      </c>
      <c r="J152" s="194">
        <v>5399</v>
      </c>
      <c r="K152" s="194"/>
      <c r="L152" s="194"/>
      <c r="M152" s="194"/>
      <c r="N152" s="177">
        <v>6.66</v>
      </c>
      <c r="O152" s="177">
        <v>8.39</v>
      </c>
      <c r="P152" s="177">
        <v>8</v>
      </c>
      <c r="Q152" s="177">
        <v>9.5</v>
      </c>
      <c r="R152" s="177">
        <v>4</v>
      </c>
      <c r="S152" s="177">
        <v>2</v>
      </c>
      <c r="T152" s="179">
        <v>7.1689798492000003</v>
      </c>
      <c r="U152" s="177">
        <v>17.98</v>
      </c>
      <c r="V152" s="177">
        <v>0</v>
      </c>
      <c r="W152" s="177">
        <v>0</v>
      </c>
      <c r="X152" s="180">
        <v>7206</v>
      </c>
      <c r="Y152" s="180"/>
      <c r="Z152" s="180">
        <v>0</v>
      </c>
      <c r="AA152" s="180">
        <v>0</v>
      </c>
      <c r="AB152" s="180">
        <v>4274</v>
      </c>
      <c r="AC152" s="180">
        <v>11480</v>
      </c>
      <c r="AD152" s="195">
        <v>164830</v>
      </c>
      <c r="AE152" s="177" t="s">
        <v>147</v>
      </c>
      <c r="AF152" s="182">
        <v>45033</v>
      </c>
      <c r="AG152" s="177"/>
      <c r="AH152" s="177"/>
      <c r="AI152" s="196"/>
      <c r="AJ152" s="196"/>
      <c r="AK152" s="177"/>
      <c r="AL152" s="177"/>
      <c r="AM152" s="177"/>
      <c r="AN152" s="177" t="s">
        <v>269</v>
      </c>
      <c r="AO152" s="177"/>
      <c r="AP152" s="196"/>
      <c r="AQ152" s="196"/>
      <c r="AR152" s="177" t="str">
        <f t="shared" si="104"/>
        <v>Renewal</v>
      </c>
      <c r="AS152" s="182" t="str">
        <f t="shared" si="105"/>
        <v>Q2 2023</v>
      </c>
      <c r="AT152" s="182" t="str">
        <f t="shared" si="106"/>
        <v>1H2023</v>
      </c>
      <c r="AU152" s="184" t="str">
        <f t="shared" si="107"/>
        <v>&lt; 20K</v>
      </c>
      <c r="AV152" s="179">
        <f>IF(N152="","",J152)</f>
        <v>5399</v>
      </c>
      <c r="AW152" s="233">
        <f t="shared" si="108"/>
        <v>35957.340000000004</v>
      </c>
      <c r="AX152" s="233">
        <f t="shared" si="109"/>
        <v>45297.61</v>
      </c>
      <c r="AY152" s="198">
        <f t="shared" si="123"/>
        <v>43192</v>
      </c>
      <c r="AZ152" s="233">
        <f>Q152*AV152</f>
        <v>51290.5</v>
      </c>
      <c r="BA152" s="233">
        <f t="shared" si="110"/>
        <v>51290.5</v>
      </c>
      <c r="BB152" s="233">
        <f t="shared" si="111"/>
        <v>51290.5</v>
      </c>
      <c r="BC152" s="233">
        <f t="shared" si="103"/>
        <v>0</v>
      </c>
      <c r="BD152" s="233">
        <f t="shared" si="122"/>
        <v>0</v>
      </c>
      <c r="BE152" s="233">
        <f t="shared" si="112"/>
        <v>0</v>
      </c>
      <c r="BF152" s="233">
        <f t="shared" si="113"/>
        <v>0</v>
      </c>
      <c r="BG152" s="233">
        <f t="shared" si="114"/>
        <v>0</v>
      </c>
      <c r="BH152" s="198">
        <f t="shared" si="115"/>
        <v>51290.5</v>
      </c>
      <c r="BI152" s="233">
        <f t="shared" si="116"/>
        <v>0.99995125803023954</v>
      </c>
      <c r="BJ152" s="233">
        <f t="shared" si="117"/>
        <v>51288</v>
      </c>
      <c r="BK152" s="233">
        <f t="shared" si="118"/>
        <v>38705.322205830802</v>
      </c>
      <c r="BL152" s="233">
        <f t="shared" si="119"/>
        <v>97074.02</v>
      </c>
      <c r="BM152" s="233">
        <f t="shared" si="120"/>
        <v>21596</v>
      </c>
      <c r="BN152" s="233">
        <f t="shared" si="121"/>
        <v>10798</v>
      </c>
    </row>
    <row r="153" spans="1:66" s="198" customFormat="1" hidden="1" outlineLevel="1">
      <c r="A153" s="176" t="s">
        <v>566</v>
      </c>
      <c r="B153" s="176" t="s">
        <v>157</v>
      </c>
      <c r="C153" s="176"/>
      <c r="D153" s="176"/>
      <c r="E153" s="176"/>
      <c r="F153" s="176" t="s">
        <v>153</v>
      </c>
      <c r="G153" s="176">
        <f>_xlfn.XLOOKUP(AN153,[2]ySQL_0_24102024094604!$B:$B,[2]ySQL_0_24102024094604!$D:$D,0)</f>
        <v>0</v>
      </c>
      <c r="H153" s="176" t="s">
        <v>567</v>
      </c>
      <c r="I153" s="177">
        <v>60</v>
      </c>
      <c r="J153" s="194">
        <v>4000</v>
      </c>
      <c r="K153" s="194"/>
      <c r="L153" s="194"/>
      <c r="M153" s="194"/>
      <c r="N153" s="177">
        <v>6</v>
      </c>
      <c r="O153" s="177">
        <v>6.37</v>
      </c>
      <c r="P153" s="177">
        <v>6.27</v>
      </c>
      <c r="Q153" s="177">
        <v>7</v>
      </c>
      <c r="R153" s="177">
        <v>4</v>
      </c>
      <c r="S153" s="177">
        <v>3</v>
      </c>
      <c r="T153" s="179">
        <v>5.538377186</v>
      </c>
      <c r="U153" s="177">
        <v>13.48</v>
      </c>
      <c r="V153" s="177">
        <v>0</v>
      </c>
      <c r="W153" s="177">
        <v>0</v>
      </c>
      <c r="X153" s="180">
        <v>8687</v>
      </c>
      <c r="Y153" s="180"/>
      <c r="Z153" s="180">
        <v>0</v>
      </c>
      <c r="AA153" s="180">
        <v>0</v>
      </c>
      <c r="AB153" s="180">
        <v>0</v>
      </c>
      <c r="AC153" s="180">
        <v>8687</v>
      </c>
      <c r="AD153" s="195">
        <v>156851</v>
      </c>
      <c r="AE153" s="177" t="s">
        <v>147</v>
      </c>
      <c r="AF153" s="182">
        <v>45042</v>
      </c>
      <c r="AG153" s="177"/>
      <c r="AH153" s="177"/>
      <c r="AI153" s="196"/>
      <c r="AJ153" s="196"/>
      <c r="AK153" s="177"/>
      <c r="AL153" s="177"/>
      <c r="AM153" s="177"/>
      <c r="AN153" s="177" t="s">
        <v>155</v>
      </c>
      <c r="AO153" s="177"/>
      <c r="AP153" s="196"/>
      <c r="AQ153" s="196"/>
      <c r="AR153" s="177" t="str">
        <f t="shared" si="104"/>
        <v>Renewal</v>
      </c>
      <c r="AS153" s="182" t="str">
        <f t="shared" si="105"/>
        <v>Q2 2023</v>
      </c>
      <c r="AT153" s="182" t="str">
        <f t="shared" si="106"/>
        <v>1H2023</v>
      </c>
      <c r="AU153" s="184" t="str">
        <f t="shared" si="107"/>
        <v>&lt; 20K</v>
      </c>
      <c r="AV153" s="179">
        <f>IF(N153="","",J153)</f>
        <v>4000</v>
      </c>
      <c r="AW153" s="233">
        <f t="shared" si="108"/>
        <v>24000</v>
      </c>
      <c r="AX153" s="233">
        <f t="shared" si="109"/>
        <v>25480</v>
      </c>
      <c r="AY153" s="198">
        <f t="shared" si="123"/>
        <v>25080</v>
      </c>
      <c r="AZ153" s="233">
        <f>Q153*AV153</f>
        <v>28000</v>
      </c>
      <c r="BA153" s="233">
        <f t="shared" si="110"/>
        <v>28000</v>
      </c>
      <c r="BB153" s="233">
        <f t="shared" si="111"/>
        <v>28000</v>
      </c>
      <c r="BC153" s="233">
        <f t="shared" si="103"/>
        <v>0</v>
      </c>
      <c r="BD153" s="233">
        <f t="shared" si="122"/>
        <v>0</v>
      </c>
      <c r="BE153" s="233">
        <f t="shared" si="112"/>
        <v>0</v>
      </c>
      <c r="BF153" s="233">
        <f t="shared" si="113"/>
        <v>0</v>
      </c>
      <c r="BG153" s="233">
        <f t="shared" si="114"/>
        <v>0</v>
      </c>
      <c r="BH153" s="186" t="str">
        <f t="shared" si="115"/>
        <v/>
      </c>
      <c r="BI153" s="233">
        <f t="shared" si="116"/>
        <v>0</v>
      </c>
      <c r="BJ153" s="233">
        <f t="shared" si="117"/>
        <v>0</v>
      </c>
      <c r="BK153" s="233">
        <f t="shared" si="118"/>
        <v>22153.508743999999</v>
      </c>
      <c r="BL153" s="233">
        <f t="shared" si="119"/>
        <v>53920</v>
      </c>
      <c r="BM153" s="233">
        <f t="shared" si="120"/>
        <v>16000</v>
      </c>
      <c r="BN153" s="233">
        <f t="shared" si="121"/>
        <v>12000</v>
      </c>
    </row>
    <row r="154" spans="1:66" s="198" customFormat="1" hidden="1" outlineLevel="1">
      <c r="A154" s="176" t="s">
        <v>568</v>
      </c>
      <c r="B154" s="176" t="s">
        <v>143</v>
      </c>
      <c r="C154" s="176"/>
      <c r="D154" s="176"/>
      <c r="E154" s="176"/>
      <c r="F154" s="176" t="s">
        <v>173</v>
      </c>
      <c r="G154" s="176">
        <f>_xlfn.XLOOKUP(AN154,[2]ySQL_0_24102024094604!$B:$B,[2]ySQL_0_24102024094604!$D:$D,0)</f>
        <v>0</v>
      </c>
      <c r="H154" s="176" t="s">
        <v>569</v>
      </c>
      <c r="I154" s="177">
        <v>62</v>
      </c>
      <c r="J154" s="194">
        <v>18880</v>
      </c>
      <c r="K154" s="194"/>
      <c r="L154" s="194"/>
      <c r="M154" s="194"/>
      <c r="N154" s="177">
        <v>17</v>
      </c>
      <c r="O154" s="177">
        <v>13.25</v>
      </c>
      <c r="P154" s="177">
        <v>14</v>
      </c>
      <c r="Q154" s="177">
        <v>13.25</v>
      </c>
      <c r="R154" s="177">
        <v>4</v>
      </c>
      <c r="S154" s="177">
        <v>3</v>
      </c>
      <c r="T154" s="179">
        <v>10.465999999999999</v>
      </c>
      <c r="U154" s="177">
        <v>22.53</v>
      </c>
      <c r="V154" s="177">
        <v>6</v>
      </c>
      <c r="W154" s="177">
        <v>6</v>
      </c>
      <c r="X154" s="180">
        <v>105425.51</v>
      </c>
      <c r="Y154" s="180"/>
      <c r="Z154" s="180"/>
      <c r="AA154" s="180"/>
      <c r="AB154" s="180">
        <v>41693.339999999997</v>
      </c>
      <c r="AC154" s="180">
        <v>147118.85</v>
      </c>
      <c r="AD154" s="195">
        <v>1404848</v>
      </c>
      <c r="AE154" s="177" t="s">
        <v>147</v>
      </c>
      <c r="AF154" s="182">
        <v>45017</v>
      </c>
      <c r="AG154" s="177"/>
      <c r="AH154" s="177"/>
      <c r="AI154" s="196"/>
      <c r="AJ154" s="196"/>
      <c r="AK154" s="177"/>
      <c r="AL154" s="177"/>
      <c r="AM154" s="177"/>
      <c r="AN154" s="177" t="s">
        <v>325</v>
      </c>
      <c r="AO154" s="177"/>
      <c r="AP154" s="196"/>
      <c r="AQ154" s="196"/>
      <c r="AR154" s="177" t="str">
        <f t="shared" si="104"/>
        <v>New Lease</v>
      </c>
      <c r="AS154" s="182" t="str">
        <f t="shared" si="105"/>
        <v>Q2 2023</v>
      </c>
      <c r="AT154" s="182" t="str">
        <f t="shared" si="106"/>
        <v>1H2023</v>
      </c>
      <c r="AU154" s="184" t="str">
        <f t="shared" si="107"/>
        <v>&lt; 20K</v>
      </c>
      <c r="AV154" s="179">
        <v>-1</v>
      </c>
      <c r="AW154" s="233">
        <f t="shared" si="108"/>
        <v>-17</v>
      </c>
      <c r="AX154" s="233">
        <f t="shared" si="109"/>
        <v>250160</v>
      </c>
      <c r="AY154" s="198">
        <f t="shared" si="123"/>
        <v>264320</v>
      </c>
      <c r="AZ154" s="233">
        <f>Q154*AV154</f>
        <v>-13.25</v>
      </c>
      <c r="BA154" s="233">
        <f t="shared" si="110"/>
        <v>250160</v>
      </c>
      <c r="BB154" s="233">
        <f t="shared" si="111"/>
        <v>250160</v>
      </c>
      <c r="BC154" s="233">
        <f t="shared" si="103"/>
        <v>0</v>
      </c>
      <c r="BD154" s="233">
        <f t="shared" si="122"/>
        <v>0</v>
      </c>
      <c r="BE154" s="233">
        <f t="shared" si="112"/>
        <v>113280</v>
      </c>
      <c r="BF154" s="233">
        <f t="shared" si="113"/>
        <v>18880</v>
      </c>
      <c r="BG154" s="233">
        <f t="shared" si="114"/>
        <v>113280</v>
      </c>
      <c r="BH154" s="186">
        <f t="shared" si="115"/>
        <v>250160</v>
      </c>
      <c r="BI154" s="233">
        <f t="shared" si="116"/>
        <v>2.0000003197953307</v>
      </c>
      <c r="BJ154" s="233">
        <f t="shared" si="117"/>
        <v>500320.07999999996</v>
      </c>
      <c r="BK154" s="233">
        <f t="shared" si="118"/>
        <v>197598.07999999999</v>
      </c>
      <c r="BL154" s="233">
        <f t="shared" si="119"/>
        <v>425366.4</v>
      </c>
      <c r="BM154" s="233">
        <f t="shared" si="120"/>
        <v>75520</v>
      </c>
      <c r="BN154" s="233">
        <f t="shared" si="121"/>
        <v>56640</v>
      </c>
    </row>
    <row r="155" spans="1:66" s="198" customFormat="1" hidden="1" outlineLevel="1">
      <c r="A155" s="176" t="s">
        <v>570</v>
      </c>
      <c r="B155" s="176" t="s">
        <v>157</v>
      </c>
      <c r="C155" s="176"/>
      <c r="D155" s="176"/>
      <c r="E155" s="176"/>
      <c r="F155" s="176" t="s">
        <v>244</v>
      </c>
      <c r="G155" s="176">
        <f>_xlfn.XLOOKUP(AN155,[2]ySQL_0_24102024094604!$B:$B,[2]ySQL_0_24102024094604!$D:$D,0)</f>
        <v>0</v>
      </c>
      <c r="H155" s="176" t="s">
        <v>571</v>
      </c>
      <c r="I155" s="177">
        <v>36</v>
      </c>
      <c r="J155" s="194">
        <v>7490</v>
      </c>
      <c r="K155" s="194"/>
      <c r="L155" s="194"/>
      <c r="M155" s="194"/>
      <c r="N155" s="177">
        <v>3.8</v>
      </c>
      <c r="O155" s="177">
        <v>7.37</v>
      </c>
      <c r="P155" s="177">
        <v>8</v>
      </c>
      <c r="Q155" s="177">
        <v>9</v>
      </c>
      <c r="R155" s="177">
        <v>4</v>
      </c>
      <c r="S155" s="177">
        <v>3</v>
      </c>
      <c r="T155" s="179">
        <v>11.619969381300001</v>
      </c>
      <c r="U155" s="177">
        <v>8.6300000000000008</v>
      </c>
      <c r="V155" s="177">
        <v>0</v>
      </c>
      <c r="W155" s="177">
        <v>0</v>
      </c>
      <c r="X155" s="180">
        <v>9467.73</v>
      </c>
      <c r="Y155" s="180">
        <f>Z155/J155</f>
        <v>2</v>
      </c>
      <c r="Z155" s="180">
        <v>14980</v>
      </c>
      <c r="AA155" s="180">
        <v>0</v>
      </c>
      <c r="AB155" s="180">
        <v>0</v>
      </c>
      <c r="AC155" s="180">
        <v>24447.73</v>
      </c>
      <c r="AD155" s="195">
        <v>210427</v>
      </c>
      <c r="AE155" s="177" t="s">
        <v>147</v>
      </c>
      <c r="AF155" s="182">
        <v>45077</v>
      </c>
      <c r="AG155" s="177"/>
      <c r="AH155" s="177"/>
      <c r="AI155" s="196"/>
      <c r="AJ155" s="196"/>
      <c r="AK155" s="177"/>
      <c r="AL155" s="177"/>
      <c r="AM155" s="177"/>
      <c r="AN155" s="177" t="s">
        <v>285</v>
      </c>
      <c r="AO155" s="177"/>
      <c r="AP155" s="196"/>
      <c r="AQ155" s="196"/>
      <c r="AR155" s="177" t="str">
        <f t="shared" si="104"/>
        <v>Renewal</v>
      </c>
      <c r="AS155" s="182" t="str">
        <f t="shared" si="105"/>
        <v>Q2 2023</v>
      </c>
      <c r="AT155" s="182" t="str">
        <f t="shared" si="106"/>
        <v>1H2023</v>
      </c>
      <c r="AU155" s="184" t="str">
        <f t="shared" si="107"/>
        <v>&lt; 20K</v>
      </c>
      <c r="AV155" s="179">
        <f t="shared" ref="AV155:AV161" si="124">IF(N155="","",J155)</f>
        <v>7490</v>
      </c>
      <c r="AW155" s="233">
        <f t="shared" si="108"/>
        <v>28462</v>
      </c>
      <c r="AX155" s="233">
        <f t="shared" si="109"/>
        <v>55201.3</v>
      </c>
      <c r="AY155" s="198">
        <f t="shared" si="123"/>
        <v>59920</v>
      </c>
      <c r="AZ155" s="233">
        <f>Q155*AV155</f>
        <v>67410</v>
      </c>
      <c r="BA155" s="233">
        <f t="shared" si="110"/>
        <v>67410</v>
      </c>
      <c r="BB155" s="233">
        <f t="shared" si="111"/>
        <v>67410</v>
      </c>
      <c r="BC155" s="233">
        <f t="shared" si="103"/>
        <v>0</v>
      </c>
      <c r="BD155" s="233">
        <f t="shared" si="122"/>
        <v>0</v>
      </c>
      <c r="BE155" s="233">
        <f t="shared" si="112"/>
        <v>0</v>
      </c>
      <c r="BF155" s="233">
        <f t="shared" si="113"/>
        <v>0</v>
      </c>
      <c r="BG155" s="233">
        <f t="shared" si="114"/>
        <v>0</v>
      </c>
      <c r="BH155" s="186" t="str">
        <f t="shared" si="115"/>
        <v/>
      </c>
      <c r="BI155" s="233">
        <f t="shared" si="116"/>
        <v>0</v>
      </c>
      <c r="BJ155" s="233">
        <f t="shared" si="117"/>
        <v>0</v>
      </c>
      <c r="BK155" s="233">
        <f t="shared" si="118"/>
        <v>87033.570665937004</v>
      </c>
      <c r="BL155" s="233">
        <f t="shared" si="119"/>
        <v>64638.700000000004</v>
      </c>
      <c r="BM155" s="233">
        <f t="shared" si="120"/>
        <v>29960</v>
      </c>
      <c r="BN155" s="233">
        <f t="shared" si="121"/>
        <v>22470</v>
      </c>
    </row>
    <row r="156" spans="1:66" s="198" customFormat="1" hidden="1" outlineLevel="1">
      <c r="A156" s="176" t="s">
        <v>572</v>
      </c>
      <c r="B156" s="176" t="s">
        <v>238</v>
      </c>
      <c r="C156" s="176"/>
      <c r="D156" s="176"/>
      <c r="E156" s="176"/>
      <c r="F156" s="176" t="s">
        <v>181</v>
      </c>
      <c r="G156" s="176">
        <f>_xlfn.XLOOKUP(AN156,[2]ySQL_0_24102024094604!$B:$B,[2]ySQL_0_24102024094604!$D:$D,0)</f>
        <v>0</v>
      </c>
      <c r="H156" s="176" t="s">
        <v>573</v>
      </c>
      <c r="I156" s="177">
        <v>95</v>
      </c>
      <c r="J156" s="194">
        <v>39828</v>
      </c>
      <c r="K156" s="194"/>
      <c r="L156" s="194"/>
      <c r="M156" s="194"/>
      <c r="N156" s="177">
        <v>5.2</v>
      </c>
      <c r="O156" s="177">
        <v>5.3</v>
      </c>
      <c r="P156" s="177">
        <v>9</v>
      </c>
      <c r="Q156" s="177">
        <v>8.75</v>
      </c>
      <c r="R156" s="179">
        <v>4.5</v>
      </c>
      <c r="S156" s="179">
        <v>2.5</v>
      </c>
      <c r="T156" s="179">
        <v>6.6100898362000002</v>
      </c>
      <c r="U156" s="197">
        <v>37.31</v>
      </c>
      <c r="V156" s="177">
        <v>6</v>
      </c>
      <c r="W156" s="177">
        <f>6-$W$3</f>
        <v>5.09</v>
      </c>
      <c r="X156" s="180">
        <v>61300.57</v>
      </c>
      <c r="Y156" s="180">
        <f>Z156/J156</f>
        <v>1.0043185698503565</v>
      </c>
      <c r="Z156" s="180">
        <v>40000</v>
      </c>
      <c r="AA156" s="180">
        <v>0</v>
      </c>
      <c r="AB156" s="180">
        <v>0</v>
      </c>
      <c r="AC156" s="180">
        <v>101300.57</v>
      </c>
      <c r="AD156" s="195">
        <v>1532514.27</v>
      </c>
      <c r="AE156" s="177" t="s">
        <v>147</v>
      </c>
      <c r="AF156" s="182">
        <v>44901</v>
      </c>
      <c r="AG156" s="197">
        <v>10.366059988097254</v>
      </c>
      <c r="AH156" s="197">
        <v>8.6219200523627357</v>
      </c>
      <c r="AI156" s="196">
        <f>AG156/Q156-1</f>
        <v>0.18469257006825757</v>
      </c>
      <c r="AJ156" s="196">
        <f>AH156/Q156-1</f>
        <v>-1.4637708301401653E-2</v>
      </c>
      <c r="AK156" s="177"/>
      <c r="AL156" s="177"/>
      <c r="AM156" s="177"/>
      <c r="AN156" s="177" t="s">
        <v>240</v>
      </c>
      <c r="AP156" s="196">
        <f>AG156/O156-1</f>
        <v>0.95586037511268951</v>
      </c>
      <c r="AQ156" s="196">
        <f>AH156/O156-1</f>
        <v>0.62677736837032749</v>
      </c>
      <c r="AR156" s="177" t="str">
        <f t="shared" si="104"/>
        <v>New Lease</v>
      </c>
      <c r="AS156" s="182" t="str">
        <f t="shared" si="105"/>
        <v>Q4 2022</v>
      </c>
      <c r="AT156" s="182" t="str">
        <f t="shared" si="106"/>
        <v>2H2022</v>
      </c>
      <c r="AU156" s="184" t="str">
        <f t="shared" si="107"/>
        <v>20-50K</v>
      </c>
      <c r="AV156" s="179">
        <f t="shared" si="124"/>
        <v>39828</v>
      </c>
      <c r="AW156" s="233">
        <f t="shared" si="108"/>
        <v>207105.6</v>
      </c>
      <c r="AX156" s="233">
        <f t="shared" si="109"/>
        <v>211088.4</v>
      </c>
      <c r="AY156" s="233">
        <f>J156*P156</f>
        <v>358452</v>
      </c>
      <c r="AZ156" s="233">
        <f>Q156*AV156</f>
        <v>348495</v>
      </c>
      <c r="BA156" s="233">
        <f t="shared" si="110"/>
        <v>348495</v>
      </c>
      <c r="BB156" s="233">
        <f t="shared" si="111"/>
        <v>348495</v>
      </c>
      <c r="BC156" s="233">
        <f t="shared" si="103"/>
        <v>412859.4372059374</v>
      </c>
      <c r="BD156" s="233">
        <f t="shared" si="122"/>
        <v>343393.83184550307</v>
      </c>
      <c r="BE156" s="233">
        <f t="shared" si="112"/>
        <v>238968</v>
      </c>
      <c r="BF156" s="233">
        <f t="shared" si="113"/>
        <v>39828</v>
      </c>
      <c r="BG156" s="233">
        <f t="shared" si="114"/>
        <v>202724.52</v>
      </c>
      <c r="BH156" s="186" t="str">
        <f t="shared" si="115"/>
        <v/>
      </c>
      <c r="BI156" s="233">
        <f t="shared" si="116"/>
        <v>0</v>
      </c>
      <c r="BJ156" s="233">
        <f t="shared" si="117"/>
        <v>0</v>
      </c>
      <c r="BK156" s="233">
        <f t="shared" si="118"/>
        <v>263266.6579961736</v>
      </c>
      <c r="BL156" s="233">
        <f t="shared" si="119"/>
        <v>1485982.6800000002</v>
      </c>
      <c r="BM156" s="233">
        <f t="shared" si="120"/>
        <v>179226</v>
      </c>
      <c r="BN156" s="233">
        <f t="shared" si="121"/>
        <v>99570</v>
      </c>
    </row>
    <row r="157" spans="1:66" s="198" customFormat="1" hidden="1" outlineLevel="1">
      <c r="A157" s="176" t="s">
        <v>574</v>
      </c>
      <c r="B157" s="176" t="s">
        <v>143</v>
      </c>
      <c r="C157" s="176" t="s">
        <v>335</v>
      </c>
      <c r="D157" s="176" t="s">
        <v>335</v>
      </c>
      <c r="E157" s="176"/>
      <c r="F157" s="176" t="s">
        <v>144</v>
      </c>
      <c r="G157" s="176">
        <f>_xlfn.XLOOKUP(AN157,[2]ySQL_0_24102024094604!$B:$B,[2]ySQL_0_24102024094604!$D:$D,0)</f>
        <v>0</v>
      </c>
      <c r="H157" s="176" t="s">
        <v>575</v>
      </c>
      <c r="I157" s="177">
        <v>87</v>
      </c>
      <c r="J157" s="194">
        <v>45263</v>
      </c>
      <c r="K157" s="194"/>
      <c r="L157" s="194"/>
      <c r="M157" s="194"/>
      <c r="N157" s="177"/>
      <c r="O157" s="177">
        <v>9.5</v>
      </c>
      <c r="P157" s="177">
        <v>9.5</v>
      </c>
      <c r="Q157" s="177">
        <v>9.15</v>
      </c>
      <c r="R157" s="177">
        <v>3.5</v>
      </c>
      <c r="S157" s="177">
        <v>3</v>
      </c>
      <c r="T157" s="179">
        <v>13.0220242121</v>
      </c>
      <c r="U157" s="177">
        <v>13</v>
      </c>
      <c r="V157" s="177">
        <v>6</v>
      </c>
      <c r="W157" s="177">
        <v>6</v>
      </c>
      <c r="X157" s="180">
        <v>225337.91</v>
      </c>
      <c r="Y157" s="180"/>
      <c r="Z157" s="180">
        <v>90490</v>
      </c>
      <c r="AA157" s="180">
        <v>0</v>
      </c>
      <c r="AB157" s="180">
        <v>103477.35</v>
      </c>
      <c r="AC157" s="180">
        <v>419305.26</v>
      </c>
      <c r="AD157" s="195">
        <v>3219969.9</v>
      </c>
      <c r="AE157" s="177" t="s">
        <v>161</v>
      </c>
      <c r="AF157" s="182">
        <v>44930</v>
      </c>
      <c r="AG157" s="177">
        <v>8.9599080652717369</v>
      </c>
      <c r="AH157" s="177">
        <v>7.4686518280132859</v>
      </c>
      <c r="AI157" s="196">
        <v>2.0775074833999998</v>
      </c>
      <c r="AJ157" s="196">
        <v>18.375389857799998</v>
      </c>
      <c r="AK157" s="177">
        <v>7.1</v>
      </c>
      <c r="AL157" s="177"/>
      <c r="AM157" s="177"/>
      <c r="AN157" s="177" t="s">
        <v>576</v>
      </c>
      <c r="AO157" s="177"/>
      <c r="AP157" s="196">
        <f>AG157/O157-1</f>
        <v>-5.6851782602975076E-2</v>
      </c>
      <c r="AQ157" s="196">
        <f>AH157/O157-1</f>
        <v>-0.21382612336702256</v>
      </c>
      <c r="AR157" s="177" t="str">
        <f t="shared" si="104"/>
        <v>New Lease</v>
      </c>
      <c r="AS157" s="182" t="str">
        <f t="shared" si="105"/>
        <v>Q1 2023</v>
      </c>
      <c r="AT157" s="182" t="str">
        <f t="shared" si="106"/>
        <v>1H2023</v>
      </c>
      <c r="AU157" s="184" t="str">
        <f t="shared" si="107"/>
        <v>20-50K</v>
      </c>
      <c r="AV157" s="179" t="str">
        <f t="shared" si="124"/>
        <v/>
      </c>
      <c r="AW157" s="233" t="str">
        <f t="shared" si="108"/>
        <v/>
      </c>
      <c r="AX157" s="233">
        <f t="shared" si="109"/>
        <v>429998.5</v>
      </c>
      <c r="AY157" s="198">
        <f t="shared" ref="AY157:AY164" si="125">IF(P157="","",J157*P157)</f>
        <v>429998.5</v>
      </c>
      <c r="AZ157" s="233" t="str">
        <f>IFERROR(Q157*AV157,"")</f>
        <v/>
      </c>
      <c r="BA157" s="233">
        <f t="shared" si="110"/>
        <v>414156.45</v>
      </c>
      <c r="BB157" s="233" t="str">
        <f t="shared" si="111"/>
        <v/>
      </c>
      <c r="BC157" s="233">
        <f t="shared" si="103"/>
        <v>405552.31875839463</v>
      </c>
      <c r="BD157" s="233">
        <f t="shared" si="122"/>
        <v>338053.58769136533</v>
      </c>
      <c r="BE157" s="233">
        <f t="shared" si="112"/>
        <v>271578</v>
      </c>
      <c r="BF157" s="233">
        <f t="shared" si="113"/>
        <v>45263</v>
      </c>
      <c r="BG157" s="233">
        <f t="shared" si="114"/>
        <v>271578</v>
      </c>
      <c r="BH157" s="186">
        <f t="shared" si="115"/>
        <v>414156.45</v>
      </c>
      <c r="BI157" s="233">
        <f t="shared" si="116"/>
        <v>2.998210458873694</v>
      </c>
      <c r="BJ157" s="233">
        <f t="shared" si="117"/>
        <v>1241728.2</v>
      </c>
      <c r="BK157" s="233">
        <f t="shared" si="118"/>
        <v>589415.88191228232</v>
      </c>
      <c r="BL157" s="233">
        <f t="shared" si="119"/>
        <v>588419</v>
      </c>
      <c r="BM157" s="233">
        <f t="shared" si="120"/>
        <v>158420.5</v>
      </c>
      <c r="BN157" s="233">
        <f t="shared" si="121"/>
        <v>135789</v>
      </c>
    </row>
    <row r="158" spans="1:66" s="198" customFormat="1" hidden="1" outlineLevel="1">
      <c r="A158" s="199" t="s">
        <v>577</v>
      </c>
      <c r="B158" s="176" t="s">
        <v>143</v>
      </c>
      <c r="C158" s="176"/>
      <c r="D158" s="176"/>
      <c r="E158" s="176"/>
      <c r="F158" s="176" t="s">
        <v>181</v>
      </c>
      <c r="G158" s="176">
        <f>_xlfn.XLOOKUP(AN158,[2]ySQL_0_24102024094604!$B:$B,[2]ySQL_0_24102024094604!$D:$D,0)</f>
        <v>0</v>
      </c>
      <c r="H158" s="199" t="s">
        <v>578</v>
      </c>
      <c r="I158" s="200">
        <v>31</v>
      </c>
      <c r="J158" s="194">
        <v>5740</v>
      </c>
      <c r="K158" s="194"/>
      <c r="L158" s="194"/>
      <c r="M158" s="194"/>
      <c r="N158" s="177">
        <v>5.22</v>
      </c>
      <c r="O158" s="177">
        <v>8.35</v>
      </c>
      <c r="P158" s="177">
        <v>8.32</v>
      </c>
      <c r="Q158" s="177">
        <v>9</v>
      </c>
      <c r="R158" s="177">
        <v>4</v>
      </c>
      <c r="S158" s="177">
        <v>4</v>
      </c>
      <c r="T158" s="179">
        <v>17.618210398799999</v>
      </c>
      <c r="U158" s="177">
        <v>48.87</v>
      </c>
      <c r="V158" s="177">
        <v>6</v>
      </c>
      <c r="W158" s="177">
        <f>6-$W$3</f>
        <v>5.09</v>
      </c>
      <c r="X158" s="180">
        <v>7089.68</v>
      </c>
      <c r="Y158" s="180">
        <f>Z158/J158</f>
        <v>3</v>
      </c>
      <c r="Z158" s="180">
        <v>17220</v>
      </c>
      <c r="AA158" s="180">
        <v>0</v>
      </c>
      <c r="AB158" s="180">
        <v>0</v>
      </c>
      <c r="AC158" s="180">
        <v>24309.68</v>
      </c>
      <c r="AD158" s="181">
        <v>137714</v>
      </c>
      <c r="AE158" s="200" t="s">
        <v>147</v>
      </c>
      <c r="AF158" s="201">
        <v>45085</v>
      </c>
      <c r="AG158" s="177"/>
      <c r="AH158" s="177"/>
      <c r="AI158" s="196"/>
      <c r="AJ158" s="196"/>
      <c r="AK158" s="200">
        <v>5</v>
      </c>
      <c r="AL158" s="200"/>
      <c r="AM158" s="200"/>
      <c r="AN158" s="200" t="s">
        <v>579</v>
      </c>
      <c r="AO158" s="177"/>
      <c r="AP158" s="196"/>
      <c r="AQ158" s="196"/>
      <c r="AR158" s="177" t="str">
        <f t="shared" si="104"/>
        <v>New Lease</v>
      </c>
      <c r="AS158" s="182" t="str">
        <f t="shared" si="105"/>
        <v>Q2 2023</v>
      </c>
      <c r="AT158" s="182" t="str">
        <f t="shared" si="106"/>
        <v>1H2023</v>
      </c>
      <c r="AU158" s="184" t="str">
        <f t="shared" si="107"/>
        <v>&lt; 20K</v>
      </c>
      <c r="AV158" s="179">
        <f t="shared" si="124"/>
        <v>5740</v>
      </c>
      <c r="AW158" s="233">
        <f t="shared" si="108"/>
        <v>29962.799999999999</v>
      </c>
      <c r="AX158" s="233">
        <f t="shared" si="109"/>
        <v>47929</v>
      </c>
      <c r="AY158" s="198">
        <f t="shared" si="125"/>
        <v>47756.800000000003</v>
      </c>
      <c r="AZ158" s="233">
        <f t="shared" ref="AZ158:AZ168" si="126">Q158*AV158</f>
        <v>51660</v>
      </c>
      <c r="BA158" s="233">
        <f t="shared" si="110"/>
        <v>51660</v>
      </c>
      <c r="BB158" s="233">
        <f t="shared" si="111"/>
        <v>51660</v>
      </c>
      <c r="BC158" s="233">
        <f t="shared" si="103"/>
        <v>0</v>
      </c>
      <c r="BD158" s="233">
        <f t="shared" si="122"/>
        <v>0</v>
      </c>
      <c r="BE158" s="233">
        <f t="shared" si="112"/>
        <v>34440</v>
      </c>
      <c r="BF158" s="233">
        <f t="shared" si="113"/>
        <v>5740</v>
      </c>
      <c r="BG158" s="233">
        <f t="shared" si="114"/>
        <v>29216.6</v>
      </c>
      <c r="BH158" s="198" t="str">
        <f t="shared" si="115"/>
        <v/>
      </c>
      <c r="BI158" s="233">
        <f t="shared" si="116"/>
        <v>0</v>
      </c>
      <c r="BJ158" s="233">
        <f t="shared" si="117"/>
        <v>0</v>
      </c>
      <c r="BK158" s="233">
        <f t="shared" si="118"/>
        <v>101128.52768911199</v>
      </c>
      <c r="BL158" s="233">
        <f t="shared" si="119"/>
        <v>280513.8</v>
      </c>
      <c r="BM158" s="233">
        <f t="shared" si="120"/>
        <v>22960</v>
      </c>
      <c r="BN158" s="233">
        <f t="shared" si="121"/>
        <v>22960</v>
      </c>
    </row>
    <row r="159" spans="1:66" s="198" customFormat="1" hidden="1" outlineLevel="1">
      <c r="A159" s="176" t="s">
        <v>580</v>
      </c>
      <c r="B159" s="176" t="s">
        <v>157</v>
      </c>
      <c r="C159" s="176"/>
      <c r="D159" s="176"/>
      <c r="E159" s="176"/>
      <c r="F159" s="176" t="s">
        <v>144</v>
      </c>
      <c r="G159" s="176" t="str">
        <f>_xlfn.XLOOKUP(AN159,[2]ySQL_0_24102024094604!$B:$B,[2]ySQL_0_24102024094604!$D:$D,0)</f>
        <v>Yes</v>
      </c>
      <c r="H159" s="176" t="s">
        <v>581</v>
      </c>
      <c r="I159" s="177">
        <v>36</v>
      </c>
      <c r="J159" s="194">
        <v>20000</v>
      </c>
      <c r="K159" s="194"/>
      <c r="L159" s="194"/>
      <c r="M159" s="194"/>
      <c r="N159" s="177">
        <v>8.06</v>
      </c>
      <c r="O159" s="177">
        <v>7.5</v>
      </c>
      <c r="P159" s="177" t="s">
        <v>167</v>
      </c>
      <c r="Q159" s="177">
        <v>8.25</v>
      </c>
      <c r="R159" s="177">
        <v>4</v>
      </c>
      <c r="S159" s="177">
        <v>4</v>
      </c>
      <c r="T159" s="179">
        <v>10.547929966</v>
      </c>
      <c r="U159" s="177">
        <v>7.3</v>
      </c>
      <c r="V159" s="177">
        <v>0</v>
      </c>
      <c r="W159" s="177">
        <v>0</v>
      </c>
      <c r="X159" s="180">
        <v>19502.560000000001</v>
      </c>
      <c r="Y159" s="180">
        <f>Z159/J159</f>
        <v>0.3663015</v>
      </c>
      <c r="Z159" s="180">
        <v>7326.03</v>
      </c>
      <c r="AA159" s="180">
        <v>0</v>
      </c>
      <c r="AB159" s="180">
        <v>27500</v>
      </c>
      <c r="AC159" s="180">
        <v>54328.59</v>
      </c>
      <c r="AD159" s="195">
        <v>515064</v>
      </c>
      <c r="AE159" s="177" t="s">
        <v>147</v>
      </c>
      <c r="AF159" s="182">
        <v>44819</v>
      </c>
      <c r="AG159" s="177">
        <v>8.5397856145907074</v>
      </c>
      <c r="AH159" s="177">
        <v>8.1436605365944903</v>
      </c>
      <c r="AI159" s="196">
        <f>AG159/Q159-1</f>
        <v>3.5125529041297954E-2</v>
      </c>
      <c r="AJ159" s="196">
        <f>AH159/Q159-1</f>
        <v>-1.288963192794057E-2</v>
      </c>
      <c r="AK159" s="177"/>
      <c r="AL159" s="177"/>
      <c r="AM159" s="177"/>
      <c r="AN159" s="177" t="s">
        <v>582</v>
      </c>
      <c r="AO159" s="177"/>
      <c r="AP159" s="196">
        <f>AG159/O159-1</f>
        <v>0.13863808194542759</v>
      </c>
      <c r="AQ159" s="196">
        <f>AH159/O159-1</f>
        <v>8.5821404879265373E-2</v>
      </c>
      <c r="AR159" s="177" t="str">
        <f t="shared" si="104"/>
        <v>Renewal</v>
      </c>
      <c r="AS159" s="182" t="str">
        <f t="shared" si="105"/>
        <v>Q3 2022</v>
      </c>
      <c r="AT159" s="182" t="str">
        <f t="shared" si="106"/>
        <v>2H2022</v>
      </c>
      <c r="AU159" s="184" t="str">
        <f t="shared" si="107"/>
        <v>20-50K</v>
      </c>
      <c r="AV159" s="179">
        <f t="shared" si="124"/>
        <v>20000</v>
      </c>
      <c r="AW159" s="233">
        <f t="shared" si="108"/>
        <v>161200</v>
      </c>
      <c r="AX159" s="233">
        <f t="shared" si="109"/>
        <v>150000</v>
      </c>
      <c r="AY159" s="198" t="str">
        <f t="shared" si="125"/>
        <v/>
      </c>
      <c r="AZ159" s="233">
        <f t="shared" si="126"/>
        <v>165000</v>
      </c>
      <c r="BA159" s="233">
        <f t="shared" si="110"/>
        <v>165000</v>
      </c>
      <c r="BB159" s="233">
        <f t="shared" si="111"/>
        <v>165000</v>
      </c>
      <c r="BC159" s="233">
        <f t="shared" si="103"/>
        <v>170795.71229181415</v>
      </c>
      <c r="BD159" s="233">
        <f t="shared" si="122"/>
        <v>162873.21073188982</v>
      </c>
      <c r="BE159" s="233">
        <f t="shared" si="112"/>
        <v>0</v>
      </c>
      <c r="BF159" s="233">
        <f t="shared" si="113"/>
        <v>0</v>
      </c>
      <c r="BG159" s="233">
        <f t="shared" si="114"/>
        <v>0</v>
      </c>
      <c r="BH159" s="186">
        <f t="shared" si="115"/>
        <v>165000</v>
      </c>
      <c r="BI159" s="233">
        <f t="shared" si="116"/>
        <v>2</v>
      </c>
      <c r="BJ159" s="233">
        <f t="shared" si="117"/>
        <v>330000</v>
      </c>
      <c r="BK159" s="233">
        <f t="shared" si="118"/>
        <v>210958.59932000001</v>
      </c>
      <c r="BL159" s="233">
        <f t="shared" si="119"/>
        <v>146000</v>
      </c>
      <c r="BM159" s="233">
        <f t="shared" si="120"/>
        <v>80000</v>
      </c>
      <c r="BN159" s="233">
        <f t="shared" si="121"/>
        <v>80000</v>
      </c>
    </row>
    <row r="160" spans="1:66" s="198" customFormat="1" hidden="1" outlineLevel="1">
      <c r="A160" s="176" t="s">
        <v>583</v>
      </c>
      <c r="B160" s="176" t="s">
        <v>143</v>
      </c>
      <c r="C160" s="176"/>
      <c r="D160" s="176"/>
      <c r="E160" s="176"/>
      <c r="F160" s="176" t="s">
        <v>177</v>
      </c>
      <c r="G160" s="176">
        <f>_xlfn.XLOOKUP(AN160,[2]ySQL_0_24102024094604!$B:$B,[2]ySQL_0_24102024094604!$D:$D,0)</f>
        <v>0</v>
      </c>
      <c r="H160" s="176" t="s">
        <v>584</v>
      </c>
      <c r="I160" s="177">
        <v>60</v>
      </c>
      <c r="J160" s="194">
        <v>6832</v>
      </c>
      <c r="K160" s="194"/>
      <c r="L160" s="194"/>
      <c r="M160" s="194"/>
      <c r="N160" s="177">
        <v>10.95</v>
      </c>
      <c r="O160" s="177">
        <v>10.95</v>
      </c>
      <c r="P160" s="177" t="s">
        <v>167</v>
      </c>
      <c r="Q160" s="177">
        <v>11.85</v>
      </c>
      <c r="R160" s="177">
        <v>4</v>
      </c>
      <c r="S160" s="177">
        <v>4</v>
      </c>
      <c r="T160" s="179">
        <v>6.0000009122</v>
      </c>
      <c r="U160" s="177">
        <v>12.71</v>
      </c>
      <c r="V160" s="177">
        <v>6</v>
      </c>
      <c r="W160" s="177">
        <f>6-$W$3</f>
        <v>5.09</v>
      </c>
      <c r="X160" s="180">
        <v>26310.07</v>
      </c>
      <c r="Y160" s="180"/>
      <c r="Z160" s="180">
        <v>0</v>
      </c>
      <c r="AA160" s="180">
        <v>0</v>
      </c>
      <c r="AB160" s="180">
        <v>0</v>
      </c>
      <c r="AC160" s="180">
        <v>26310.07</v>
      </c>
      <c r="AD160" s="195">
        <v>438501.1</v>
      </c>
      <c r="AE160" s="177" t="s">
        <v>147</v>
      </c>
      <c r="AF160" s="182">
        <v>44813</v>
      </c>
      <c r="AG160" s="177">
        <v>9.5877118330255815</v>
      </c>
      <c r="AH160" s="177">
        <v>8.8349972340272664</v>
      </c>
      <c r="AI160" s="196">
        <f>AG160/Q160-1</f>
        <v>-0.19091039383750363</v>
      </c>
      <c r="AJ160" s="196">
        <f>AH160/Q160-1</f>
        <v>-0.25443061316225601</v>
      </c>
      <c r="AK160" s="177">
        <v>7</v>
      </c>
      <c r="AL160" s="177"/>
      <c r="AM160" s="177"/>
      <c r="AN160" s="177" t="s">
        <v>179</v>
      </c>
      <c r="AO160" s="177"/>
      <c r="AP160" s="196">
        <f>AG160/O160-1</f>
        <v>-0.12440987826250394</v>
      </c>
      <c r="AQ160" s="196">
        <f>AH160/O160-1</f>
        <v>-0.19315093753175638</v>
      </c>
      <c r="AR160" s="177" t="str">
        <f t="shared" si="104"/>
        <v>New Lease</v>
      </c>
      <c r="AS160" s="182" t="str">
        <f t="shared" si="105"/>
        <v>Q3 2022</v>
      </c>
      <c r="AT160" s="182" t="str">
        <f t="shared" si="106"/>
        <v>2H2022</v>
      </c>
      <c r="AU160" s="184" t="str">
        <f t="shared" si="107"/>
        <v>&lt; 20K</v>
      </c>
      <c r="AV160" s="179">
        <f t="shared" si="124"/>
        <v>6832</v>
      </c>
      <c r="AW160" s="233">
        <f t="shared" si="108"/>
        <v>74810.399999999994</v>
      </c>
      <c r="AX160" s="233">
        <f t="shared" si="109"/>
        <v>74810.399999999994</v>
      </c>
      <c r="AY160" s="198" t="str">
        <f t="shared" si="125"/>
        <v/>
      </c>
      <c r="AZ160" s="233">
        <f t="shared" si="126"/>
        <v>80959.199999999997</v>
      </c>
      <c r="BA160" s="233">
        <f t="shared" si="110"/>
        <v>80959.199999999997</v>
      </c>
      <c r="BB160" s="233">
        <f t="shared" si="111"/>
        <v>80959.199999999997</v>
      </c>
      <c r="BC160" s="233">
        <f t="shared" si="103"/>
        <v>65503.24724323077</v>
      </c>
      <c r="BD160" s="233">
        <f t="shared" si="122"/>
        <v>60360.701102874285</v>
      </c>
      <c r="BE160" s="233">
        <f t="shared" si="112"/>
        <v>40992</v>
      </c>
      <c r="BF160" s="233">
        <f t="shared" si="113"/>
        <v>6832</v>
      </c>
      <c r="BG160" s="233">
        <f t="shared" si="114"/>
        <v>34774.879999999997</v>
      </c>
      <c r="BH160" s="186" t="str">
        <f t="shared" si="115"/>
        <v/>
      </c>
      <c r="BI160" s="233">
        <f t="shared" si="116"/>
        <v>0</v>
      </c>
      <c r="BJ160" s="233">
        <f t="shared" si="117"/>
        <v>0</v>
      </c>
      <c r="BK160" s="233">
        <f t="shared" si="118"/>
        <v>40992.006232150401</v>
      </c>
      <c r="BL160" s="233">
        <f t="shared" si="119"/>
        <v>86834.72</v>
      </c>
      <c r="BM160" s="233">
        <f t="shared" si="120"/>
        <v>27328</v>
      </c>
      <c r="BN160" s="233">
        <f t="shared" si="121"/>
        <v>27328</v>
      </c>
    </row>
    <row r="161" spans="1:66" s="198" customFormat="1" hidden="1" outlineLevel="1">
      <c r="A161" s="176" t="s">
        <v>585</v>
      </c>
      <c r="B161" s="176" t="s">
        <v>157</v>
      </c>
      <c r="C161" s="176"/>
      <c r="D161" s="176"/>
      <c r="E161" s="176"/>
      <c r="F161" s="176" t="s">
        <v>185</v>
      </c>
      <c r="G161" s="176">
        <f>_xlfn.XLOOKUP(AN161,[2]ySQL_0_24102024094604!$B:$B,[2]ySQL_0_24102024094604!$D:$D,0)</f>
        <v>0</v>
      </c>
      <c r="H161" s="176" t="s">
        <v>586</v>
      </c>
      <c r="I161" s="177">
        <v>60</v>
      </c>
      <c r="J161" s="194">
        <v>80000</v>
      </c>
      <c r="K161" s="194"/>
      <c r="L161" s="194"/>
      <c r="M161" s="194"/>
      <c r="N161" s="177">
        <v>3.46</v>
      </c>
      <c r="O161" s="177">
        <v>3.71</v>
      </c>
      <c r="P161" s="177" t="s">
        <v>167</v>
      </c>
      <c r="Q161" s="177">
        <v>4.5</v>
      </c>
      <c r="R161" s="177">
        <v>4</v>
      </c>
      <c r="S161" s="177">
        <v>3</v>
      </c>
      <c r="T161" s="179">
        <v>20.939137399300002</v>
      </c>
      <c r="U161" s="177">
        <v>8</v>
      </c>
      <c r="V161" s="177">
        <v>0</v>
      </c>
      <c r="W161" s="177">
        <v>0</v>
      </c>
      <c r="X161" s="180">
        <v>88186.01</v>
      </c>
      <c r="Y161" s="180">
        <f>Z161/J161</f>
        <v>4.0206999999999997</v>
      </c>
      <c r="Z161" s="180">
        <v>321656</v>
      </c>
      <c r="AA161" s="180">
        <v>500</v>
      </c>
      <c r="AB161" s="180">
        <v>0</v>
      </c>
      <c r="AC161" s="180">
        <v>410342.01</v>
      </c>
      <c r="AD161" s="195">
        <v>1959689.18</v>
      </c>
      <c r="AE161" s="177" t="s">
        <v>147</v>
      </c>
      <c r="AF161" s="182">
        <v>44832</v>
      </c>
      <c r="AG161" s="177">
        <v>5.2901554759393505</v>
      </c>
      <c r="AH161" s="177">
        <v>4.4496787752709928</v>
      </c>
      <c r="AI161" s="196">
        <f>AG161/Q161-1</f>
        <v>0.17559010576430012</v>
      </c>
      <c r="AJ161" s="196">
        <f>AH161/Q161-1</f>
        <v>-1.1182494384223807E-2</v>
      </c>
      <c r="AK161" s="177">
        <v>3.7</v>
      </c>
      <c r="AL161" s="177"/>
      <c r="AM161" s="177"/>
      <c r="AN161" s="177" t="s">
        <v>587</v>
      </c>
      <c r="AO161" s="177"/>
      <c r="AP161" s="196">
        <f>AG161/O161-1</f>
        <v>0.42591791804295154</v>
      </c>
      <c r="AQ161" s="196">
        <f>AH161/O161-1</f>
        <v>0.19937433295714091</v>
      </c>
      <c r="AR161" s="177" t="str">
        <f t="shared" si="104"/>
        <v>Renewal</v>
      </c>
      <c r="AS161" s="182" t="str">
        <f t="shared" si="105"/>
        <v>Q3 2022</v>
      </c>
      <c r="AT161" s="182" t="str">
        <f t="shared" si="106"/>
        <v>2H2022</v>
      </c>
      <c r="AU161" s="184" t="str">
        <f t="shared" si="107"/>
        <v>50-100K</v>
      </c>
      <c r="AV161" s="179">
        <f t="shared" si="124"/>
        <v>80000</v>
      </c>
      <c r="AW161" s="233">
        <f t="shared" si="108"/>
        <v>276800</v>
      </c>
      <c r="AX161" s="233">
        <f t="shared" si="109"/>
        <v>296800</v>
      </c>
      <c r="AY161" s="198" t="str">
        <f t="shared" si="125"/>
        <v/>
      </c>
      <c r="AZ161" s="233">
        <f t="shared" si="126"/>
        <v>360000</v>
      </c>
      <c r="BA161" s="233">
        <f t="shared" si="110"/>
        <v>360000</v>
      </c>
      <c r="BB161" s="233">
        <f t="shared" si="111"/>
        <v>360000</v>
      </c>
      <c r="BC161" s="233">
        <f t="shared" si="103"/>
        <v>423212.43807514803</v>
      </c>
      <c r="BD161" s="233">
        <f t="shared" si="122"/>
        <v>355974.30202167941</v>
      </c>
      <c r="BE161" s="233">
        <f t="shared" si="112"/>
        <v>0</v>
      </c>
      <c r="BF161" s="233">
        <f t="shared" si="113"/>
        <v>0</v>
      </c>
      <c r="BG161" s="233">
        <f t="shared" si="114"/>
        <v>0</v>
      </c>
      <c r="BH161" s="186" t="str">
        <f t="shared" si="115"/>
        <v/>
      </c>
      <c r="BI161" s="233">
        <f t="shared" si="116"/>
        <v>0</v>
      </c>
      <c r="BJ161" s="233">
        <f t="shared" si="117"/>
        <v>0</v>
      </c>
      <c r="BK161" s="233">
        <f t="shared" si="118"/>
        <v>1675130.9919440001</v>
      </c>
      <c r="BL161" s="233">
        <f t="shared" si="119"/>
        <v>640000</v>
      </c>
      <c r="BM161" s="233">
        <f t="shared" si="120"/>
        <v>320000</v>
      </c>
      <c r="BN161" s="233">
        <f t="shared" si="121"/>
        <v>240000</v>
      </c>
    </row>
    <row r="162" spans="1:66" s="198" customFormat="1" hidden="1" outlineLevel="1">
      <c r="A162" s="176" t="s">
        <v>588</v>
      </c>
      <c r="B162" s="176" t="s">
        <v>143</v>
      </c>
      <c r="C162" s="176" t="s">
        <v>335</v>
      </c>
      <c r="D162" s="176" t="s">
        <v>335</v>
      </c>
      <c r="E162" s="176"/>
      <c r="F162" s="176" t="s">
        <v>153</v>
      </c>
      <c r="G162" s="176">
        <v>0</v>
      </c>
      <c r="H162" s="176" t="s">
        <v>589</v>
      </c>
      <c r="I162" s="177">
        <v>62</v>
      </c>
      <c r="J162" s="194">
        <v>13950</v>
      </c>
      <c r="K162" s="194"/>
      <c r="L162" s="194"/>
      <c r="M162" s="194"/>
      <c r="N162" s="177"/>
      <c r="O162" s="177">
        <v>12</v>
      </c>
      <c r="P162" s="177">
        <v>12.54</v>
      </c>
      <c r="Q162" s="177">
        <v>12.5</v>
      </c>
      <c r="R162" s="177">
        <v>3.25</v>
      </c>
      <c r="S162" s="177">
        <v>3.25</v>
      </c>
      <c r="T162" s="179">
        <v>20.320092345500001</v>
      </c>
      <c r="U162" s="177">
        <v>15</v>
      </c>
      <c r="V162" s="177">
        <v>6</v>
      </c>
      <c r="W162" s="177">
        <v>6</v>
      </c>
      <c r="X162" s="180">
        <v>75000</v>
      </c>
      <c r="Y162" s="180"/>
      <c r="Z162" s="180">
        <v>85000</v>
      </c>
      <c r="AA162" s="180">
        <v>0</v>
      </c>
      <c r="AB162" s="180">
        <v>29062</v>
      </c>
      <c r="AC162" s="180">
        <v>189062</v>
      </c>
      <c r="AD162" s="195">
        <v>964068</v>
      </c>
      <c r="AE162" s="177" t="s">
        <v>161</v>
      </c>
      <c r="AF162" s="182">
        <v>45043</v>
      </c>
      <c r="AG162" s="177"/>
      <c r="AH162" s="177"/>
      <c r="AI162" s="196"/>
      <c r="AJ162" s="196"/>
      <c r="AK162" s="177">
        <v>5.3</v>
      </c>
      <c r="AL162" s="177"/>
      <c r="AM162" s="177"/>
      <c r="AN162" s="177" t="s">
        <v>590</v>
      </c>
      <c r="AO162" s="177"/>
      <c r="AP162" s="196"/>
      <c r="AQ162" s="196"/>
      <c r="AR162" s="177" t="str">
        <f t="shared" si="104"/>
        <v>New Lease</v>
      </c>
      <c r="AS162" s="182" t="str">
        <f t="shared" si="105"/>
        <v>Q2 2023</v>
      </c>
      <c r="AT162" s="182" t="str">
        <f t="shared" si="106"/>
        <v>1H2023</v>
      </c>
      <c r="AU162" s="184" t="str">
        <f t="shared" si="107"/>
        <v>&lt; 20K</v>
      </c>
      <c r="AV162" s="179"/>
      <c r="AW162" s="233">
        <f t="shared" si="108"/>
        <v>0</v>
      </c>
      <c r="AX162" s="233">
        <f t="shared" si="109"/>
        <v>167400</v>
      </c>
      <c r="AY162" s="198">
        <f t="shared" si="125"/>
        <v>174933</v>
      </c>
      <c r="AZ162" s="233">
        <f t="shared" si="126"/>
        <v>0</v>
      </c>
      <c r="BA162" s="233">
        <f t="shared" si="110"/>
        <v>174375</v>
      </c>
      <c r="BB162" s="233" t="str">
        <f t="shared" si="111"/>
        <v/>
      </c>
      <c r="BC162" s="233">
        <f t="shared" si="103"/>
        <v>0</v>
      </c>
      <c r="BD162" s="233">
        <f t="shared" si="122"/>
        <v>0</v>
      </c>
      <c r="BE162" s="233">
        <f t="shared" si="112"/>
        <v>83700</v>
      </c>
      <c r="BF162" s="233">
        <f t="shared" si="113"/>
        <v>13950</v>
      </c>
      <c r="BG162" s="233">
        <f t="shared" si="114"/>
        <v>83700</v>
      </c>
      <c r="BH162" s="186">
        <f t="shared" si="115"/>
        <v>174375</v>
      </c>
      <c r="BI162" s="233">
        <f t="shared" si="116"/>
        <v>1.9999655913978494</v>
      </c>
      <c r="BJ162" s="233">
        <f t="shared" si="117"/>
        <v>348743.99999999994</v>
      </c>
      <c r="BK162" s="233">
        <f t="shared" si="118"/>
        <v>283465.28821972501</v>
      </c>
      <c r="BL162" s="233">
        <f t="shared" si="119"/>
        <v>209250</v>
      </c>
      <c r="BM162" s="233">
        <f t="shared" si="120"/>
        <v>45337.5</v>
      </c>
      <c r="BN162" s="233">
        <f t="shared" si="121"/>
        <v>45337.5</v>
      </c>
    </row>
    <row r="163" spans="1:66" s="198" customFormat="1" hidden="1" outlineLevel="1">
      <c r="A163" s="176" t="s">
        <v>591</v>
      </c>
      <c r="B163" s="176" t="s">
        <v>592</v>
      </c>
      <c r="C163" s="176"/>
      <c r="D163" s="176"/>
      <c r="E163" s="176"/>
      <c r="F163" s="176" t="s">
        <v>244</v>
      </c>
      <c r="G163" s="176" t="str">
        <f>_xlfn.XLOOKUP(AN163,[2]ySQL_0_24102024094604!$B:$B,[2]ySQL_0_24102024094604!$D:$D,0)</f>
        <v>Yes</v>
      </c>
      <c r="H163" s="176" t="s">
        <v>593</v>
      </c>
      <c r="I163" s="177">
        <v>60</v>
      </c>
      <c r="J163" s="194">
        <v>27290</v>
      </c>
      <c r="K163" s="194"/>
      <c r="L163" s="194"/>
      <c r="M163" s="194"/>
      <c r="N163" s="177">
        <v>5.726</v>
      </c>
      <c r="O163" s="177">
        <v>7</v>
      </c>
      <c r="P163" s="177" t="s">
        <v>167</v>
      </c>
      <c r="Q163" s="177">
        <v>7.25</v>
      </c>
      <c r="R163" s="177">
        <v>4</v>
      </c>
      <c r="S163" s="177">
        <v>3</v>
      </c>
      <c r="T163" s="179">
        <v>9.6334443525999998</v>
      </c>
      <c r="U163" s="177">
        <v>7.5</v>
      </c>
      <c r="V163" s="177">
        <v>0</v>
      </c>
      <c r="W163" s="177">
        <v>0</v>
      </c>
      <c r="X163" s="180">
        <v>48213.243000000002</v>
      </c>
      <c r="Y163" s="180">
        <f>Z163/J163</f>
        <v>2.0153902528398682</v>
      </c>
      <c r="Z163" s="180">
        <v>55000</v>
      </c>
      <c r="AA163" s="180" t="s">
        <v>167</v>
      </c>
      <c r="AB163" s="180">
        <v>0</v>
      </c>
      <c r="AC163" s="180">
        <v>103213.243</v>
      </c>
      <c r="AD163" s="195">
        <v>1071405.3999999999</v>
      </c>
      <c r="AE163" s="177" t="s">
        <v>147</v>
      </c>
      <c r="AF163" s="182">
        <v>44805</v>
      </c>
      <c r="AG163" s="177">
        <v>7.6912732727620234</v>
      </c>
      <c r="AH163" s="177">
        <v>6.7703431841328277</v>
      </c>
      <c r="AI163" s="196">
        <f>AG163/Q163-1</f>
        <v>6.086527900165839E-2</v>
      </c>
      <c r="AJ163" s="196">
        <f>AH163/Q163-1</f>
        <v>-6.6159560809265106E-2</v>
      </c>
      <c r="AK163" s="177">
        <v>6.8</v>
      </c>
      <c r="AL163" s="177"/>
      <c r="AM163" s="177"/>
      <c r="AN163" s="177" t="s">
        <v>594</v>
      </c>
      <c r="AO163" s="177"/>
      <c r="AP163" s="196">
        <f t="shared" ref="AP163:AP168" si="127">AG163/O163-1</f>
        <v>9.8753324680288967E-2</v>
      </c>
      <c r="AQ163" s="196">
        <f t="shared" ref="AQ163:AQ168" si="128">AH163/O163-1</f>
        <v>-3.2808116552453193E-2</v>
      </c>
      <c r="AR163" s="177" t="str">
        <f t="shared" si="104"/>
        <v>Renewal</v>
      </c>
      <c r="AS163" s="182" t="str">
        <f t="shared" si="105"/>
        <v>Q3 2022</v>
      </c>
      <c r="AT163" s="182" t="str">
        <f t="shared" si="106"/>
        <v>2H2022</v>
      </c>
      <c r="AU163" s="184" t="str">
        <f t="shared" si="107"/>
        <v>20-50K</v>
      </c>
      <c r="AV163" s="179">
        <f>IF(N163="","",J163)</f>
        <v>27290</v>
      </c>
      <c r="AW163" s="233">
        <f t="shared" si="108"/>
        <v>156262.54</v>
      </c>
      <c r="AX163" s="233">
        <f t="shared" si="109"/>
        <v>191030</v>
      </c>
      <c r="AY163" s="198" t="str">
        <f t="shared" si="125"/>
        <v/>
      </c>
      <c r="AZ163" s="233">
        <f t="shared" si="126"/>
        <v>197852.5</v>
      </c>
      <c r="BA163" s="233">
        <f t="shared" si="110"/>
        <v>197852.5</v>
      </c>
      <c r="BB163" s="233">
        <f t="shared" si="111"/>
        <v>197852.5</v>
      </c>
      <c r="BC163" s="233">
        <f t="shared" si="103"/>
        <v>209894.84761367561</v>
      </c>
      <c r="BD163" s="233">
        <f t="shared" si="122"/>
        <v>184762.66549498486</v>
      </c>
      <c r="BE163" s="233">
        <f t="shared" si="112"/>
        <v>0</v>
      </c>
      <c r="BF163" s="233">
        <f t="shared" si="113"/>
        <v>0</v>
      </c>
      <c r="BG163" s="233">
        <f t="shared" si="114"/>
        <v>0</v>
      </c>
      <c r="BH163" s="186" t="str">
        <f t="shared" si="115"/>
        <v/>
      </c>
      <c r="BI163" s="233">
        <f t="shared" si="116"/>
        <v>0</v>
      </c>
      <c r="BJ163" s="233">
        <f t="shared" si="117"/>
        <v>0</v>
      </c>
      <c r="BK163" s="233">
        <f t="shared" si="118"/>
        <v>262896.69638245401</v>
      </c>
      <c r="BL163" s="233">
        <f t="shared" si="119"/>
        <v>204675</v>
      </c>
      <c r="BM163" s="233">
        <f t="shared" si="120"/>
        <v>109160</v>
      </c>
      <c r="BN163" s="233">
        <f t="shared" si="121"/>
        <v>81870</v>
      </c>
    </row>
    <row r="164" spans="1:66" s="198" customFormat="1" hidden="1" outlineLevel="1">
      <c r="A164" s="176" t="s">
        <v>595</v>
      </c>
      <c r="B164" s="176" t="s">
        <v>143</v>
      </c>
      <c r="C164" s="176"/>
      <c r="D164" s="176"/>
      <c r="E164" s="176"/>
      <c r="F164" s="176" t="s">
        <v>144</v>
      </c>
      <c r="G164" s="176">
        <f>_xlfn.XLOOKUP(AN164,[2]ySQL_0_24102024094604!$B:$B,[2]ySQL_0_24102024094604!$D:$D,0)</f>
        <v>0</v>
      </c>
      <c r="H164" s="176" t="s">
        <v>596</v>
      </c>
      <c r="I164" s="177">
        <v>62</v>
      </c>
      <c r="J164" s="194">
        <v>15000</v>
      </c>
      <c r="K164" s="194"/>
      <c r="L164" s="194"/>
      <c r="M164" s="194"/>
      <c r="N164" s="177">
        <v>6.37</v>
      </c>
      <c r="O164" s="177">
        <v>8.4</v>
      </c>
      <c r="P164" s="177">
        <v>8.4</v>
      </c>
      <c r="Q164" s="177">
        <v>9</v>
      </c>
      <c r="R164" s="177">
        <v>3.5</v>
      </c>
      <c r="S164" s="177">
        <v>3</v>
      </c>
      <c r="T164" s="179">
        <v>18.077294685999998</v>
      </c>
      <c r="U164" s="177">
        <v>22.6</v>
      </c>
      <c r="V164" s="177">
        <v>6</v>
      </c>
      <c r="W164" s="177">
        <f>9-$W$3</f>
        <v>8.09</v>
      </c>
      <c r="X164" s="180">
        <v>43470</v>
      </c>
      <c r="Y164" s="180">
        <f>Z164/J164</f>
        <v>4.333333333333333</v>
      </c>
      <c r="Z164" s="180">
        <v>65000</v>
      </c>
      <c r="AA164" s="180">
        <v>0</v>
      </c>
      <c r="AB164" s="180">
        <v>22500</v>
      </c>
      <c r="AC164" s="180">
        <v>130970</v>
      </c>
      <c r="AD164" s="195">
        <v>724500</v>
      </c>
      <c r="AE164" s="177" t="s">
        <v>147</v>
      </c>
      <c r="AF164" s="182">
        <v>45001</v>
      </c>
      <c r="AG164" s="177">
        <v>10.194900832501711</v>
      </c>
      <c r="AH164" s="177">
        <v>9.1551966456167229</v>
      </c>
      <c r="AI164" s="196">
        <v>-13.2766759167</v>
      </c>
      <c r="AJ164" s="196">
        <v>-1.7244071734999999</v>
      </c>
      <c r="AK164" s="177"/>
      <c r="AL164" s="177"/>
      <c r="AM164" s="177"/>
      <c r="AN164" s="177" t="s">
        <v>269</v>
      </c>
      <c r="AO164" s="177"/>
      <c r="AP164" s="196">
        <f t="shared" si="127"/>
        <v>0.21367867053591794</v>
      </c>
      <c r="AQ164" s="196">
        <f t="shared" si="128"/>
        <v>8.9904362573419272E-2</v>
      </c>
      <c r="AR164" s="177" t="str">
        <f t="shared" si="104"/>
        <v>New Lease</v>
      </c>
      <c r="AS164" s="182" t="str">
        <f t="shared" si="105"/>
        <v>Q1 2023</v>
      </c>
      <c r="AT164" s="182" t="str">
        <f t="shared" si="106"/>
        <v>1H2023</v>
      </c>
      <c r="AU164" s="184" t="str">
        <f t="shared" si="107"/>
        <v>&lt; 20K</v>
      </c>
      <c r="AV164" s="179">
        <f>IF(N164="","",J164)</f>
        <v>15000</v>
      </c>
      <c r="AW164" s="233">
        <f t="shared" si="108"/>
        <v>95550</v>
      </c>
      <c r="AX164" s="233">
        <f t="shared" si="109"/>
        <v>126000</v>
      </c>
      <c r="AY164" s="198">
        <f t="shared" si="125"/>
        <v>126000</v>
      </c>
      <c r="AZ164" s="233">
        <f t="shared" si="126"/>
        <v>135000</v>
      </c>
      <c r="BA164" s="233">
        <f t="shared" si="110"/>
        <v>135000</v>
      </c>
      <c r="BB164" s="233">
        <f t="shared" si="111"/>
        <v>135000</v>
      </c>
      <c r="BC164" s="233">
        <f t="shared" si="103"/>
        <v>152923.51248752567</v>
      </c>
      <c r="BD164" s="233">
        <f t="shared" si="122"/>
        <v>137327.94968425084</v>
      </c>
      <c r="BE164" s="233">
        <f t="shared" si="112"/>
        <v>90000</v>
      </c>
      <c r="BF164" s="233">
        <f t="shared" si="113"/>
        <v>15000</v>
      </c>
      <c r="BG164" s="233">
        <f t="shared" si="114"/>
        <v>121350</v>
      </c>
      <c r="BH164" s="186">
        <f t="shared" si="115"/>
        <v>135000</v>
      </c>
      <c r="BI164" s="233">
        <f t="shared" si="116"/>
        <v>2</v>
      </c>
      <c r="BJ164" s="233">
        <f t="shared" si="117"/>
        <v>270000</v>
      </c>
      <c r="BK164" s="233">
        <f t="shared" si="118"/>
        <v>271159.42028999998</v>
      </c>
      <c r="BL164" s="233">
        <f t="shared" si="119"/>
        <v>339000</v>
      </c>
      <c r="BM164" s="233">
        <f t="shared" si="120"/>
        <v>52500</v>
      </c>
      <c r="BN164" s="233">
        <f t="shared" si="121"/>
        <v>45000</v>
      </c>
    </row>
    <row r="165" spans="1:66" s="198" customFormat="1" hidden="1" outlineLevel="1">
      <c r="A165" s="176" t="s">
        <v>597</v>
      </c>
      <c r="B165" s="176" t="s">
        <v>143</v>
      </c>
      <c r="C165" s="176"/>
      <c r="D165" s="176"/>
      <c r="E165" s="176"/>
      <c r="F165" s="176" t="s">
        <v>274</v>
      </c>
      <c r="G165" s="176">
        <f>_xlfn.XLOOKUP(AN165,[2]ySQL_0_24102024094604!$B:$B,[2]ySQL_0_24102024094604!$D:$D,0)</f>
        <v>0</v>
      </c>
      <c r="H165" s="176" t="s">
        <v>598</v>
      </c>
      <c r="I165" s="177">
        <v>36</v>
      </c>
      <c r="J165" s="194">
        <v>8730</v>
      </c>
      <c r="K165" s="194"/>
      <c r="L165" s="194"/>
      <c r="M165" s="194"/>
      <c r="N165" s="177">
        <v>6.9</v>
      </c>
      <c r="O165" s="177">
        <v>6.96</v>
      </c>
      <c r="P165" s="177" t="s">
        <v>167</v>
      </c>
      <c r="Q165" s="177">
        <v>7.2</v>
      </c>
      <c r="R165" s="177">
        <v>3</v>
      </c>
      <c r="S165" s="177">
        <v>2.5</v>
      </c>
      <c r="T165" s="179">
        <v>6.0000010291999999</v>
      </c>
      <c r="U165" s="177">
        <v>16.899999999999999</v>
      </c>
      <c r="V165" s="177">
        <v>6</v>
      </c>
      <c r="W165" s="177">
        <f>6-$W$3</f>
        <v>5.09</v>
      </c>
      <c r="X165" s="180">
        <v>11659.79</v>
      </c>
      <c r="Y165" s="180"/>
      <c r="Z165" s="180">
        <v>0</v>
      </c>
      <c r="AA165" s="180">
        <v>0</v>
      </c>
      <c r="AB165" s="180">
        <v>0</v>
      </c>
      <c r="AC165" s="180">
        <v>11659.79</v>
      </c>
      <c r="AD165" s="195">
        <v>194329.8</v>
      </c>
      <c r="AE165" s="177" t="s">
        <v>147</v>
      </c>
      <c r="AF165" s="182">
        <v>44508</v>
      </c>
      <c r="AG165" s="177">
        <v>7.1158591664721733</v>
      </c>
      <c r="AH165" s="177">
        <v>6.6057591560041473</v>
      </c>
      <c r="AI165" s="196">
        <f>AG165/Q165-1</f>
        <v>-1.1686226878864892E-2</v>
      </c>
      <c r="AJ165" s="196">
        <f>AH165/Q165-1</f>
        <v>-8.2533450554979515E-2</v>
      </c>
      <c r="AK165" s="177"/>
      <c r="AL165" s="177"/>
      <c r="AM165" s="177"/>
      <c r="AN165" s="177" t="s">
        <v>430</v>
      </c>
      <c r="AO165" s="177"/>
      <c r="AP165" s="196">
        <f t="shared" si="127"/>
        <v>2.2393558401174296E-2</v>
      </c>
      <c r="AQ165" s="196">
        <f t="shared" si="128"/>
        <v>-5.0896672987909897E-2</v>
      </c>
      <c r="AR165" s="177" t="str">
        <f t="shared" si="104"/>
        <v>New Lease</v>
      </c>
      <c r="AS165" s="182" t="str">
        <f t="shared" si="105"/>
        <v>Q4 2021</v>
      </c>
      <c r="AT165" s="182" t="str">
        <f t="shared" si="106"/>
        <v>2H2021</v>
      </c>
      <c r="AU165" s="184" t="str">
        <f t="shared" si="107"/>
        <v>&lt; 20K</v>
      </c>
      <c r="AV165" s="179">
        <f>IF(N165="","",J165)</f>
        <v>8730</v>
      </c>
      <c r="AW165" s="233">
        <f t="shared" ref="AW165:AW168" si="129">IFERROR(N165*AV165,"")</f>
        <v>60237</v>
      </c>
      <c r="AX165" s="233">
        <f t="shared" si="109"/>
        <v>60760.800000000003</v>
      </c>
      <c r="AY165" s="233"/>
      <c r="AZ165" s="233">
        <f t="shared" si="126"/>
        <v>62856</v>
      </c>
      <c r="BA165" s="233">
        <f t="shared" si="110"/>
        <v>62856</v>
      </c>
      <c r="BB165" s="233">
        <f t="shared" si="111"/>
        <v>62856</v>
      </c>
      <c r="BC165" s="233">
        <f t="shared" si="103"/>
        <v>62121.450523302075</v>
      </c>
      <c r="BD165" s="233">
        <f t="shared" si="122"/>
        <v>57668.277431916205</v>
      </c>
      <c r="BE165" s="233">
        <f t="shared" si="112"/>
        <v>52380</v>
      </c>
      <c r="BF165" s="233">
        <f t="shared" si="113"/>
        <v>8730</v>
      </c>
      <c r="BG165" s="233">
        <f t="shared" si="114"/>
        <v>44435.7</v>
      </c>
      <c r="BH165" s="186" t="str">
        <f t="shared" ref="BH165:BH168" si="130">IF(BI165&gt;0,Q165*J165,"")</f>
        <v/>
      </c>
      <c r="BI165" s="233">
        <f t="shared" si="116"/>
        <v>0</v>
      </c>
      <c r="BJ165" s="233">
        <f t="shared" ref="BJ165:BJ168" si="131">BI165*J165*Q165</f>
        <v>0</v>
      </c>
      <c r="BK165" s="233">
        <f t="shared" si="118"/>
        <v>52380.008984915999</v>
      </c>
      <c r="BL165" s="233">
        <f t="shared" si="119"/>
        <v>147537</v>
      </c>
      <c r="BM165" s="233">
        <f t="shared" si="120"/>
        <v>26190</v>
      </c>
      <c r="BN165" s="233">
        <f t="shared" si="121"/>
        <v>21825</v>
      </c>
    </row>
    <row r="166" spans="1:66" s="198" customFormat="1" hidden="1" outlineLevel="1">
      <c r="A166" s="176" t="s">
        <v>599</v>
      </c>
      <c r="B166" s="176" t="s">
        <v>143</v>
      </c>
      <c r="C166" s="176"/>
      <c r="D166" s="176"/>
      <c r="E166" s="176"/>
      <c r="F166" s="176" t="s">
        <v>600</v>
      </c>
      <c r="G166" s="176">
        <f>_xlfn.XLOOKUP(AN166,[2]ySQL_0_24102024094604!$B:$B,[2]ySQL_0_24102024094604!$D:$D,0)</f>
        <v>0</v>
      </c>
      <c r="H166" s="176" t="s">
        <v>601</v>
      </c>
      <c r="I166" s="177">
        <v>60</v>
      </c>
      <c r="J166" s="194">
        <v>52896</v>
      </c>
      <c r="K166" s="194"/>
      <c r="L166" s="194"/>
      <c r="M166" s="194"/>
      <c r="N166" s="177"/>
      <c r="O166" s="177">
        <v>7.8</v>
      </c>
      <c r="P166" s="177" t="s">
        <v>167</v>
      </c>
      <c r="Q166" s="177">
        <v>8.2799999999999994</v>
      </c>
      <c r="R166" s="177">
        <v>3</v>
      </c>
      <c r="S166" s="177">
        <v>2.5</v>
      </c>
      <c r="T166" s="179">
        <v>11.2768542788</v>
      </c>
      <c r="U166" s="177">
        <v>31.6</v>
      </c>
      <c r="V166" s="177">
        <v>6</v>
      </c>
      <c r="W166" s="177">
        <f>12-$W$3</f>
        <v>11.09</v>
      </c>
      <c r="X166" s="180">
        <v>84990.81</v>
      </c>
      <c r="Y166" s="180">
        <f>Z166/J166</f>
        <v>0.3781004234724743</v>
      </c>
      <c r="Z166" s="180">
        <v>20000</v>
      </c>
      <c r="AA166" s="180">
        <v>0</v>
      </c>
      <c r="AB166" s="180">
        <v>54747.360000000001</v>
      </c>
      <c r="AC166" s="180">
        <v>159738.17000000001</v>
      </c>
      <c r="AD166" s="195">
        <v>1416513.56</v>
      </c>
      <c r="AE166" s="177" t="s">
        <v>147</v>
      </c>
      <c r="AF166" s="182">
        <v>44530</v>
      </c>
      <c r="AG166" s="177">
        <v>6.3362077767197658</v>
      </c>
      <c r="AH166" s="177">
        <v>5.7604604651902189</v>
      </c>
      <c r="AI166" s="196">
        <f>AG166/Q166-1</f>
        <v>-0.23475751488891716</v>
      </c>
      <c r="AJ166" s="196">
        <f>AH166/Q166-1</f>
        <v>-0.30429221434900733</v>
      </c>
      <c r="AK166" s="177"/>
      <c r="AL166" s="177"/>
      <c r="AM166" s="177"/>
      <c r="AN166" s="177" t="s">
        <v>602</v>
      </c>
      <c r="AO166" s="177"/>
      <c r="AP166" s="196">
        <f t="shared" si="127"/>
        <v>-0.18766566965131204</v>
      </c>
      <c r="AQ166" s="196">
        <f t="shared" si="128"/>
        <v>-0.26147942753971554</v>
      </c>
      <c r="AR166" s="177" t="str">
        <f t="shared" si="104"/>
        <v>New Lease</v>
      </c>
      <c r="AS166" s="182" t="str">
        <f t="shared" si="105"/>
        <v>Q4 2021</v>
      </c>
      <c r="AT166" s="182" t="str">
        <f t="shared" si="106"/>
        <v>2H2021</v>
      </c>
      <c r="AU166" s="184" t="str">
        <f t="shared" si="107"/>
        <v>50-100K</v>
      </c>
      <c r="AV166" s="179">
        <v>0</v>
      </c>
      <c r="AW166" s="233">
        <f t="shared" si="129"/>
        <v>0</v>
      </c>
      <c r="AX166" s="233">
        <f t="shared" si="109"/>
        <v>412588.79999999999</v>
      </c>
      <c r="AY166" s="233"/>
      <c r="AZ166" s="233">
        <f t="shared" si="126"/>
        <v>0</v>
      </c>
      <c r="BA166" s="233">
        <f t="shared" si="110"/>
        <v>437978.87999999995</v>
      </c>
      <c r="BB166" s="233" t="str">
        <f t="shared" si="111"/>
        <v/>
      </c>
      <c r="BC166" s="233">
        <f t="shared" si="103"/>
        <v>335160.04655736871</v>
      </c>
      <c r="BD166" s="233">
        <f t="shared" si="122"/>
        <v>304705.31676670181</v>
      </c>
      <c r="BE166" s="233">
        <f t="shared" si="112"/>
        <v>317376</v>
      </c>
      <c r="BF166" s="233">
        <f t="shared" si="113"/>
        <v>52896</v>
      </c>
      <c r="BG166" s="233">
        <f t="shared" si="114"/>
        <v>586616.64</v>
      </c>
      <c r="BH166" s="186">
        <f t="shared" si="130"/>
        <v>437978.87999999995</v>
      </c>
      <c r="BI166" s="233">
        <f t="shared" si="116"/>
        <v>1.5</v>
      </c>
      <c r="BJ166" s="233">
        <f t="shared" si="131"/>
        <v>656968.31999999995</v>
      </c>
      <c r="BK166" s="233">
        <f t="shared" si="118"/>
        <v>596500.48393140477</v>
      </c>
      <c r="BL166" s="233">
        <f t="shared" si="119"/>
        <v>1671513.6</v>
      </c>
      <c r="BM166" s="233">
        <f t="shared" si="120"/>
        <v>158688</v>
      </c>
      <c r="BN166" s="233">
        <f t="shared" si="121"/>
        <v>132240</v>
      </c>
    </row>
    <row r="167" spans="1:66" s="198" customFormat="1" hidden="1" outlineLevel="1">
      <c r="A167" s="176" t="s">
        <v>603</v>
      </c>
      <c r="B167" s="176" t="s">
        <v>592</v>
      </c>
      <c r="C167" s="176"/>
      <c r="D167" s="176"/>
      <c r="E167" s="176"/>
      <c r="F167" s="176" t="s">
        <v>244</v>
      </c>
      <c r="G167" s="176">
        <f>_xlfn.XLOOKUP(AN167,[2]ySQL_0_24102024094604!$B:$B,[2]ySQL_0_24102024094604!$D:$D,0)</f>
        <v>0</v>
      </c>
      <c r="H167" s="176" t="s">
        <v>604</v>
      </c>
      <c r="I167" s="177">
        <v>60</v>
      </c>
      <c r="J167" s="194">
        <v>26126</v>
      </c>
      <c r="K167" s="194"/>
      <c r="L167" s="194"/>
      <c r="M167" s="194"/>
      <c r="N167" s="177">
        <v>2.77</v>
      </c>
      <c r="O167" s="177">
        <v>5.8</v>
      </c>
      <c r="P167" s="177">
        <v>7.25</v>
      </c>
      <c r="Q167" s="177">
        <v>7.25</v>
      </c>
      <c r="R167" s="179">
        <v>4</v>
      </c>
      <c r="S167" s="179">
        <v>3</v>
      </c>
      <c r="T167" s="179">
        <v>9.8223670828999996</v>
      </c>
      <c r="U167" s="197">
        <v>7.73</v>
      </c>
      <c r="V167" s="177">
        <v>0</v>
      </c>
      <c r="W167" s="177">
        <v>0</v>
      </c>
      <c r="X167" s="180">
        <v>69356</v>
      </c>
      <c r="Y167" s="180"/>
      <c r="Z167" s="180">
        <v>0</v>
      </c>
      <c r="AA167" s="180">
        <v>0</v>
      </c>
      <c r="AB167" s="180">
        <v>31568.92</v>
      </c>
      <c r="AC167" s="180">
        <v>100924.92</v>
      </c>
      <c r="AD167" s="195">
        <v>1027501</v>
      </c>
      <c r="AE167" s="177" t="s">
        <v>147</v>
      </c>
      <c r="AF167" s="182">
        <v>44896</v>
      </c>
      <c r="AG167" s="197">
        <v>6.7225844539917112</v>
      </c>
      <c r="AH167" s="197">
        <v>5.7708991969277479</v>
      </c>
      <c r="AI167" s="196">
        <f>AG167/Q167-1</f>
        <v>-7.2746971863212218E-2</v>
      </c>
      <c r="AJ167" s="196">
        <f>AH167/Q167-1</f>
        <v>-0.20401390387203477</v>
      </c>
      <c r="AK167" s="177">
        <v>6</v>
      </c>
      <c r="AL167" s="177"/>
      <c r="AM167" s="177"/>
      <c r="AN167" s="177" t="s">
        <v>605</v>
      </c>
      <c r="AO167" s="177"/>
      <c r="AP167" s="196">
        <f t="shared" si="127"/>
        <v>0.15906628517098476</v>
      </c>
      <c r="AQ167" s="196">
        <f t="shared" si="128"/>
        <v>-5.0173798400434677E-3</v>
      </c>
      <c r="AR167" s="177" t="str">
        <f t="shared" si="104"/>
        <v>Renewal</v>
      </c>
      <c r="AS167" s="182" t="str">
        <f t="shared" si="105"/>
        <v>Q4 2022</v>
      </c>
      <c r="AT167" s="182" t="str">
        <f t="shared" si="106"/>
        <v>2H2022</v>
      </c>
      <c r="AU167" s="184" t="str">
        <f t="shared" si="107"/>
        <v>20-50K</v>
      </c>
      <c r="AV167" s="179">
        <f>IF(N167="","",J167)</f>
        <v>26126</v>
      </c>
      <c r="AW167" s="233">
        <f t="shared" si="129"/>
        <v>72369.02</v>
      </c>
      <c r="AX167" s="233">
        <f t="shared" si="109"/>
        <v>151530.79999999999</v>
      </c>
      <c r="AY167" s="233">
        <f>J167*P167</f>
        <v>189413.5</v>
      </c>
      <c r="AZ167" s="233">
        <f t="shared" si="126"/>
        <v>189413.5</v>
      </c>
      <c r="BA167" s="233">
        <f t="shared" si="110"/>
        <v>189413.5</v>
      </c>
      <c r="BB167" s="233">
        <f t="shared" si="111"/>
        <v>189413.5</v>
      </c>
      <c r="BC167" s="233">
        <f t="shared" si="103"/>
        <v>175634.24144498745</v>
      </c>
      <c r="BD167" s="233">
        <f t="shared" si="122"/>
        <v>150770.51241893435</v>
      </c>
      <c r="BE167" s="233">
        <f t="shared" si="112"/>
        <v>0</v>
      </c>
      <c r="BF167" s="233">
        <f t="shared" si="113"/>
        <v>0</v>
      </c>
      <c r="BG167" s="233">
        <f t="shared" si="114"/>
        <v>0</v>
      </c>
      <c r="BH167" s="186">
        <f t="shared" si="130"/>
        <v>189413.5</v>
      </c>
      <c r="BI167" s="233">
        <f t="shared" si="116"/>
        <v>2.0000002111781892</v>
      </c>
      <c r="BJ167" s="233">
        <f t="shared" si="131"/>
        <v>378827.03999999992</v>
      </c>
      <c r="BK167" s="233">
        <f t="shared" si="118"/>
        <v>256619.16240784538</v>
      </c>
      <c r="BL167" s="233">
        <f t="shared" si="119"/>
        <v>201953.98</v>
      </c>
      <c r="BM167" s="233">
        <f t="shared" si="120"/>
        <v>104504</v>
      </c>
      <c r="BN167" s="233">
        <f t="shared" si="121"/>
        <v>78378</v>
      </c>
    </row>
    <row r="168" spans="1:66" s="198" customFormat="1" hidden="1" outlineLevel="1">
      <c r="A168" s="176" t="s">
        <v>606</v>
      </c>
      <c r="B168" s="176" t="s">
        <v>592</v>
      </c>
      <c r="C168" s="176"/>
      <c r="D168" s="176"/>
      <c r="E168" s="176"/>
      <c r="F168" s="176" t="s">
        <v>244</v>
      </c>
      <c r="G168" s="176">
        <f>_xlfn.XLOOKUP(AN168,[2]ySQL_0_24102024094604!$B:$B,[2]ySQL_0_24102024094604!$D:$D,0)</f>
        <v>0</v>
      </c>
      <c r="H168" s="176" t="s">
        <v>607</v>
      </c>
      <c r="I168" s="177">
        <v>60</v>
      </c>
      <c r="J168" s="194">
        <v>10495</v>
      </c>
      <c r="K168" s="194"/>
      <c r="L168" s="194"/>
      <c r="M168" s="194"/>
      <c r="N168" s="177">
        <v>4.45</v>
      </c>
      <c r="O168" s="177">
        <v>6.3</v>
      </c>
      <c r="P168" s="177">
        <v>7.5</v>
      </c>
      <c r="Q168" s="177">
        <v>7.5</v>
      </c>
      <c r="R168" s="179">
        <v>4</v>
      </c>
      <c r="S168" s="179">
        <v>3</v>
      </c>
      <c r="T168" s="179">
        <v>9.2077744756000008</v>
      </c>
      <c r="U168" s="197">
        <v>9.7100000000000009</v>
      </c>
      <c r="V168" s="177">
        <v>0</v>
      </c>
      <c r="W168" s="177">
        <v>0</v>
      </c>
      <c r="X168" s="180">
        <v>28821</v>
      </c>
      <c r="Y168" s="180">
        <f>Z168/J168</f>
        <v>1</v>
      </c>
      <c r="Z168" s="180">
        <v>10495</v>
      </c>
      <c r="AA168" s="180">
        <v>0</v>
      </c>
      <c r="AB168" s="180">
        <v>0</v>
      </c>
      <c r="AC168" s="180">
        <v>39316</v>
      </c>
      <c r="AD168" s="195">
        <v>426987</v>
      </c>
      <c r="AE168" s="177" t="s">
        <v>147</v>
      </c>
      <c r="AF168" s="182">
        <v>44893</v>
      </c>
      <c r="AG168" s="197">
        <v>7.7706452350583151</v>
      </c>
      <c r="AH168" s="197">
        <v>6.8973319217632758</v>
      </c>
      <c r="AI168" s="196">
        <f>AG168/Q168-1</f>
        <v>3.608603134110866E-2</v>
      </c>
      <c r="AJ168" s="196">
        <f>AH168/Q168-1</f>
        <v>-8.0355743764896514E-2</v>
      </c>
      <c r="AK168" s="177">
        <v>6</v>
      </c>
      <c r="AL168" s="177"/>
      <c r="AM168" s="177"/>
      <c r="AN168" s="177" t="s">
        <v>389</v>
      </c>
      <c r="AO168" s="177"/>
      <c r="AP168" s="196">
        <f t="shared" si="127"/>
        <v>0.23343575159655794</v>
      </c>
      <c r="AQ168" s="196">
        <f t="shared" si="128"/>
        <v>9.4814590756075567E-2</v>
      </c>
      <c r="AR168" s="177" t="str">
        <f t="shared" si="104"/>
        <v>Renewal</v>
      </c>
      <c r="AS168" s="182" t="str">
        <f t="shared" si="105"/>
        <v>Q4 2022</v>
      </c>
      <c r="AT168" s="182" t="str">
        <f t="shared" si="106"/>
        <v>2H2022</v>
      </c>
      <c r="AU168" s="184" t="str">
        <f t="shared" si="107"/>
        <v>&lt; 20K</v>
      </c>
      <c r="AV168" s="179">
        <f>IF(N168="","",J168)</f>
        <v>10495</v>
      </c>
      <c r="AW168" s="233">
        <f t="shared" si="129"/>
        <v>46702.75</v>
      </c>
      <c r="AX168" s="233">
        <f t="shared" si="109"/>
        <v>66118.5</v>
      </c>
      <c r="AY168" s="233">
        <f>J168*P168</f>
        <v>78712.5</v>
      </c>
      <c r="AZ168" s="233">
        <f t="shared" si="126"/>
        <v>78712.5</v>
      </c>
      <c r="BA168" s="233">
        <f t="shared" si="110"/>
        <v>78712.5</v>
      </c>
      <c r="BB168" s="233">
        <f t="shared" si="111"/>
        <v>78712.5</v>
      </c>
      <c r="BC168" s="233">
        <f t="shared" si="103"/>
        <v>81552.921741937011</v>
      </c>
      <c r="BD168" s="233">
        <f t="shared" si="122"/>
        <v>72387.498518905573</v>
      </c>
      <c r="BE168" s="233">
        <f t="shared" si="112"/>
        <v>0</v>
      </c>
      <c r="BF168" s="233">
        <f t="shared" si="113"/>
        <v>0</v>
      </c>
      <c r="BG168" s="233">
        <f t="shared" si="114"/>
        <v>0</v>
      </c>
      <c r="BH168" s="186" t="str">
        <f t="shared" si="130"/>
        <v/>
      </c>
      <c r="BI168" s="233">
        <f t="shared" si="116"/>
        <v>0</v>
      </c>
      <c r="BJ168" s="233">
        <f t="shared" si="131"/>
        <v>0</v>
      </c>
      <c r="BK168" s="233">
        <f t="shared" si="118"/>
        <v>96635.593121422004</v>
      </c>
      <c r="BL168" s="233">
        <f t="shared" si="119"/>
        <v>101906.45000000001</v>
      </c>
      <c r="BM168" s="233">
        <f t="shared" si="120"/>
        <v>41980</v>
      </c>
      <c r="BN168" s="233">
        <f t="shared" si="121"/>
        <v>31485</v>
      </c>
    </row>
    <row r="169" spans="1:66" s="198" customFormat="1" hidden="1" outlineLevel="1">
      <c r="A169" s="176" t="s">
        <v>608</v>
      </c>
      <c r="B169" s="176" t="s">
        <v>143</v>
      </c>
      <c r="C169" s="176"/>
      <c r="D169" s="176"/>
      <c r="E169" s="176"/>
      <c r="F169" s="176" t="s">
        <v>244</v>
      </c>
      <c r="G169" s="438">
        <v>0</v>
      </c>
      <c r="H169" s="176" t="s">
        <v>609</v>
      </c>
      <c r="I169" s="177">
        <v>37</v>
      </c>
      <c r="J169" s="178">
        <v>6924</v>
      </c>
      <c r="K169" s="178">
        <f>_xlfn.XLOOKUP(AN169,'[1]Performance Table'!$B:$B,'[1]Performance Table'!$BE:$BE,0)</f>
        <v>3199989</v>
      </c>
      <c r="L169" s="437">
        <v>28177</v>
      </c>
      <c r="M169" s="190">
        <f>Q169/(K169/L169)</f>
        <v>0.10126144183620631</v>
      </c>
      <c r="N169" s="177">
        <v>8.1199999999999992</v>
      </c>
      <c r="O169" s="442">
        <v>8.1199999999999992</v>
      </c>
      <c r="P169" s="442">
        <v>8.25</v>
      </c>
      <c r="Q169" s="442">
        <v>11.5</v>
      </c>
      <c r="R169" s="177">
        <v>4.5</v>
      </c>
      <c r="S169" s="177">
        <v>3</v>
      </c>
      <c r="T169" s="179"/>
      <c r="U169" s="177"/>
      <c r="V169" s="177">
        <v>7</v>
      </c>
      <c r="W169" s="177">
        <v>6</v>
      </c>
      <c r="X169" s="180">
        <f>5641.32+11282.65</f>
        <v>16923.97</v>
      </c>
      <c r="Y169" s="180"/>
      <c r="Z169" s="180"/>
      <c r="AA169" s="180"/>
      <c r="AB169" s="439">
        <v>6635.27</v>
      </c>
      <c r="AC169" s="180"/>
      <c r="AD169" s="443">
        <v>250725.54</v>
      </c>
      <c r="AE169" s="177" t="s">
        <v>161</v>
      </c>
      <c r="AF169" s="182">
        <v>45615</v>
      </c>
      <c r="AG169" s="177"/>
      <c r="AH169" s="177"/>
      <c r="AI169" s="183"/>
      <c r="AJ169" s="183"/>
      <c r="AK169" s="249">
        <v>3.5</v>
      </c>
      <c r="AL169" s="249" t="s">
        <v>149</v>
      </c>
      <c r="AM169" s="444">
        <v>11.02</v>
      </c>
      <c r="AN169" s="177" t="s">
        <v>610</v>
      </c>
      <c r="AO169" s="177"/>
      <c r="AP169" s="183"/>
      <c r="AQ169" s="183"/>
      <c r="AR169" s="177" t="s">
        <v>143</v>
      </c>
      <c r="AS169" s="182" t="s">
        <v>26</v>
      </c>
      <c r="AT169" s="182" t="s">
        <v>16</v>
      </c>
      <c r="AU169" s="184" t="s">
        <v>611</v>
      </c>
      <c r="AV169" s="179">
        <v>8613</v>
      </c>
      <c r="AW169" s="233">
        <v>55984.5</v>
      </c>
      <c r="AX169" s="233">
        <v>59774.22</v>
      </c>
      <c r="AY169" s="198">
        <v>68904</v>
      </c>
      <c r="AZ169" s="233">
        <v>68904</v>
      </c>
      <c r="BA169" s="233">
        <v>68904</v>
      </c>
      <c r="BB169" s="233">
        <v>68904</v>
      </c>
      <c r="BC169" s="233">
        <v>0</v>
      </c>
      <c r="BD169" s="233">
        <v>0</v>
      </c>
      <c r="BE169" s="233">
        <v>77517</v>
      </c>
      <c r="BF169" s="233">
        <v>8613</v>
      </c>
      <c r="BG169" s="233">
        <v>77517</v>
      </c>
      <c r="BH169" s="186" t="s">
        <v>167</v>
      </c>
      <c r="BI169" s="233">
        <v>0</v>
      </c>
      <c r="BJ169" s="233">
        <v>0</v>
      </c>
      <c r="BK169" s="233">
        <v>0</v>
      </c>
      <c r="BL169" s="233">
        <v>30145.5</v>
      </c>
      <c r="BM169" s="233">
        <v>21532.5</v>
      </c>
      <c r="BN169" s="233"/>
    </row>
    <row r="170" spans="1:66" s="198" customFormat="1" hidden="1" outlineLevel="1">
      <c r="A170" s="176" t="s">
        <v>612</v>
      </c>
      <c r="B170" s="176" t="s">
        <v>157</v>
      </c>
      <c r="C170" s="176"/>
      <c r="D170" s="176"/>
      <c r="E170" s="176"/>
      <c r="F170" s="176" t="s">
        <v>274</v>
      </c>
      <c r="G170" s="176">
        <f>_xlfn.XLOOKUP(AN170,[2]ySQL_0_24102024094604!$B:$B,[2]ySQL_0_24102024094604!$D:$D,0)</f>
        <v>0</v>
      </c>
      <c r="H170" s="176" t="s">
        <v>613</v>
      </c>
      <c r="I170" s="177">
        <v>48</v>
      </c>
      <c r="J170" s="194">
        <v>40394</v>
      </c>
      <c r="K170" s="194"/>
      <c r="L170" s="194"/>
      <c r="M170" s="194"/>
      <c r="N170" s="177">
        <v>4.88</v>
      </c>
      <c r="O170" s="177">
        <v>5.9</v>
      </c>
      <c r="P170" s="177">
        <v>7</v>
      </c>
      <c r="Q170" s="177">
        <v>7</v>
      </c>
      <c r="R170" s="179">
        <v>4</v>
      </c>
      <c r="S170" s="179">
        <v>3</v>
      </c>
      <c r="T170" s="179">
        <v>0</v>
      </c>
      <c r="U170" s="197">
        <v>6</v>
      </c>
      <c r="V170" s="177">
        <v>0</v>
      </c>
      <c r="W170" s="177">
        <v>0</v>
      </c>
      <c r="X170" s="180">
        <v>0</v>
      </c>
      <c r="Y170" s="180"/>
      <c r="Z170" s="180">
        <v>0</v>
      </c>
      <c r="AA170" s="180">
        <v>0</v>
      </c>
      <c r="AB170" s="180">
        <v>0</v>
      </c>
      <c r="AC170" s="180">
        <v>0</v>
      </c>
      <c r="AD170" s="195">
        <v>1200721.67</v>
      </c>
      <c r="AE170" s="177" t="s">
        <v>147</v>
      </c>
      <c r="AF170" s="182">
        <v>44838</v>
      </c>
      <c r="AG170" s="197">
        <v>6.8102341228995336</v>
      </c>
      <c r="AH170" s="197">
        <v>5.8559171069241831</v>
      </c>
      <c r="AI170" s="196">
        <f>AG170/Q170-1</f>
        <v>-2.710941101435238E-2</v>
      </c>
      <c r="AJ170" s="196">
        <f>AH170/Q170-1</f>
        <v>-0.16344041329654524</v>
      </c>
      <c r="AK170" s="177">
        <v>8.6999999999999993</v>
      </c>
      <c r="AL170" s="177"/>
      <c r="AM170" s="177"/>
      <c r="AN170" s="177" t="s">
        <v>614</v>
      </c>
      <c r="AO170" s="177"/>
      <c r="AP170" s="196">
        <f>AG170/O170-1</f>
        <v>0.1542769699829718</v>
      </c>
      <c r="AQ170" s="196">
        <f>AH170/O170-1</f>
        <v>-7.4716767925113725E-3</v>
      </c>
      <c r="AR170" s="177" t="str">
        <f t="shared" ref="AR170:AR201" si="132">IF(B170="Expansion","New Lease",IF(B170="Early Renewal","Renewal",IF(B170="Renewal per Option","Renewal",IF(B170="Renewal","Renewal",B170))))</f>
        <v>Renewal</v>
      </c>
      <c r="AS170" s="182" t="str">
        <f t="shared" ref="AS170:AS201" si="133">"Q"&amp;ROUNDUP(MONTH(AF170)/3,0)&amp;" "&amp;YEAR(AF170)</f>
        <v>Q4 2022</v>
      </c>
      <c r="AT170" s="182" t="str">
        <f t="shared" ref="AT170:AT201" si="134">(MONTH(AF170)&gt;6)+1&amp;"H"&amp;YEAR(AF170)</f>
        <v>2H2022</v>
      </c>
      <c r="AU170" s="184" t="str">
        <f t="shared" ref="AU170:AU201" si="135">IF(J170&lt;$A$223,$A$228,IF(J170&lt;$A$224,$A$229,IF(J170&lt;$A$225,$A$230,IF(J170&gt;$A$225,$A$231))))</f>
        <v>20-50K</v>
      </c>
      <c r="AV170" s="179">
        <f t="shared" ref="AV170:AV190" si="136">IF(N170="","",J170)</f>
        <v>40394</v>
      </c>
      <c r="AW170" s="233">
        <f t="shared" ref="AW170:AW201" si="137">IFERROR(N170*AV170,"")</f>
        <v>197122.72</v>
      </c>
      <c r="AX170" s="233">
        <f t="shared" ref="AX170:AX201" si="138">J170*O170</f>
        <v>238324.6</v>
      </c>
      <c r="AY170" s="233">
        <f>J170*P170</f>
        <v>282758</v>
      </c>
      <c r="AZ170" s="233">
        <f>Q170*AV170</f>
        <v>282758</v>
      </c>
      <c r="BA170" s="233">
        <f t="shared" ref="BA170:BA201" si="139">J170*Q170</f>
        <v>282758</v>
      </c>
      <c r="BB170" s="233">
        <f t="shared" ref="BB170:BB201" si="140">IF(N170&gt;0,Q170*J170,"")</f>
        <v>282758</v>
      </c>
      <c r="BC170" s="233">
        <f t="shared" ref="BC170:BC191" si="141">AG170*J170</f>
        <v>275092.59716040373</v>
      </c>
      <c r="BD170" s="233">
        <f t="shared" ref="BD170:BD215" si="142">AH170*J170</f>
        <v>236543.91561709545</v>
      </c>
      <c r="BE170" s="233">
        <f t="shared" ref="BE170:BE201" si="143">V170*J170</f>
        <v>0</v>
      </c>
      <c r="BF170" s="233">
        <f t="shared" ref="BF170:BF201" si="144">IF(AR170="New Lease",J170,0)</f>
        <v>0</v>
      </c>
      <c r="BG170" s="233">
        <f t="shared" ref="BG170:BG201" si="145">W170*J170</f>
        <v>0</v>
      </c>
      <c r="BH170" s="186" t="str">
        <f t="shared" ref="BH170:BH201" si="146">IF(BI170&gt;0,Q170*J170,"")</f>
        <v/>
      </c>
      <c r="BI170" s="233">
        <f t="shared" ref="BI170:BI201" si="147">AB170/((J170*Q170)/12)</f>
        <v>0</v>
      </c>
      <c r="BJ170" s="233">
        <f t="shared" ref="BJ170:BJ201" si="148">BI170*J170*Q170</f>
        <v>0</v>
      </c>
      <c r="BK170" s="233">
        <f t="shared" ref="BK170:BK201" si="149">J170*T170</f>
        <v>0</v>
      </c>
      <c r="BL170" s="233">
        <f t="shared" ref="BL170:BL201" si="150">J170*U170</f>
        <v>242364</v>
      </c>
      <c r="BM170" s="233">
        <f t="shared" ref="BM170:BM201" si="151">J170*R170</f>
        <v>161576</v>
      </c>
      <c r="BN170" s="233">
        <f t="shared" ref="BN170:BN201" si="152">J170*S170</f>
        <v>121182</v>
      </c>
    </row>
    <row r="171" spans="1:66" s="198" customFormat="1" hidden="1" outlineLevel="1">
      <c r="A171" s="176" t="s">
        <v>615</v>
      </c>
      <c r="B171" s="176" t="s">
        <v>143</v>
      </c>
      <c r="C171" s="176"/>
      <c r="D171" s="176"/>
      <c r="E171" s="176"/>
      <c r="F171" s="176" t="s">
        <v>144</v>
      </c>
      <c r="G171" s="176" t="str">
        <f>_xlfn.XLOOKUP(AN171,[2]ySQL_0_24102024094604!$B:$B,[2]ySQL_0_24102024094604!$D:$D,0)</f>
        <v>Yes</v>
      </c>
      <c r="H171" s="176" t="s">
        <v>616</v>
      </c>
      <c r="I171" s="177">
        <v>62</v>
      </c>
      <c r="J171" s="178">
        <v>22406</v>
      </c>
      <c r="K171" s="178">
        <f>_xlfn.XLOOKUP(AN171,'[3]Main Data Table'!$B:$B,'[3]Main Data Table'!$AB:$AB,0)</f>
        <v>3101119.3600000003</v>
      </c>
      <c r="L171" s="178">
        <v>40996</v>
      </c>
      <c r="M171" s="190">
        <f>Q171/(K171/L171)</f>
        <v>9.5843134525463738E-2</v>
      </c>
      <c r="N171" s="318">
        <v>5.72</v>
      </c>
      <c r="O171" s="177">
        <v>6.45</v>
      </c>
      <c r="P171" s="177">
        <v>7.14</v>
      </c>
      <c r="Q171" s="177">
        <v>7.25</v>
      </c>
      <c r="R171" s="177">
        <v>4</v>
      </c>
      <c r="S171" s="177">
        <v>3</v>
      </c>
      <c r="T171" s="179">
        <f>AC171/AD171*100</f>
        <v>9.4545899958156063</v>
      </c>
      <c r="U171" s="185"/>
      <c r="V171" s="177">
        <v>8</v>
      </c>
      <c r="W171" s="177">
        <v>9</v>
      </c>
      <c r="X171" s="188">
        <v>63897.429999999993</v>
      </c>
      <c r="Y171" s="188"/>
      <c r="Z171" s="188">
        <v>22406</v>
      </c>
      <c r="AA171" s="188">
        <v>0</v>
      </c>
      <c r="AB171" s="188">
        <v>0</v>
      </c>
      <c r="AC171" s="188">
        <f>X171+Z171+AA171+AB171</f>
        <v>86303.43</v>
      </c>
      <c r="AD171" s="189">
        <v>912820.44</v>
      </c>
      <c r="AE171" s="177" t="s">
        <v>161</v>
      </c>
      <c r="AF171" s="182">
        <v>45422</v>
      </c>
      <c r="AG171" s="177"/>
      <c r="AH171" s="177"/>
      <c r="AI171" s="183"/>
      <c r="AJ171" s="183"/>
      <c r="AK171" s="177"/>
      <c r="AL171" s="177"/>
      <c r="AM171" s="177"/>
      <c r="AN171" s="177" t="s">
        <v>617</v>
      </c>
      <c r="AO171" s="177"/>
      <c r="AP171" s="183"/>
      <c r="AQ171" s="183"/>
      <c r="AR171" s="177" t="str">
        <f t="shared" si="132"/>
        <v>New Lease</v>
      </c>
      <c r="AS171" s="182" t="str">
        <f t="shared" si="133"/>
        <v>Q2 2024</v>
      </c>
      <c r="AT171" s="182" t="str">
        <f t="shared" si="134"/>
        <v>1H2024</v>
      </c>
      <c r="AU171" s="184" t="str">
        <f t="shared" si="135"/>
        <v>20-50K</v>
      </c>
      <c r="AV171" s="179">
        <f t="shared" si="136"/>
        <v>22406</v>
      </c>
      <c r="AW171" s="233">
        <f t="shared" si="137"/>
        <v>128162.31999999999</v>
      </c>
      <c r="AX171" s="233">
        <f t="shared" si="138"/>
        <v>144518.70000000001</v>
      </c>
      <c r="AY171" s="198">
        <f t="shared" ref="AY171:AY186" si="153">IF(P171="","",J171*P171)</f>
        <v>159978.84</v>
      </c>
      <c r="AZ171" s="233">
        <f>IFERROR(Q171*AV171,"")</f>
        <v>162443.5</v>
      </c>
      <c r="BA171" s="233">
        <f t="shared" si="139"/>
        <v>162443.5</v>
      </c>
      <c r="BB171" s="233">
        <f t="shared" si="140"/>
        <v>162443.5</v>
      </c>
      <c r="BC171" s="233">
        <f t="shared" si="141"/>
        <v>0</v>
      </c>
      <c r="BD171" s="233">
        <f t="shared" si="142"/>
        <v>0</v>
      </c>
      <c r="BE171" s="233">
        <f t="shared" si="143"/>
        <v>179248</v>
      </c>
      <c r="BF171" s="233">
        <f t="shared" si="144"/>
        <v>22406</v>
      </c>
      <c r="BG171" s="233">
        <f t="shared" si="145"/>
        <v>201654</v>
      </c>
      <c r="BH171" s="186" t="str">
        <f t="shared" si="146"/>
        <v/>
      </c>
      <c r="BI171" s="233">
        <f t="shared" si="147"/>
        <v>0</v>
      </c>
      <c r="BJ171" s="233">
        <f t="shared" si="148"/>
        <v>0</v>
      </c>
      <c r="BK171" s="233">
        <f t="shared" si="149"/>
        <v>211839.54344624447</v>
      </c>
      <c r="BL171" s="233">
        <f t="shared" si="150"/>
        <v>0</v>
      </c>
      <c r="BM171" s="233">
        <f t="shared" si="151"/>
        <v>89624</v>
      </c>
      <c r="BN171" s="233">
        <f t="shared" si="152"/>
        <v>67218</v>
      </c>
    </row>
    <row r="172" spans="1:66" s="198" customFormat="1" hidden="1" outlineLevel="1">
      <c r="A172" s="176" t="s">
        <v>618</v>
      </c>
      <c r="B172" s="176" t="s">
        <v>143</v>
      </c>
      <c r="C172" s="176"/>
      <c r="D172" s="176"/>
      <c r="E172" s="176"/>
      <c r="F172" s="176" t="s">
        <v>181</v>
      </c>
      <c r="G172" s="176">
        <f>_xlfn.XLOOKUP(AN172,[2]ySQL_0_24102024094604!$B:$B,[2]ySQL_0_24102024094604!$D:$D,0)</f>
        <v>0</v>
      </c>
      <c r="H172" s="176" t="s">
        <v>619</v>
      </c>
      <c r="I172" s="177">
        <v>84</v>
      </c>
      <c r="J172" s="194">
        <v>45375</v>
      </c>
      <c r="K172" s="194"/>
      <c r="L172" s="194"/>
      <c r="M172" s="194"/>
      <c r="N172" s="177">
        <v>5.83</v>
      </c>
      <c r="O172" s="177">
        <v>6.82</v>
      </c>
      <c r="P172" s="177" t="s">
        <v>167</v>
      </c>
      <c r="Q172" s="177">
        <v>8</v>
      </c>
      <c r="R172" s="177">
        <v>4</v>
      </c>
      <c r="S172" s="177">
        <v>3</v>
      </c>
      <c r="T172" s="179">
        <v>11.0478605609</v>
      </c>
      <c r="U172" s="177">
        <v>22.05</v>
      </c>
      <c r="V172" s="177">
        <v>8</v>
      </c>
      <c r="W172" s="177">
        <f>6-$W$3</f>
        <v>5.09</v>
      </c>
      <c r="X172" s="180">
        <v>180626.1</v>
      </c>
      <c r="Y172" s="180">
        <f>Z172/J172</f>
        <v>3</v>
      </c>
      <c r="Z172" s="180">
        <v>136125</v>
      </c>
      <c r="AA172" s="180">
        <v>0</v>
      </c>
      <c r="AB172" s="180">
        <v>0</v>
      </c>
      <c r="AC172" s="180">
        <v>316751.09999999998</v>
      </c>
      <c r="AD172" s="195">
        <v>2867080.9</v>
      </c>
      <c r="AE172" s="177" t="s">
        <v>147</v>
      </c>
      <c r="AF172" s="182">
        <v>44748</v>
      </c>
      <c r="AG172" s="177">
        <v>10.736370972197372</v>
      </c>
      <c r="AH172" s="177">
        <v>9.4584890892997819</v>
      </c>
      <c r="AI172" s="196">
        <f>AG172/Q172-1</f>
        <v>0.34204637152467154</v>
      </c>
      <c r="AJ172" s="196">
        <f>AH172/Q172-1</f>
        <v>0.18231113616247274</v>
      </c>
      <c r="AK172" s="177"/>
      <c r="AL172" s="177"/>
      <c r="AM172" s="177"/>
      <c r="AN172" s="177" t="s">
        <v>620</v>
      </c>
      <c r="AO172" s="177"/>
      <c r="AP172" s="196">
        <f>AG172/O172-1</f>
        <v>0.57424794313744454</v>
      </c>
      <c r="AQ172" s="196">
        <f>AH172/O172-1</f>
        <v>0.38687523303515858</v>
      </c>
      <c r="AR172" s="177" t="str">
        <f t="shared" si="132"/>
        <v>New Lease</v>
      </c>
      <c r="AS172" s="182" t="str">
        <f t="shared" si="133"/>
        <v>Q3 2022</v>
      </c>
      <c r="AT172" s="182" t="str">
        <f t="shared" si="134"/>
        <v>2H2022</v>
      </c>
      <c r="AU172" s="184" t="str">
        <f t="shared" si="135"/>
        <v>20-50K</v>
      </c>
      <c r="AV172" s="179">
        <f t="shared" si="136"/>
        <v>45375</v>
      </c>
      <c r="AW172" s="233">
        <f t="shared" si="137"/>
        <v>264536.25</v>
      </c>
      <c r="AX172" s="233">
        <f t="shared" si="138"/>
        <v>309457.5</v>
      </c>
      <c r="AY172" s="198" t="str">
        <f t="shared" si="153"/>
        <v/>
      </c>
      <c r="AZ172" s="233">
        <f>Q172*AV172</f>
        <v>363000</v>
      </c>
      <c r="BA172" s="233">
        <f t="shared" si="139"/>
        <v>363000</v>
      </c>
      <c r="BB172" s="233">
        <f t="shared" si="140"/>
        <v>363000</v>
      </c>
      <c r="BC172" s="233">
        <f t="shared" si="141"/>
        <v>487162.83286345575</v>
      </c>
      <c r="BD172" s="233">
        <f t="shared" si="142"/>
        <v>429178.94242697762</v>
      </c>
      <c r="BE172" s="233">
        <f t="shared" si="143"/>
        <v>363000</v>
      </c>
      <c r="BF172" s="233">
        <f t="shared" si="144"/>
        <v>45375</v>
      </c>
      <c r="BG172" s="233">
        <f t="shared" si="145"/>
        <v>230958.75</v>
      </c>
      <c r="BH172" s="186" t="str">
        <f t="shared" si="146"/>
        <v/>
      </c>
      <c r="BI172" s="233">
        <f t="shared" si="147"/>
        <v>0</v>
      </c>
      <c r="BJ172" s="233">
        <f t="shared" si="148"/>
        <v>0</v>
      </c>
      <c r="BK172" s="233">
        <f t="shared" si="149"/>
        <v>501296.67295083753</v>
      </c>
      <c r="BL172" s="233">
        <f t="shared" si="150"/>
        <v>1000518.75</v>
      </c>
      <c r="BM172" s="233">
        <f t="shared" si="151"/>
        <v>181500</v>
      </c>
      <c r="BN172" s="233">
        <f t="shared" si="152"/>
        <v>136125</v>
      </c>
    </row>
    <row r="173" spans="1:66" s="198" customFormat="1" hidden="1" outlineLevel="1">
      <c r="A173" s="176" t="s">
        <v>621</v>
      </c>
      <c r="B173" s="176" t="s">
        <v>143</v>
      </c>
      <c r="C173" s="176"/>
      <c r="D173" s="176"/>
      <c r="E173" s="176"/>
      <c r="F173" s="176" t="s">
        <v>144</v>
      </c>
      <c r="G173" s="438">
        <v>0</v>
      </c>
      <c r="H173" s="176" t="s">
        <v>622</v>
      </c>
      <c r="I173" s="177">
        <v>60</v>
      </c>
      <c r="J173" s="178">
        <v>8613</v>
      </c>
      <c r="K173" s="178">
        <f>_xlfn.XLOOKUP(AN173,'[1]Performance Table'!$B:$B,'[1]Performance Table'!$BE:$BE,0)</f>
        <v>1910869.03</v>
      </c>
      <c r="L173" s="437">
        <v>23500</v>
      </c>
      <c r="M173" s="190">
        <f>Q173/(K173/L173)</f>
        <v>9.8384555429212234E-2</v>
      </c>
      <c r="N173" s="177">
        <v>6.5</v>
      </c>
      <c r="O173" s="442">
        <v>6.94</v>
      </c>
      <c r="P173" s="442">
        <v>8</v>
      </c>
      <c r="Q173" s="442">
        <v>8</v>
      </c>
      <c r="R173" s="177">
        <v>3.5</v>
      </c>
      <c r="S173" s="177">
        <v>2.5</v>
      </c>
      <c r="T173" s="179"/>
      <c r="U173" s="177"/>
      <c r="V173" s="177">
        <v>9</v>
      </c>
      <c r="W173" s="177">
        <v>9</v>
      </c>
      <c r="X173" s="180">
        <v>22169.699999999997</v>
      </c>
      <c r="Y173" s="180">
        <f>Z173/J173</f>
        <v>2.5</v>
      </c>
      <c r="Z173" s="180">
        <v>21532.5</v>
      </c>
      <c r="AA173" s="180"/>
      <c r="AB173" s="180">
        <v>0</v>
      </c>
      <c r="AC173" s="180">
        <f>SUM(X173:AB173)</f>
        <v>43704.7</v>
      </c>
      <c r="AD173" s="443">
        <v>369495.12</v>
      </c>
      <c r="AE173" s="177" t="s">
        <v>147</v>
      </c>
      <c r="AF173" s="182">
        <v>45601</v>
      </c>
      <c r="AG173" s="177"/>
      <c r="AH173" s="177"/>
      <c r="AI173" s="183"/>
      <c r="AJ173" s="183"/>
      <c r="AK173" s="249">
        <v>3</v>
      </c>
      <c r="AL173" s="249" t="s">
        <v>149</v>
      </c>
      <c r="AM173" s="444">
        <v>9.66</v>
      </c>
      <c r="AN173" s="177" t="s">
        <v>623</v>
      </c>
      <c r="AO173" s="177"/>
      <c r="AP173" s="183"/>
      <c r="AQ173" s="183"/>
      <c r="AR173" s="177" t="str">
        <f t="shared" si="132"/>
        <v>New Lease</v>
      </c>
      <c r="AS173" s="182" t="str">
        <f t="shared" si="133"/>
        <v>Q4 2024</v>
      </c>
      <c r="AT173" s="182" t="str">
        <f t="shared" si="134"/>
        <v>2H2024</v>
      </c>
      <c r="AU173" s="184" t="str">
        <f t="shared" si="135"/>
        <v>&lt; 20K</v>
      </c>
      <c r="AV173" s="179">
        <f t="shared" si="136"/>
        <v>8613</v>
      </c>
      <c r="AW173" s="233">
        <f t="shared" si="137"/>
        <v>55984.5</v>
      </c>
      <c r="AX173" s="233">
        <f t="shared" si="138"/>
        <v>59774.22</v>
      </c>
      <c r="AY173" s="198">
        <f t="shared" si="153"/>
        <v>68904</v>
      </c>
      <c r="AZ173" s="233">
        <f>IFERROR(Q173*AV173,"")</f>
        <v>68904</v>
      </c>
      <c r="BA173" s="233">
        <f t="shared" si="139"/>
        <v>68904</v>
      </c>
      <c r="BB173" s="233">
        <f t="shared" si="140"/>
        <v>68904</v>
      </c>
      <c r="BC173" s="233">
        <f t="shared" si="141"/>
        <v>0</v>
      </c>
      <c r="BD173" s="233">
        <f t="shared" si="142"/>
        <v>0</v>
      </c>
      <c r="BE173" s="233">
        <f t="shared" si="143"/>
        <v>77517</v>
      </c>
      <c r="BF173" s="233">
        <f t="shared" si="144"/>
        <v>8613</v>
      </c>
      <c r="BG173" s="233">
        <f t="shared" si="145"/>
        <v>77517</v>
      </c>
      <c r="BH173" s="186" t="str">
        <f t="shared" si="146"/>
        <v/>
      </c>
      <c r="BI173" s="233">
        <f t="shared" si="147"/>
        <v>0</v>
      </c>
      <c r="BJ173" s="233">
        <f t="shared" si="148"/>
        <v>0</v>
      </c>
      <c r="BK173" s="233">
        <f t="shared" si="149"/>
        <v>0</v>
      </c>
      <c r="BL173" s="233">
        <f t="shared" si="150"/>
        <v>0</v>
      </c>
      <c r="BM173" s="233">
        <f t="shared" si="151"/>
        <v>30145.5</v>
      </c>
      <c r="BN173" s="233">
        <f t="shared" si="152"/>
        <v>21532.5</v>
      </c>
    </row>
    <row r="174" spans="1:66" s="198" customFormat="1" hidden="1" outlineLevel="1">
      <c r="A174" s="176" t="s">
        <v>624</v>
      </c>
      <c r="B174" s="176" t="s">
        <v>143</v>
      </c>
      <c r="C174" s="176" t="s">
        <v>335</v>
      </c>
      <c r="D174" s="176" t="s">
        <v>335</v>
      </c>
      <c r="E174" s="176"/>
      <c r="F174" s="176" t="s">
        <v>181</v>
      </c>
      <c r="G174" s="176">
        <f>_xlfn.XLOOKUP(AN174,[2]ySQL_0_24102024094604!$B:$B,[2]ySQL_0_24102024094604!$D:$D,0)</f>
        <v>0</v>
      </c>
      <c r="H174" s="176" t="s">
        <v>625</v>
      </c>
      <c r="I174" s="177">
        <v>120</v>
      </c>
      <c r="J174" s="178">
        <v>47268</v>
      </c>
      <c r="K174" s="178"/>
      <c r="M174" s="178"/>
      <c r="N174" s="177"/>
      <c r="O174" s="177">
        <v>8.5</v>
      </c>
      <c r="P174" s="177">
        <v>9</v>
      </c>
      <c r="Q174" s="177">
        <v>14</v>
      </c>
      <c r="R174" s="177">
        <v>4.5</v>
      </c>
      <c r="S174" s="177">
        <v>4</v>
      </c>
      <c r="T174" s="179">
        <v>7</v>
      </c>
      <c r="U174" s="177">
        <v>26.2</v>
      </c>
      <c r="V174" s="177">
        <v>9</v>
      </c>
      <c r="W174" s="177">
        <v>6</v>
      </c>
      <c r="X174" s="180">
        <v>284862</v>
      </c>
      <c r="Y174" s="180"/>
      <c r="Z174" s="180">
        <v>0</v>
      </c>
      <c r="AA174" s="180">
        <v>250000</v>
      </c>
      <c r="AB174" s="180">
        <v>0</v>
      </c>
      <c r="AC174" s="180">
        <v>534862</v>
      </c>
      <c r="AD174" s="181">
        <v>8131747</v>
      </c>
      <c r="AE174" s="177" t="s">
        <v>161</v>
      </c>
      <c r="AF174" s="182">
        <v>45107</v>
      </c>
      <c r="AG174" s="177"/>
      <c r="AH174" s="177"/>
      <c r="AI174" s="183"/>
      <c r="AJ174" s="183"/>
      <c r="AK174" s="177"/>
      <c r="AL174" s="177"/>
      <c r="AM174" s="177"/>
      <c r="AN174" s="177"/>
      <c r="AO174" s="177"/>
      <c r="AP174" s="183"/>
      <c r="AQ174" s="183"/>
      <c r="AR174" s="177" t="str">
        <f t="shared" si="132"/>
        <v>New Lease</v>
      </c>
      <c r="AS174" s="182" t="str">
        <f t="shared" si="133"/>
        <v>Q2 2023</v>
      </c>
      <c r="AT174" s="182" t="str">
        <f t="shared" si="134"/>
        <v>1H2023</v>
      </c>
      <c r="AU174" s="184" t="str">
        <f t="shared" si="135"/>
        <v>20-50K</v>
      </c>
      <c r="AV174" s="179" t="str">
        <f t="shared" si="136"/>
        <v/>
      </c>
      <c r="AW174" s="233" t="str">
        <f t="shared" si="137"/>
        <v/>
      </c>
      <c r="AX174" s="233">
        <f t="shared" si="138"/>
        <v>401778</v>
      </c>
      <c r="AY174" s="198">
        <f t="shared" si="153"/>
        <v>425412</v>
      </c>
      <c r="AZ174" s="233" t="str">
        <f>IFERROR(Q174*AV174,"")</f>
        <v/>
      </c>
      <c r="BA174" s="233">
        <f t="shared" si="139"/>
        <v>661752</v>
      </c>
      <c r="BB174" s="233" t="str">
        <f t="shared" si="140"/>
        <v/>
      </c>
      <c r="BC174" s="233">
        <f t="shared" si="141"/>
        <v>0</v>
      </c>
      <c r="BD174" s="233">
        <f t="shared" si="142"/>
        <v>0</v>
      </c>
      <c r="BE174" s="233">
        <f t="shared" si="143"/>
        <v>425412</v>
      </c>
      <c r="BF174" s="233">
        <f t="shared" si="144"/>
        <v>47268</v>
      </c>
      <c r="BG174" s="233">
        <f t="shared" si="145"/>
        <v>283608</v>
      </c>
      <c r="BH174" s="186" t="str">
        <f t="shared" si="146"/>
        <v/>
      </c>
      <c r="BI174" s="233">
        <f t="shared" si="147"/>
        <v>0</v>
      </c>
      <c r="BJ174" s="233">
        <f t="shared" si="148"/>
        <v>0</v>
      </c>
      <c r="BK174" s="233">
        <f t="shared" si="149"/>
        <v>330876</v>
      </c>
      <c r="BL174" s="233">
        <f t="shared" si="150"/>
        <v>1238421.5999999999</v>
      </c>
      <c r="BM174" s="233">
        <f t="shared" si="151"/>
        <v>212706</v>
      </c>
      <c r="BN174" s="233">
        <f t="shared" si="152"/>
        <v>189072</v>
      </c>
    </row>
    <row r="175" spans="1:66" s="198" customFormat="1" hidden="1" outlineLevel="1">
      <c r="A175" s="176" t="s">
        <v>626</v>
      </c>
      <c r="B175" s="176" t="s">
        <v>143</v>
      </c>
      <c r="C175" s="176"/>
      <c r="D175" s="176"/>
      <c r="E175" s="176"/>
      <c r="F175" s="176" t="s">
        <v>173</v>
      </c>
      <c r="G175" s="176">
        <f>_xlfn.XLOOKUP(AN175,[2]ySQL_0_24102024094604!$B:$B,[2]ySQL_0_24102024094604!$D:$D,0)</f>
        <v>0</v>
      </c>
      <c r="H175" s="176" t="s">
        <v>627</v>
      </c>
      <c r="I175" s="177">
        <v>60</v>
      </c>
      <c r="J175" s="178">
        <v>16003</v>
      </c>
      <c r="K175" s="178"/>
      <c r="L175" s="178"/>
      <c r="M175" s="178"/>
      <c r="N175" s="177"/>
      <c r="O175" s="177">
        <v>12.94</v>
      </c>
      <c r="P175" s="177">
        <v>14.04</v>
      </c>
      <c r="Q175" s="177">
        <v>16.36</v>
      </c>
      <c r="R175" s="177">
        <v>4</v>
      </c>
      <c r="S175" s="177">
        <v>3</v>
      </c>
      <c r="T175" s="179">
        <f>AC175/AD175*100</f>
        <v>22.737196782605874</v>
      </c>
      <c r="U175" s="177">
        <v>19.78</v>
      </c>
      <c r="V175" s="177">
        <v>9</v>
      </c>
      <c r="W175" s="177">
        <v>6</v>
      </c>
      <c r="X175" s="188">
        <v>105423</v>
      </c>
      <c r="Y175" s="180">
        <f>Z175/J175</f>
        <v>13.559957507967257</v>
      </c>
      <c r="Z175" s="188">
        <v>217000</v>
      </c>
      <c r="AA175" s="188">
        <v>0</v>
      </c>
      <c r="AB175" s="188">
        <v>0</v>
      </c>
      <c r="AC175" s="188">
        <v>322423</v>
      </c>
      <c r="AD175" s="181">
        <v>1418042</v>
      </c>
      <c r="AE175" s="177" t="s">
        <v>147</v>
      </c>
      <c r="AF175" s="182">
        <v>45112</v>
      </c>
      <c r="AG175" s="177" t="s">
        <v>167</v>
      </c>
      <c r="AH175" s="177" t="s">
        <v>167</v>
      </c>
      <c r="AI175" s="183" t="s">
        <v>167</v>
      </c>
      <c r="AJ175" s="183" t="s">
        <v>167</v>
      </c>
      <c r="AK175" s="177"/>
      <c r="AL175" s="177"/>
      <c r="AM175" s="177"/>
      <c r="AN175" s="177" t="s">
        <v>484</v>
      </c>
      <c r="AO175" s="177"/>
      <c r="AP175" s="183"/>
      <c r="AQ175" s="183"/>
      <c r="AR175" s="177" t="str">
        <f t="shared" si="132"/>
        <v>New Lease</v>
      </c>
      <c r="AS175" s="182" t="str">
        <f t="shared" si="133"/>
        <v>Q3 2023</v>
      </c>
      <c r="AT175" s="182" t="str">
        <f t="shared" si="134"/>
        <v>2H2023</v>
      </c>
      <c r="AU175" s="184" t="str">
        <f t="shared" si="135"/>
        <v>&lt; 20K</v>
      </c>
      <c r="AV175" s="179" t="str">
        <f t="shared" si="136"/>
        <v/>
      </c>
      <c r="AW175" s="233" t="str">
        <f t="shared" si="137"/>
        <v/>
      </c>
      <c r="AX175" s="233">
        <f t="shared" si="138"/>
        <v>207078.81999999998</v>
      </c>
      <c r="AY175" s="198">
        <f t="shared" si="153"/>
        <v>224682.12</v>
      </c>
      <c r="AZ175" s="233" t="str">
        <f>IFERROR(Q175*AV175,"")</f>
        <v/>
      </c>
      <c r="BA175" s="233">
        <f t="shared" si="139"/>
        <v>261809.08</v>
      </c>
      <c r="BB175" s="233" t="str">
        <f t="shared" si="140"/>
        <v/>
      </c>
      <c r="BC175" s="233" t="e">
        <f t="shared" si="141"/>
        <v>#VALUE!</v>
      </c>
      <c r="BD175" s="233" t="e">
        <f t="shared" si="142"/>
        <v>#VALUE!</v>
      </c>
      <c r="BE175" s="233">
        <f t="shared" si="143"/>
        <v>144027</v>
      </c>
      <c r="BF175" s="233">
        <f t="shared" si="144"/>
        <v>16003</v>
      </c>
      <c r="BG175" s="233">
        <f t="shared" si="145"/>
        <v>96018</v>
      </c>
      <c r="BH175" s="186" t="str">
        <f t="shared" si="146"/>
        <v/>
      </c>
      <c r="BI175" s="233">
        <f t="shared" si="147"/>
        <v>0</v>
      </c>
      <c r="BJ175" s="233">
        <f t="shared" si="148"/>
        <v>0</v>
      </c>
      <c r="BK175" s="233">
        <f t="shared" si="149"/>
        <v>363863.36011204182</v>
      </c>
      <c r="BL175" s="233">
        <f t="shared" si="150"/>
        <v>316539.34000000003</v>
      </c>
      <c r="BM175" s="233">
        <f t="shared" si="151"/>
        <v>64012</v>
      </c>
      <c r="BN175" s="233">
        <f t="shared" si="152"/>
        <v>48009</v>
      </c>
    </row>
    <row r="176" spans="1:66" s="198" customFormat="1" hidden="1" outlineLevel="1">
      <c r="A176" s="176" t="s">
        <v>628</v>
      </c>
      <c r="B176" s="176" t="s">
        <v>157</v>
      </c>
      <c r="C176" s="176" t="s">
        <v>157</v>
      </c>
      <c r="D176" s="192" t="s">
        <v>413</v>
      </c>
      <c r="E176" s="192">
        <f>O176/N176-1</f>
        <v>0.27831715210355989</v>
      </c>
      <c r="F176" s="176" t="s">
        <v>158</v>
      </c>
      <c r="G176" s="176">
        <f>_xlfn.XLOOKUP(AN176,[2]ySQL_0_24102024094604!$B:$B,[2]ySQL_0_24102024094604!$D:$D,0)</f>
        <v>0</v>
      </c>
      <c r="H176" s="176" t="s">
        <v>629</v>
      </c>
      <c r="I176" s="177">
        <v>36</v>
      </c>
      <c r="J176" s="178">
        <v>24000</v>
      </c>
      <c r="K176" s="178"/>
      <c r="L176" s="178"/>
      <c r="M176" s="178"/>
      <c r="N176" s="177">
        <v>3.09</v>
      </c>
      <c r="O176" s="177">
        <v>3.95</v>
      </c>
      <c r="P176" s="177">
        <v>4.5999999999999996</v>
      </c>
      <c r="Q176" s="177">
        <v>4.5</v>
      </c>
      <c r="R176" s="177">
        <v>3</v>
      </c>
      <c r="S176" s="177">
        <v>3</v>
      </c>
      <c r="T176" s="179">
        <v>5.99</v>
      </c>
      <c r="U176" s="177">
        <v>13</v>
      </c>
      <c r="V176" s="177">
        <v>0</v>
      </c>
      <c r="W176" s="177">
        <v>0</v>
      </c>
      <c r="X176" s="180">
        <v>20132.662400000001</v>
      </c>
      <c r="Y176" s="180"/>
      <c r="Z176" s="180">
        <v>0</v>
      </c>
      <c r="AA176" s="180">
        <v>0</v>
      </c>
      <c r="AB176" s="180">
        <v>0</v>
      </c>
      <c r="AC176" s="180">
        <v>20132.662400000001</v>
      </c>
      <c r="AD176" s="181">
        <v>333817</v>
      </c>
      <c r="AE176" s="177" t="s">
        <v>161</v>
      </c>
      <c r="AF176" s="182">
        <v>45107</v>
      </c>
      <c r="AG176" s="177"/>
      <c r="AH176" s="177"/>
      <c r="AI176" s="183"/>
      <c r="AJ176" s="183"/>
      <c r="AK176" s="177"/>
      <c r="AL176" s="177"/>
      <c r="AM176" s="177"/>
      <c r="AN176" s="177" t="s">
        <v>164</v>
      </c>
      <c r="AO176" s="177"/>
      <c r="AP176" s="183"/>
      <c r="AQ176" s="183"/>
      <c r="AR176" s="177" t="str">
        <f t="shared" si="132"/>
        <v>Renewal</v>
      </c>
      <c r="AS176" s="182" t="str">
        <f t="shared" si="133"/>
        <v>Q2 2023</v>
      </c>
      <c r="AT176" s="182" t="str">
        <f t="shared" si="134"/>
        <v>1H2023</v>
      </c>
      <c r="AU176" s="184" t="str">
        <f t="shared" si="135"/>
        <v>20-50K</v>
      </c>
      <c r="AV176" s="179">
        <f t="shared" si="136"/>
        <v>24000</v>
      </c>
      <c r="AW176" s="233">
        <f t="shared" si="137"/>
        <v>74160</v>
      </c>
      <c r="AX176" s="233">
        <f t="shared" si="138"/>
        <v>94800</v>
      </c>
      <c r="AY176" s="198">
        <f t="shared" si="153"/>
        <v>110399.99999999999</v>
      </c>
      <c r="AZ176" s="233">
        <f>Q176*AV176</f>
        <v>108000</v>
      </c>
      <c r="BA176" s="233">
        <f t="shared" si="139"/>
        <v>108000</v>
      </c>
      <c r="BB176" s="233">
        <f t="shared" si="140"/>
        <v>108000</v>
      </c>
      <c r="BC176" s="233">
        <f t="shared" si="141"/>
        <v>0</v>
      </c>
      <c r="BD176" s="233">
        <f t="shared" si="142"/>
        <v>0</v>
      </c>
      <c r="BE176" s="233">
        <f t="shared" si="143"/>
        <v>0</v>
      </c>
      <c r="BF176" s="233">
        <f t="shared" si="144"/>
        <v>0</v>
      </c>
      <c r="BG176" s="233">
        <f t="shared" si="145"/>
        <v>0</v>
      </c>
      <c r="BH176" s="186" t="str">
        <f t="shared" si="146"/>
        <v/>
      </c>
      <c r="BI176" s="233">
        <f t="shared" si="147"/>
        <v>0</v>
      </c>
      <c r="BJ176" s="233">
        <f t="shared" si="148"/>
        <v>0</v>
      </c>
      <c r="BK176" s="233">
        <f t="shared" si="149"/>
        <v>143760</v>
      </c>
      <c r="BL176" s="233">
        <f t="shared" si="150"/>
        <v>312000</v>
      </c>
      <c r="BM176" s="233">
        <f t="shared" si="151"/>
        <v>72000</v>
      </c>
      <c r="BN176" s="233">
        <f t="shared" si="152"/>
        <v>72000</v>
      </c>
    </row>
    <row r="177" spans="1:66" s="198" customFormat="1" hidden="1" outlineLevel="1">
      <c r="A177" s="176" t="s">
        <v>630</v>
      </c>
      <c r="B177" s="176" t="s">
        <v>157</v>
      </c>
      <c r="C177" s="176" t="s">
        <v>157</v>
      </c>
      <c r="D177" s="192" t="s">
        <v>413</v>
      </c>
      <c r="E177" s="192">
        <f>O177/N177-1</f>
        <v>0.28030303030303028</v>
      </c>
      <c r="F177" s="176" t="s">
        <v>207</v>
      </c>
      <c r="G177" s="176">
        <f>_xlfn.XLOOKUP(AN177,[2]ySQL_0_24102024094604!$B:$B,[2]ySQL_0_24102024094604!$D:$D,0)</f>
        <v>0</v>
      </c>
      <c r="H177" s="176" t="s">
        <v>631</v>
      </c>
      <c r="I177" s="177">
        <v>36</v>
      </c>
      <c r="J177" s="194">
        <v>4161</v>
      </c>
      <c r="K177" s="194"/>
      <c r="L177" s="194"/>
      <c r="M177" s="194"/>
      <c r="N177" s="177">
        <v>7.92</v>
      </c>
      <c r="O177" s="177">
        <v>10.14</v>
      </c>
      <c r="P177" s="177">
        <v>12.5</v>
      </c>
      <c r="Q177" s="177">
        <v>12</v>
      </c>
      <c r="R177" s="177">
        <v>3</v>
      </c>
      <c r="S177" s="177">
        <v>4</v>
      </c>
      <c r="T177" s="179">
        <v>1.9998833774</v>
      </c>
      <c r="U177" s="177">
        <v>5.5</v>
      </c>
      <c r="V177" s="177">
        <v>0</v>
      </c>
      <c r="W177" s="177">
        <v>0</v>
      </c>
      <c r="X177" s="180">
        <v>3086.7</v>
      </c>
      <c r="Y177" s="180"/>
      <c r="Z177" s="180">
        <v>0</v>
      </c>
      <c r="AA177" s="180">
        <v>0</v>
      </c>
      <c r="AB177" s="180">
        <v>0</v>
      </c>
      <c r="AC177" s="180">
        <v>3086.7</v>
      </c>
      <c r="AD177" s="195">
        <v>154344</v>
      </c>
      <c r="AE177" s="177" t="s">
        <v>161</v>
      </c>
      <c r="AF177" s="182">
        <v>44995</v>
      </c>
      <c r="AG177" s="177">
        <v>11.197855431251046</v>
      </c>
      <c r="AH177" s="177">
        <v>11.018784083474667</v>
      </c>
      <c r="AI177" s="196">
        <v>6.6845380728999997</v>
      </c>
      <c r="AJ177" s="196">
        <v>8.1767993043999994</v>
      </c>
      <c r="AK177" s="177"/>
      <c r="AL177" s="177"/>
      <c r="AM177" s="177"/>
      <c r="AN177" s="177" t="s">
        <v>632</v>
      </c>
      <c r="AO177" s="177"/>
      <c r="AP177" s="196">
        <f t="shared" ref="AP177:AP182" si="154">AG177/O177-1</f>
        <v>0.10432499322002431</v>
      </c>
      <c r="AQ177" s="196">
        <f t="shared" ref="AQ177:AQ182" si="155">AH177/O177-1</f>
        <v>8.6665096989612111E-2</v>
      </c>
      <c r="AR177" s="177" t="str">
        <f t="shared" si="132"/>
        <v>Renewal</v>
      </c>
      <c r="AS177" s="182" t="str">
        <f t="shared" si="133"/>
        <v>Q1 2023</v>
      </c>
      <c r="AT177" s="182" t="str">
        <f t="shared" si="134"/>
        <v>1H2023</v>
      </c>
      <c r="AU177" s="184" t="str">
        <f t="shared" si="135"/>
        <v>&lt; 20K</v>
      </c>
      <c r="AV177" s="179">
        <f t="shared" si="136"/>
        <v>4161</v>
      </c>
      <c r="AW177" s="233">
        <f t="shared" si="137"/>
        <v>32955.120000000003</v>
      </c>
      <c r="AX177" s="233">
        <f t="shared" si="138"/>
        <v>42192.54</v>
      </c>
      <c r="AY177" s="198">
        <f t="shared" si="153"/>
        <v>52012.5</v>
      </c>
      <c r="AZ177" s="233">
        <f>Q177*AV177</f>
        <v>49932</v>
      </c>
      <c r="BA177" s="233">
        <f t="shared" si="139"/>
        <v>49932</v>
      </c>
      <c r="BB177" s="233">
        <f t="shared" si="140"/>
        <v>49932</v>
      </c>
      <c r="BC177" s="233">
        <f t="shared" si="141"/>
        <v>46594.276449435602</v>
      </c>
      <c r="BD177" s="233">
        <f t="shared" si="142"/>
        <v>45849.160571338092</v>
      </c>
      <c r="BE177" s="233">
        <f t="shared" si="143"/>
        <v>0</v>
      </c>
      <c r="BF177" s="233">
        <f t="shared" si="144"/>
        <v>0</v>
      </c>
      <c r="BG177" s="233">
        <f t="shared" si="145"/>
        <v>0</v>
      </c>
      <c r="BH177" s="186" t="str">
        <f t="shared" si="146"/>
        <v/>
      </c>
      <c r="BI177" s="233">
        <f t="shared" si="147"/>
        <v>0</v>
      </c>
      <c r="BJ177" s="233">
        <f t="shared" si="148"/>
        <v>0</v>
      </c>
      <c r="BK177" s="233">
        <f t="shared" si="149"/>
        <v>8321.5147333614004</v>
      </c>
      <c r="BL177" s="233">
        <f t="shared" si="150"/>
        <v>22885.5</v>
      </c>
      <c r="BM177" s="233">
        <f t="shared" si="151"/>
        <v>12483</v>
      </c>
      <c r="BN177" s="233">
        <f t="shared" si="152"/>
        <v>16644</v>
      </c>
    </row>
    <row r="178" spans="1:66" s="198" customFormat="1" hidden="1" outlineLevel="1">
      <c r="A178" s="176" t="s">
        <v>633</v>
      </c>
      <c r="B178" s="176" t="s">
        <v>143</v>
      </c>
      <c r="C178" s="176"/>
      <c r="D178" s="176"/>
      <c r="E178" s="176"/>
      <c r="F178" s="176" t="s">
        <v>153</v>
      </c>
      <c r="G178" s="176">
        <f>_xlfn.XLOOKUP(AN178,[2]ySQL_0_24102024094604!$B:$B,[2]ySQL_0_24102024094604!$D:$D,0)</f>
        <v>0</v>
      </c>
      <c r="H178" s="176" t="s">
        <v>634</v>
      </c>
      <c r="I178" s="177">
        <v>60</v>
      </c>
      <c r="J178" s="194">
        <v>18700</v>
      </c>
      <c r="K178" s="194"/>
      <c r="L178" s="194"/>
      <c r="M178" s="194"/>
      <c r="N178" s="177"/>
      <c r="O178" s="177">
        <v>6.2130000000000001</v>
      </c>
      <c r="P178" s="177">
        <v>6.27</v>
      </c>
      <c r="Q178" s="177">
        <v>6</v>
      </c>
      <c r="R178" s="177">
        <v>4</v>
      </c>
      <c r="S178" s="177">
        <v>3</v>
      </c>
      <c r="T178" s="179">
        <v>14.7271680124</v>
      </c>
      <c r="U178" s="177">
        <v>21.53</v>
      </c>
      <c r="V178" s="177">
        <v>9</v>
      </c>
      <c r="W178" s="177">
        <f>2-$W$3</f>
        <v>1.0899999999999999</v>
      </c>
      <c r="X178" s="180">
        <v>48851</v>
      </c>
      <c r="Y178" s="180"/>
      <c r="Z178" s="180">
        <v>0</v>
      </c>
      <c r="AA178" s="180">
        <v>12597.62</v>
      </c>
      <c r="AB178" s="180">
        <v>28050</v>
      </c>
      <c r="AC178" s="180">
        <v>89498.62</v>
      </c>
      <c r="AD178" s="195">
        <v>607711</v>
      </c>
      <c r="AE178" s="177" t="s">
        <v>147</v>
      </c>
      <c r="AF178" s="182">
        <v>44998</v>
      </c>
      <c r="AG178" s="177">
        <v>6.3387458496689684</v>
      </c>
      <c r="AH178" s="177">
        <v>5.7198919512253497</v>
      </c>
      <c r="AI178" s="196">
        <v>-5.6457641610999998</v>
      </c>
      <c r="AJ178" s="196">
        <v>4.6684674796000003</v>
      </c>
      <c r="AK178" s="177">
        <v>5</v>
      </c>
      <c r="AL178" s="177"/>
      <c r="AM178" s="177"/>
      <c r="AN178" s="177" t="s">
        <v>635</v>
      </c>
      <c r="AO178" s="177"/>
      <c r="AP178" s="196">
        <f t="shared" si="154"/>
        <v>2.0239151725248483E-2</v>
      </c>
      <c r="AQ178" s="196">
        <f t="shared" si="155"/>
        <v>-7.9367141280323628E-2</v>
      </c>
      <c r="AR178" s="177" t="str">
        <f t="shared" si="132"/>
        <v>New Lease</v>
      </c>
      <c r="AS178" s="182" t="str">
        <f t="shared" si="133"/>
        <v>Q1 2023</v>
      </c>
      <c r="AT178" s="182" t="str">
        <f t="shared" si="134"/>
        <v>1H2023</v>
      </c>
      <c r="AU178" s="184" t="str">
        <f t="shared" si="135"/>
        <v>&lt; 20K</v>
      </c>
      <c r="AV178" s="179" t="str">
        <f t="shared" si="136"/>
        <v/>
      </c>
      <c r="AW178" s="233" t="str">
        <f t="shared" si="137"/>
        <v/>
      </c>
      <c r="AX178" s="233">
        <f t="shared" si="138"/>
        <v>116183.1</v>
      </c>
      <c r="AY178" s="198">
        <f t="shared" si="153"/>
        <v>117248.99999999999</v>
      </c>
      <c r="AZ178" s="233" t="str">
        <f>IFERROR(Q178*AV178,"")</f>
        <v/>
      </c>
      <c r="BA178" s="233">
        <f t="shared" si="139"/>
        <v>112200</v>
      </c>
      <c r="BB178" s="233" t="str">
        <f t="shared" si="140"/>
        <v/>
      </c>
      <c r="BC178" s="233">
        <f t="shared" si="141"/>
        <v>118534.5473888097</v>
      </c>
      <c r="BD178" s="233">
        <f t="shared" si="142"/>
        <v>106961.97948791404</v>
      </c>
      <c r="BE178" s="233">
        <f t="shared" si="143"/>
        <v>168300</v>
      </c>
      <c r="BF178" s="233">
        <f t="shared" si="144"/>
        <v>18700</v>
      </c>
      <c r="BG178" s="233">
        <f t="shared" si="145"/>
        <v>20382.999999999996</v>
      </c>
      <c r="BH178" s="186">
        <f t="shared" si="146"/>
        <v>112200</v>
      </c>
      <c r="BI178" s="233">
        <f t="shared" si="147"/>
        <v>3</v>
      </c>
      <c r="BJ178" s="233">
        <f t="shared" si="148"/>
        <v>336600</v>
      </c>
      <c r="BK178" s="233">
        <f t="shared" si="149"/>
        <v>275398.04183187999</v>
      </c>
      <c r="BL178" s="233">
        <f t="shared" si="150"/>
        <v>402611</v>
      </c>
      <c r="BM178" s="233">
        <f t="shared" si="151"/>
        <v>74800</v>
      </c>
      <c r="BN178" s="233">
        <f t="shared" si="152"/>
        <v>56100</v>
      </c>
    </row>
    <row r="179" spans="1:66" s="198" customFormat="1" hidden="1" outlineLevel="1">
      <c r="A179" s="176" t="s">
        <v>636</v>
      </c>
      <c r="B179" s="176" t="s">
        <v>143</v>
      </c>
      <c r="C179" s="176"/>
      <c r="D179" s="176"/>
      <c r="E179" s="176"/>
      <c r="F179" s="176" t="s">
        <v>214</v>
      </c>
      <c r="G179" s="176">
        <f>_xlfn.XLOOKUP(AN179,[2]ySQL_0_24102024094604!$B:$B,[2]ySQL_0_24102024094604!$D:$D,0)</f>
        <v>0</v>
      </c>
      <c r="H179" s="176" t="s">
        <v>637</v>
      </c>
      <c r="I179" s="177">
        <v>37</v>
      </c>
      <c r="J179" s="194">
        <v>5980</v>
      </c>
      <c r="K179" s="194"/>
      <c r="L179" s="194"/>
      <c r="M179" s="194"/>
      <c r="N179" s="177">
        <v>6.6</v>
      </c>
      <c r="O179" s="177">
        <v>6.7</v>
      </c>
      <c r="P179" s="177" t="s">
        <v>167</v>
      </c>
      <c r="Q179" s="177">
        <v>8.25</v>
      </c>
      <c r="R179" s="177">
        <v>4</v>
      </c>
      <c r="S179" s="177">
        <v>3</v>
      </c>
      <c r="T179" s="179">
        <v>22.959952147999999</v>
      </c>
      <c r="U179" s="177">
        <v>16.34</v>
      </c>
      <c r="V179" s="177">
        <v>9</v>
      </c>
      <c r="W179" s="177">
        <f>9-$W$3</f>
        <v>8.09</v>
      </c>
      <c r="X179" s="180">
        <v>10814.88</v>
      </c>
      <c r="Y179" s="180">
        <f>Z179/J179</f>
        <v>5.4632508361204017</v>
      </c>
      <c r="Z179" s="180">
        <v>32670.240000000002</v>
      </c>
      <c r="AA179" s="180">
        <v>500</v>
      </c>
      <c r="AB179" s="180">
        <v>4111.25</v>
      </c>
      <c r="AC179" s="180">
        <v>48096.37</v>
      </c>
      <c r="AD179" s="195">
        <v>209479.4</v>
      </c>
      <c r="AE179" s="177" t="s">
        <v>147</v>
      </c>
      <c r="AF179" s="182">
        <v>44677</v>
      </c>
      <c r="AG179" s="177">
        <v>7.2871979608419144</v>
      </c>
      <c r="AH179" s="177">
        <v>6.955807222841786</v>
      </c>
      <c r="AI179" s="196">
        <f>AG179/Q179-1</f>
        <v>-0.11670327747370735</v>
      </c>
      <c r="AJ179" s="196">
        <f>AH179/Q179-1</f>
        <v>-0.15687185177675322</v>
      </c>
      <c r="AK179" s="177"/>
      <c r="AL179" s="177"/>
      <c r="AM179" s="177"/>
      <c r="AN179" s="177" t="s">
        <v>638</v>
      </c>
      <c r="AO179" s="177"/>
      <c r="AP179" s="196">
        <f t="shared" si="154"/>
        <v>8.7641486692823012E-2</v>
      </c>
      <c r="AQ179" s="196">
        <f t="shared" si="155"/>
        <v>3.8180182513699368E-2</v>
      </c>
      <c r="AR179" s="177" t="str">
        <f t="shared" si="132"/>
        <v>New Lease</v>
      </c>
      <c r="AS179" s="182" t="str">
        <f t="shared" si="133"/>
        <v>Q2 2022</v>
      </c>
      <c r="AT179" s="182" t="str">
        <f t="shared" si="134"/>
        <v>1H2022</v>
      </c>
      <c r="AU179" s="184" t="str">
        <f t="shared" si="135"/>
        <v>&lt; 20K</v>
      </c>
      <c r="AV179" s="179">
        <f t="shared" si="136"/>
        <v>5980</v>
      </c>
      <c r="AW179" s="233">
        <f t="shared" si="137"/>
        <v>39468</v>
      </c>
      <c r="AX179" s="233">
        <f t="shared" si="138"/>
        <v>40066</v>
      </c>
      <c r="AY179" s="198" t="str">
        <f t="shared" si="153"/>
        <v/>
      </c>
      <c r="AZ179" s="233">
        <f t="shared" ref="AZ179:AZ185" si="156">Q179*AV179</f>
        <v>49335</v>
      </c>
      <c r="BA179" s="233">
        <f t="shared" si="139"/>
        <v>49335</v>
      </c>
      <c r="BB179" s="233">
        <f t="shared" si="140"/>
        <v>49335</v>
      </c>
      <c r="BC179" s="233">
        <f t="shared" si="141"/>
        <v>43577.44380583465</v>
      </c>
      <c r="BD179" s="233">
        <f t="shared" si="142"/>
        <v>41595.727192593877</v>
      </c>
      <c r="BE179" s="233">
        <f t="shared" si="143"/>
        <v>53820</v>
      </c>
      <c r="BF179" s="233">
        <f t="shared" si="144"/>
        <v>5980</v>
      </c>
      <c r="BG179" s="233">
        <f t="shared" si="145"/>
        <v>48378.2</v>
      </c>
      <c r="BH179" s="186">
        <f t="shared" si="146"/>
        <v>49335</v>
      </c>
      <c r="BI179" s="233">
        <f t="shared" si="147"/>
        <v>1</v>
      </c>
      <c r="BJ179" s="233">
        <f t="shared" si="148"/>
        <v>49335</v>
      </c>
      <c r="BK179" s="233">
        <f t="shared" si="149"/>
        <v>137300.51384504</v>
      </c>
      <c r="BL179" s="233">
        <f t="shared" si="150"/>
        <v>97713.2</v>
      </c>
      <c r="BM179" s="233">
        <f t="shared" si="151"/>
        <v>23920</v>
      </c>
      <c r="BN179" s="233">
        <f t="shared" si="152"/>
        <v>17940</v>
      </c>
    </row>
    <row r="180" spans="1:66" s="198" customFormat="1" hidden="1" outlineLevel="1">
      <c r="A180" s="176" t="s">
        <v>639</v>
      </c>
      <c r="B180" s="176" t="s">
        <v>157</v>
      </c>
      <c r="C180" s="176"/>
      <c r="D180" s="176"/>
      <c r="E180" s="176"/>
      <c r="F180" s="176" t="s">
        <v>173</v>
      </c>
      <c r="G180" s="176">
        <f>_xlfn.XLOOKUP(AN180,[2]ySQL_0_24102024094604!$B:$B,[2]ySQL_0_24102024094604!$D:$D,0)</f>
        <v>0</v>
      </c>
      <c r="H180" s="176" t="s">
        <v>640</v>
      </c>
      <c r="I180" s="177">
        <v>72</v>
      </c>
      <c r="J180" s="194">
        <v>24389</v>
      </c>
      <c r="K180" s="194"/>
      <c r="L180" s="194"/>
      <c r="M180" s="194"/>
      <c r="N180" s="177">
        <v>9.25</v>
      </c>
      <c r="O180" s="177">
        <v>12.59</v>
      </c>
      <c r="P180" s="177">
        <v>13.25</v>
      </c>
      <c r="Q180" s="177">
        <v>13.25</v>
      </c>
      <c r="R180" s="177">
        <v>3.5</v>
      </c>
      <c r="S180" s="177">
        <v>3</v>
      </c>
      <c r="T180" s="179">
        <v>12.980564401200001</v>
      </c>
      <c r="U180" s="177">
        <v>13.441000000000001</v>
      </c>
      <c r="V180" s="177">
        <v>0</v>
      </c>
      <c r="W180" s="177">
        <v>0</v>
      </c>
      <c r="X180" s="180">
        <v>98011.16</v>
      </c>
      <c r="Y180" s="180">
        <f>Z180/J180</f>
        <v>4.5102300217311084</v>
      </c>
      <c r="Z180" s="180">
        <v>110000</v>
      </c>
      <c r="AA180" s="180">
        <v>0</v>
      </c>
      <c r="AB180" s="180">
        <v>0</v>
      </c>
      <c r="AC180" s="180">
        <v>208011.16</v>
      </c>
      <c r="AD180" s="195">
        <v>1602481.63</v>
      </c>
      <c r="AE180" s="177" t="s">
        <v>147</v>
      </c>
      <c r="AF180" s="182">
        <v>44980</v>
      </c>
      <c r="AG180" s="177">
        <v>13.080489893112476</v>
      </c>
      <c r="AH180" s="177">
        <v>11.973848113184413</v>
      </c>
      <c r="AI180" s="196">
        <v>1.2793215614</v>
      </c>
      <c r="AJ180" s="196">
        <v>9.6313349947999995</v>
      </c>
      <c r="AK180" s="177">
        <v>7.4</v>
      </c>
      <c r="AL180" s="177"/>
      <c r="AM180" s="177"/>
      <c r="AN180" s="177" t="s">
        <v>299</v>
      </c>
      <c r="AO180" s="177"/>
      <c r="AP180" s="196">
        <f t="shared" si="154"/>
        <v>3.895868888899745E-2</v>
      </c>
      <c r="AQ180" s="196">
        <f t="shared" si="155"/>
        <v>-4.8939784496869421E-2</v>
      </c>
      <c r="AR180" s="177" t="str">
        <f t="shared" si="132"/>
        <v>Renewal</v>
      </c>
      <c r="AS180" s="182" t="str">
        <f t="shared" si="133"/>
        <v>Q1 2023</v>
      </c>
      <c r="AT180" s="182" t="str">
        <f t="shared" si="134"/>
        <v>1H2023</v>
      </c>
      <c r="AU180" s="184" t="str">
        <f t="shared" si="135"/>
        <v>20-50K</v>
      </c>
      <c r="AV180" s="179">
        <f t="shared" si="136"/>
        <v>24389</v>
      </c>
      <c r="AW180" s="233">
        <f t="shared" si="137"/>
        <v>225598.25</v>
      </c>
      <c r="AX180" s="233">
        <f t="shared" si="138"/>
        <v>307057.51</v>
      </c>
      <c r="AY180" s="198">
        <f t="shared" si="153"/>
        <v>323154.25</v>
      </c>
      <c r="AZ180" s="233">
        <f t="shared" si="156"/>
        <v>323154.25</v>
      </c>
      <c r="BA180" s="233">
        <f t="shared" si="139"/>
        <v>323154.25</v>
      </c>
      <c r="BB180" s="233">
        <f t="shared" si="140"/>
        <v>323154.25</v>
      </c>
      <c r="BC180" s="233">
        <f t="shared" si="141"/>
        <v>319020.06800312019</v>
      </c>
      <c r="BD180" s="233">
        <f t="shared" si="142"/>
        <v>292030.18163245468</v>
      </c>
      <c r="BE180" s="233">
        <f t="shared" si="143"/>
        <v>0</v>
      </c>
      <c r="BF180" s="233">
        <f t="shared" si="144"/>
        <v>0</v>
      </c>
      <c r="BG180" s="233">
        <f t="shared" si="145"/>
        <v>0</v>
      </c>
      <c r="BH180" s="186" t="str">
        <f t="shared" si="146"/>
        <v/>
      </c>
      <c r="BI180" s="233">
        <f t="shared" si="147"/>
        <v>0</v>
      </c>
      <c r="BJ180" s="233">
        <f t="shared" si="148"/>
        <v>0</v>
      </c>
      <c r="BK180" s="233">
        <f t="shared" si="149"/>
        <v>316582.98518086679</v>
      </c>
      <c r="BL180" s="233">
        <f t="shared" si="150"/>
        <v>327812.549</v>
      </c>
      <c r="BM180" s="233">
        <f t="shared" si="151"/>
        <v>85361.5</v>
      </c>
      <c r="BN180" s="233">
        <f t="shared" si="152"/>
        <v>73167</v>
      </c>
    </row>
    <row r="181" spans="1:66" s="198" customFormat="1" hidden="1" outlineLevel="1">
      <c r="A181" s="176" t="s">
        <v>641</v>
      </c>
      <c r="B181" s="176" t="s">
        <v>143</v>
      </c>
      <c r="C181" s="176"/>
      <c r="D181" s="176"/>
      <c r="E181" s="176"/>
      <c r="F181" s="176" t="s">
        <v>214</v>
      </c>
      <c r="G181" s="176">
        <f>_xlfn.XLOOKUP(AN181,[2]ySQL_0_24102024094604!$B:$B,[2]ySQL_0_24102024094604!$D:$D,0)</f>
        <v>0</v>
      </c>
      <c r="H181" s="176" t="s">
        <v>642</v>
      </c>
      <c r="I181" s="177">
        <v>61</v>
      </c>
      <c r="J181" s="194">
        <v>5620</v>
      </c>
      <c r="K181" s="194"/>
      <c r="L181" s="194"/>
      <c r="M181" s="194"/>
      <c r="N181" s="177">
        <v>6.6</v>
      </c>
      <c r="O181" s="177">
        <v>6.7</v>
      </c>
      <c r="P181" s="177" t="s">
        <v>167</v>
      </c>
      <c r="Q181" s="177">
        <v>8.25</v>
      </c>
      <c r="R181" s="177">
        <v>4</v>
      </c>
      <c r="S181" s="177">
        <v>3</v>
      </c>
      <c r="T181" s="179">
        <v>20.602913945699999</v>
      </c>
      <c r="U181" s="177">
        <v>16.34</v>
      </c>
      <c r="V181" s="177">
        <v>9</v>
      </c>
      <c r="W181" s="177">
        <f>9-$W$3</f>
        <v>8.09</v>
      </c>
      <c r="X181" s="180">
        <v>17635.79</v>
      </c>
      <c r="Y181" s="180">
        <f>Z181/J181</f>
        <v>5.4632508896797152</v>
      </c>
      <c r="Z181" s="180">
        <v>30703.47</v>
      </c>
      <c r="AA181" s="180">
        <v>500</v>
      </c>
      <c r="AB181" s="180">
        <v>3863.75</v>
      </c>
      <c r="AC181" s="180">
        <v>52703.01</v>
      </c>
      <c r="AD181" s="195">
        <v>255803.67</v>
      </c>
      <c r="AE181" s="177" t="s">
        <v>147</v>
      </c>
      <c r="AF181" s="182">
        <v>44741</v>
      </c>
      <c r="AG181" s="177">
        <v>7.6309771960921662</v>
      </c>
      <c r="AH181" s="177">
        <v>7.2181037457126296</v>
      </c>
      <c r="AI181" s="196">
        <f>AG181/Q181-1</f>
        <v>-7.5033067140343523E-2</v>
      </c>
      <c r="AJ181" s="196">
        <f>AH181/Q181-1</f>
        <v>-0.12507833385301459</v>
      </c>
      <c r="AK181" s="177"/>
      <c r="AL181" s="177"/>
      <c r="AM181" s="177"/>
      <c r="AN181" s="177" t="s">
        <v>638</v>
      </c>
      <c r="AO181" s="177"/>
      <c r="AP181" s="196">
        <f t="shared" si="154"/>
        <v>0.1389518203122635</v>
      </c>
      <c r="AQ181" s="196">
        <f t="shared" si="155"/>
        <v>7.7328917270541808E-2</v>
      </c>
      <c r="AR181" s="177" t="str">
        <f t="shared" si="132"/>
        <v>New Lease</v>
      </c>
      <c r="AS181" s="182" t="str">
        <f t="shared" si="133"/>
        <v>Q2 2022</v>
      </c>
      <c r="AT181" s="182" t="str">
        <f t="shared" si="134"/>
        <v>1H2022</v>
      </c>
      <c r="AU181" s="184" t="str">
        <f t="shared" si="135"/>
        <v>&lt; 20K</v>
      </c>
      <c r="AV181" s="179">
        <f t="shared" si="136"/>
        <v>5620</v>
      </c>
      <c r="AW181" s="233">
        <f t="shared" si="137"/>
        <v>37092</v>
      </c>
      <c r="AX181" s="233">
        <f t="shared" si="138"/>
        <v>37654</v>
      </c>
      <c r="AY181" s="198" t="str">
        <f t="shared" si="153"/>
        <v/>
      </c>
      <c r="AZ181" s="233">
        <f t="shared" si="156"/>
        <v>46365</v>
      </c>
      <c r="BA181" s="233">
        <f t="shared" si="139"/>
        <v>46365</v>
      </c>
      <c r="BB181" s="233">
        <f t="shared" si="140"/>
        <v>46365</v>
      </c>
      <c r="BC181" s="233">
        <f t="shared" si="141"/>
        <v>42886.091842037975</v>
      </c>
      <c r="BD181" s="233">
        <f t="shared" si="142"/>
        <v>40565.743050904981</v>
      </c>
      <c r="BE181" s="233">
        <f t="shared" si="143"/>
        <v>50580</v>
      </c>
      <c r="BF181" s="233">
        <f t="shared" si="144"/>
        <v>5620</v>
      </c>
      <c r="BG181" s="233">
        <f t="shared" si="145"/>
        <v>45465.799999999996</v>
      </c>
      <c r="BH181" s="186">
        <f t="shared" si="146"/>
        <v>46365</v>
      </c>
      <c r="BI181" s="233">
        <f t="shared" si="147"/>
        <v>1</v>
      </c>
      <c r="BJ181" s="233">
        <f t="shared" si="148"/>
        <v>46365</v>
      </c>
      <c r="BK181" s="233">
        <f t="shared" si="149"/>
        <v>115788.376374834</v>
      </c>
      <c r="BL181" s="233">
        <f t="shared" si="150"/>
        <v>91830.8</v>
      </c>
      <c r="BM181" s="233">
        <f t="shared" si="151"/>
        <v>22480</v>
      </c>
      <c r="BN181" s="233">
        <f t="shared" si="152"/>
        <v>16860</v>
      </c>
    </row>
    <row r="182" spans="1:66" s="198" customFormat="1" hidden="1" outlineLevel="1">
      <c r="A182" s="176" t="s">
        <v>643</v>
      </c>
      <c r="B182" s="176" t="s">
        <v>252</v>
      </c>
      <c r="C182" s="176"/>
      <c r="D182" s="176"/>
      <c r="E182" s="176"/>
      <c r="F182" s="176" t="s">
        <v>153</v>
      </c>
      <c r="G182" s="176">
        <f>_xlfn.XLOOKUP(AN182,[2]ySQL_0_24102024094604!$B:$B,[2]ySQL_0_24102024094604!$D:$D,0)</f>
        <v>0</v>
      </c>
      <c r="H182" s="176" t="s">
        <v>644</v>
      </c>
      <c r="I182" s="177">
        <v>78</v>
      </c>
      <c r="J182" s="194">
        <v>10979</v>
      </c>
      <c r="K182" s="194"/>
      <c r="L182" s="194"/>
      <c r="M182" s="194"/>
      <c r="N182" s="177">
        <v>4.8600000000000003</v>
      </c>
      <c r="O182" s="177">
        <v>7.44</v>
      </c>
      <c r="P182" s="177" t="s">
        <v>167</v>
      </c>
      <c r="Q182" s="177">
        <v>6.9</v>
      </c>
      <c r="R182" s="177">
        <v>3.5</v>
      </c>
      <c r="S182" s="177">
        <v>2.5</v>
      </c>
      <c r="T182" s="179">
        <v>27.284295635900001</v>
      </c>
      <c r="U182" s="177">
        <v>10</v>
      </c>
      <c r="V182" s="177">
        <v>0</v>
      </c>
      <c r="W182" s="177">
        <v>0</v>
      </c>
      <c r="X182" s="180">
        <v>195845.64</v>
      </c>
      <c r="Y182" s="180"/>
      <c r="Z182" s="180">
        <v>0</v>
      </c>
      <c r="AA182" s="180">
        <v>0</v>
      </c>
      <c r="AB182" s="180">
        <v>0</v>
      </c>
      <c r="AC182" s="180">
        <v>195845.64</v>
      </c>
      <c r="AD182" s="195">
        <v>717796.21</v>
      </c>
      <c r="AE182" s="177" t="s">
        <v>147</v>
      </c>
      <c r="AF182" s="182">
        <v>44680</v>
      </c>
      <c r="AG182" s="177">
        <v>10.211805424887725</v>
      </c>
      <c r="AH182" s="177">
        <v>8.2749144115786546</v>
      </c>
      <c r="AI182" s="196">
        <f>AG182/Q182-1</f>
        <v>0.47997180070836576</v>
      </c>
      <c r="AJ182" s="196">
        <f>AH182/Q182-1</f>
        <v>0.19926295819980488</v>
      </c>
      <c r="AK182" s="177"/>
      <c r="AL182" s="177"/>
      <c r="AM182" s="177"/>
      <c r="AN182" s="177" t="s">
        <v>489</v>
      </c>
      <c r="AO182" s="177"/>
      <c r="AP182" s="196">
        <f t="shared" si="154"/>
        <v>0.372554492592436</v>
      </c>
      <c r="AQ182" s="196">
        <f t="shared" si="155"/>
        <v>0.11221967897562557</v>
      </c>
      <c r="AR182" s="177" t="str">
        <f t="shared" si="132"/>
        <v>Renewal</v>
      </c>
      <c r="AS182" s="182" t="str">
        <f t="shared" si="133"/>
        <v>Q2 2022</v>
      </c>
      <c r="AT182" s="182" t="str">
        <f t="shared" si="134"/>
        <v>1H2022</v>
      </c>
      <c r="AU182" s="184" t="str">
        <f t="shared" si="135"/>
        <v>&lt; 20K</v>
      </c>
      <c r="AV182" s="179">
        <f t="shared" si="136"/>
        <v>10979</v>
      </c>
      <c r="AW182" s="233">
        <f t="shared" si="137"/>
        <v>53357.94</v>
      </c>
      <c r="AX182" s="233">
        <f t="shared" si="138"/>
        <v>81683.760000000009</v>
      </c>
      <c r="AY182" s="198" t="str">
        <f t="shared" si="153"/>
        <v/>
      </c>
      <c r="AZ182" s="233">
        <f t="shared" si="156"/>
        <v>75755.100000000006</v>
      </c>
      <c r="BA182" s="233">
        <f t="shared" si="139"/>
        <v>75755.100000000006</v>
      </c>
      <c r="BB182" s="233">
        <f t="shared" si="140"/>
        <v>75755.100000000006</v>
      </c>
      <c r="BC182" s="233">
        <f t="shared" si="141"/>
        <v>112115.41175984233</v>
      </c>
      <c r="BD182" s="233">
        <f t="shared" si="142"/>
        <v>90850.285324722048</v>
      </c>
      <c r="BE182" s="233">
        <f t="shared" si="143"/>
        <v>0</v>
      </c>
      <c r="BF182" s="233">
        <f t="shared" si="144"/>
        <v>0</v>
      </c>
      <c r="BG182" s="233">
        <f t="shared" si="145"/>
        <v>0</v>
      </c>
      <c r="BH182" s="186" t="str">
        <f t="shared" si="146"/>
        <v/>
      </c>
      <c r="BI182" s="233">
        <f t="shared" si="147"/>
        <v>0</v>
      </c>
      <c r="BJ182" s="233">
        <f t="shared" si="148"/>
        <v>0</v>
      </c>
      <c r="BK182" s="233">
        <f t="shared" si="149"/>
        <v>299554.28178654611</v>
      </c>
      <c r="BL182" s="233">
        <f t="shared" si="150"/>
        <v>109790</v>
      </c>
      <c r="BM182" s="233">
        <f t="shared" si="151"/>
        <v>38426.5</v>
      </c>
      <c r="BN182" s="233">
        <f t="shared" si="152"/>
        <v>27447.5</v>
      </c>
    </row>
    <row r="183" spans="1:66" s="198" customFormat="1" hidden="1" outlineLevel="1">
      <c r="A183" s="176" t="s">
        <v>645</v>
      </c>
      <c r="B183" s="176" t="s">
        <v>157</v>
      </c>
      <c r="C183" s="176"/>
      <c r="D183" s="176"/>
      <c r="E183" s="176"/>
      <c r="F183" s="176" t="s">
        <v>144</v>
      </c>
      <c r="G183" s="176">
        <f>_xlfn.XLOOKUP(AN183,[2]ySQL_0_24102024094604!$B:$B,[2]ySQL_0_24102024094604!$D:$D,0)</f>
        <v>0</v>
      </c>
      <c r="H183" s="176" t="s">
        <v>646</v>
      </c>
      <c r="I183" s="177">
        <v>61</v>
      </c>
      <c r="J183" s="194">
        <v>19963</v>
      </c>
      <c r="K183" s="194"/>
      <c r="L183" s="194"/>
      <c r="M183" s="194"/>
      <c r="N183" s="177">
        <v>6.16</v>
      </c>
      <c r="O183" s="177">
        <v>6.82</v>
      </c>
      <c r="P183" s="177">
        <v>6.5</v>
      </c>
      <c r="Q183" s="177">
        <v>8</v>
      </c>
      <c r="R183" s="177">
        <v>3.5</v>
      </c>
      <c r="S183" s="177">
        <v>2.5</v>
      </c>
      <c r="T183" s="179">
        <v>10.39472473</v>
      </c>
      <c r="U183" s="177">
        <v>9.3699999999999992</v>
      </c>
      <c r="V183" s="177">
        <v>0</v>
      </c>
      <c r="W183" s="177">
        <v>0</v>
      </c>
      <c r="X183" s="180">
        <v>52300</v>
      </c>
      <c r="Y183" s="180">
        <f>Z183/J183</f>
        <v>1.2523167860542004</v>
      </c>
      <c r="Z183" s="180">
        <v>25000</v>
      </c>
      <c r="AA183" s="180">
        <v>0</v>
      </c>
      <c r="AB183" s="180">
        <v>13308.67</v>
      </c>
      <c r="AC183" s="180">
        <v>90608.67</v>
      </c>
      <c r="AD183" s="195">
        <v>871966</v>
      </c>
      <c r="AE183" s="177" t="s">
        <v>147</v>
      </c>
      <c r="AF183" s="182">
        <v>45033</v>
      </c>
      <c r="AG183" s="177"/>
      <c r="AH183" s="177"/>
      <c r="AI183" s="196"/>
      <c r="AJ183" s="196"/>
      <c r="AK183" s="177"/>
      <c r="AL183" s="177"/>
      <c r="AM183" s="177"/>
      <c r="AN183" s="177" t="s">
        <v>647</v>
      </c>
      <c r="AO183" s="177"/>
      <c r="AP183" s="196"/>
      <c r="AQ183" s="196"/>
      <c r="AR183" s="177" t="str">
        <f t="shared" si="132"/>
        <v>Renewal</v>
      </c>
      <c r="AS183" s="182" t="str">
        <f t="shared" si="133"/>
        <v>Q2 2023</v>
      </c>
      <c r="AT183" s="182" t="str">
        <f t="shared" si="134"/>
        <v>1H2023</v>
      </c>
      <c r="AU183" s="184" t="str">
        <f t="shared" si="135"/>
        <v>&lt; 20K</v>
      </c>
      <c r="AV183" s="179">
        <f t="shared" si="136"/>
        <v>19963</v>
      </c>
      <c r="AW183" s="233">
        <f t="shared" si="137"/>
        <v>122972.08</v>
      </c>
      <c r="AX183" s="233">
        <f t="shared" si="138"/>
        <v>136147.66</v>
      </c>
      <c r="AY183" s="198">
        <f t="shared" si="153"/>
        <v>129759.5</v>
      </c>
      <c r="AZ183" s="233">
        <f t="shared" si="156"/>
        <v>159704</v>
      </c>
      <c r="BA183" s="233">
        <f t="shared" si="139"/>
        <v>159704</v>
      </c>
      <c r="BB183" s="233">
        <f t="shared" si="140"/>
        <v>159704</v>
      </c>
      <c r="BC183" s="233">
        <f t="shared" si="141"/>
        <v>0</v>
      </c>
      <c r="BD183" s="233">
        <f t="shared" si="142"/>
        <v>0</v>
      </c>
      <c r="BE183" s="233">
        <f t="shared" si="143"/>
        <v>0</v>
      </c>
      <c r="BF183" s="233">
        <f t="shared" si="144"/>
        <v>0</v>
      </c>
      <c r="BG183" s="233">
        <f t="shared" si="145"/>
        <v>0</v>
      </c>
      <c r="BH183" s="198">
        <f t="shared" si="146"/>
        <v>159704</v>
      </c>
      <c r="BI183" s="233">
        <f t="shared" si="147"/>
        <v>1.0000002504633572</v>
      </c>
      <c r="BJ183" s="233">
        <f t="shared" si="148"/>
        <v>159704.03999999998</v>
      </c>
      <c r="BK183" s="233">
        <f t="shared" si="149"/>
        <v>207509.88978498999</v>
      </c>
      <c r="BL183" s="233">
        <f t="shared" si="150"/>
        <v>187053.31</v>
      </c>
      <c r="BM183" s="233">
        <f t="shared" si="151"/>
        <v>69870.5</v>
      </c>
      <c r="BN183" s="233">
        <f t="shared" si="152"/>
        <v>49907.5</v>
      </c>
    </row>
    <row r="184" spans="1:66" s="198" customFormat="1" hidden="1" outlineLevel="1">
      <c r="A184" s="176" t="s">
        <v>648</v>
      </c>
      <c r="B184" s="176" t="s">
        <v>157</v>
      </c>
      <c r="C184" s="176"/>
      <c r="D184" s="176"/>
      <c r="E184" s="176"/>
      <c r="F184" s="176" t="s">
        <v>158</v>
      </c>
      <c r="G184" s="176">
        <f>_xlfn.XLOOKUP(AN184,[2]ySQL_0_24102024094604!$B:$B,[2]ySQL_0_24102024094604!$D:$D,0)</f>
        <v>0</v>
      </c>
      <c r="H184" s="176" t="s">
        <v>649</v>
      </c>
      <c r="I184" s="177">
        <v>36</v>
      </c>
      <c r="J184" s="178">
        <v>22743</v>
      </c>
      <c r="K184" s="178"/>
      <c r="L184" s="178"/>
      <c r="M184" s="178"/>
      <c r="N184" s="177">
        <v>2.5099999999999998</v>
      </c>
      <c r="O184" s="177">
        <v>2.67</v>
      </c>
      <c r="P184" s="177">
        <v>3.65</v>
      </c>
      <c r="Q184" s="177">
        <v>4.1500000000000004</v>
      </c>
      <c r="R184" s="177">
        <v>3.5</v>
      </c>
      <c r="S184" s="177">
        <v>2</v>
      </c>
      <c r="T184" s="179">
        <v>11.35</v>
      </c>
      <c r="U184" s="177">
        <v>12.84</v>
      </c>
      <c r="V184" s="177">
        <v>0</v>
      </c>
      <c r="W184" s="177">
        <v>0</v>
      </c>
      <c r="X184" s="180">
        <v>10394.18</v>
      </c>
      <c r="Y184" s="180">
        <f>Z184/J184</f>
        <v>1.0079426636767357</v>
      </c>
      <c r="Z184" s="180">
        <v>22923.64</v>
      </c>
      <c r="AA184" s="180">
        <v>0</v>
      </c>
      <c r="AB184" s="180">
        <v>0</v>
      </c>
      <c r="AC184" s="180">
        <v>33317.82</v>
      </c>
      <c r="AD184" s="181">
        <v>293176</v>
      </c>
      <c r="AE184" s="177" t="s">
        <v>147</v>
      </c>
      <c r="AF184" s="182">
        <v>45107</v>
      </c>
      <c r="AG184" s="177"/>
      <c r="AH184" s="177"/>
      <c r="AI184" s="183"/>
      <c r="AJ184" s="183"/>
      <c r="AK184" s="177"/>
      <c r="AL184" s="177"/>
      <c r="AM184" s="177"/>
      <c r="AN184" s="177" t="s">
        <v>331</v>
      </c>
      <c r="AO184" s="177"/>
      <c r="AP184" s="183"/>
      <c r="AQ184" s="183"/>
      <c r="AR184" s="177" t="str">
        <f t="shared" si="132"/>
        <v>Renewal</v>
      </c>
      <c r="AS184" s="182" t="str">
        <f t="shared" si="133"/>
        <v>Q2 2023</v>
      </c>
      <c r="AT184" s="182" t="str">
        <f t="shared" si="134"/>
        <v>1H2023</v>
      </c>
      <c r="AU184" s="184" t="str">
        <f t="shared" si="135"/>
        <v>20-50K</v>
      </c>
      <c r="AV184" s="179">
        <f t="shared" si="136"/>
        <v>22743</v>
      </c>
      <c r="AW184" s="233">
        <f t="shared" si="137"/>
        <v>57084.929999999993</v>
      </c>
      <c r="AX184" s="233">
        <f t="shared" si="138"/>
        <v>60723.81</v>
      </c>
      <c r="AY184" s="198">
        <f t="shared" si="153"/>
        <v>83011.95</v>
      </c>
      <c r="AZ184" s="233">
        <f t="shared" si="156"/>
        <v>94383.450000000012</v>
      </c>
      <c r="BA184" s="233">
        <f t="shared" si="139"/>
        <v>94383.450000000012</v>
      </c>
      <c r="BB184" s="233">
        <f t="shared" si="140"/>
        <v>94383.450000000012</v>
      </c>
      <c r="BC184" s="233">
        <f t="shared" si="141"/>
        <v>0</v>
      </c>
      <c r="BD184" s="233">
        <f t="shared" si="142"/>
        <v>0</v>
      </c>
      <c r="BE184" s="233">
        <f t="shared" si="143"/>
        <v>0</v>
      </c>
      <c r="BF184" s="233">
        <f t="shared" si="144"/>
        <v>0</v>
      </c>
      <c r="BG184" s="233">
        <f t="shared" si="145"/>
        <v>0</v>
      </c>
      <c r="BH184" s="186" t="str">
        <f t="shared" si="146"/>
        <v/>
      </c>
      <c r="BI184" s="233">
        <f t="shared" si="147"/>
        <v>0</v>
      </c>
      <c r="BJ184" s="233">
        <f t="shared" si="148"/>
        <v>0</v>
      </c>
      <c r="BK184" s="233">
        <f t="shared" si="149"/>
        <v>258133.05</v>
      </c>
      <c r="BL184" s="233">
        <f t="shared" si="150"/>
        <v>292020.12</v>
      </c>
      <c r="BM184" s="233">
        <f t="shared" si="151"/>
        <v>79600.5</v>
      </c>
      <c r="BN184" s="233">
        <f t="shared" si="152"/>
        <v>45486</v>
      </c>
    </row>
    <row r="185" spans="1:66" s="198" customFormat="1" hidden="1" outlineLevel="1">
      <c r="A185" s="176" t="s">
        <v>650</v>
      </c>
      <c r="B185" s="176" t="s">
        <v>157</v>
      </c>
      <c r="C185" s="176"/>
      <c r="D185" s="176"/>
      <c r="E185" s="176"/>
      <c r="F185" s="176" t="s">
        <v>153</v>
      </c>
      <c r="G185" s="176">
        <f>_xlfn.XLOOKUP(AN185,[2]ySQL_0_24102024094604!$B:$B,[2]ySQL_0_24102024094604!$D:$D,0)</f>
        <v>0</v>
      </c>
      <c r="H185" s="176" t="s">
        <v>651</v>
      </c>
      <c r="I185" s="177">
        <v>60</v>
      </c>
      <c r="J185" s="194">
        <v>2730</v>
      </c>
      <c r="K185" s="194"/>
      <c r="L185" s="194"/>
      <c r="M185" s="194"/>
      <c r="N185" s="177">
        <v>4.41</v>
      </c>
      <c r="O185" s="177">
        <v>6.19</v>
      </c>
      <c r="P185" s="177">
        <v>8.15</v>
      </c>
      <c r="Q185" s="177">
        <v>6.26</v>
      </c>
      <c r="R185" s="177">
        <v>3.5</v>
      </c>
      <c r="S185" s="177">
        <v>3</v>
      </c>
      <c r="T185" s="179">
        <v>5.5543449108000003</v>
      </c>
      <c r="U185" s="177">
        <v>19.739999999999998</v>
      </c>
      <c r="V185" s="177">
        <v>0</v>
      </c>
      <c r="W185" s="177">
        <v>0</v>
      </c>
      <c r="X185" s="180">
        <v>6627</v>
      </c>
      <c r="Y185" s="180"/>
      <c r="Z185" s="180">
        <v>0</v>
      </c>
      <c r="AA185" s="180">
        <v>0</v>
      </c>
      <c r="AB185" s="180">
        <v>0</v>
      </c>
      <c r="AC185" s="180">
        <v>6627</v>
      </c>
      <c r="AD185" s="195">
        <v>91643</v>
      </c>
      <c r="AE185" s="177" t="s">
        <v>147</v>
      </c>
      <c r="AF185" s="182">
        <v>45047</v>
      </c>
      <c r="AG185" s="177"/>
      <c r="AH185" s="177"/>
      <c r="AI185" s="196"/>
      <c r="AJ185" s="196"/>
      <c r="AK185" s="177"/>
      <c r="AL185" s="177"/>
      <c r="AM185" s="177"/>
      <c r="AN185" s="177" t="s">
        <v>288</v>
      </c>
      <c r="AO185" s="177"/>
      <c r="AP185" s="196"/>
      <c r="AQ185" s="196"/>
      <c r="AR185" s="177" t="str">
        <f t="shared" si="132"/>
        <v>Renewal</v>
      </c>
      <c r="AS185" s="182" t="str">
        <f t="shared" si="133"/>
        <v>Q2 2023</v>
      </c>
      <c r="AT185" s="182" t="str">
        <f t="shared" si="134"/>
        <v>1H2023</v>
      </c>
      <c r="AU185" s="184" t="str">
        <f t="shared" si="135"/>
        <v>&lt; 20K</v>
      </c>
      <c r="AV185" s="179">
        <f t="shared" si="136"/>
        <v>2730</v>
      </c>
      <c r="AW185" s="233">
        <f t="shared" si="137"/>
        <v>12039.300000000001</v>
      </c>
      <c r="AX185" s="233">
        <f t="shared" si="138"/>
        <v>16898.7</v>
      </c>
      <c r="AY185" s="198">
        <f t="shared" si="153"/>
        <v>22249.5</v>
      </c>
      <c r="AZ185" s="233">
        <f t="shared" si="156"/>
        <v>17089.8</v>
      </c>
      <c r="BA185" s="233">
        <f t="shared" si="139"/>
        <v>17089.8</v>
      </c>
      <c r="BB185" s="233">
        <f t="shared" si="140"/>
        <v>17089.8</v>
      </c>
      <c r="BC185" s="233">
        <f t="shared" si="141"/>
        <v>0</v>
      </c>
      <c r="BD185" s="233">
        <f t="shared" si="142"/>
        <v>0</v>
      </c>
      <c r="BE185" s="233">
        <f t="shared" si="143"/>
        <v>0</v>
      </c>
      <c r="BF185" s="233">
        <f t="shared" si="144"/>
        <v>0</v>
      </c>
      <c r="BG185" s="233">
        <f t="shared" si="145"/>
        <v>0</v>
      </c>
      <c r="BH185" s="186" t="str">
        <f t="shared" si="146"/>
        <v/>
      </c>
      <c r="BI185" s="233">
        <f t="shared" si="147"/>
        <v>0</v>
      </c>
      <c r="BJ185" s="233">
        <f t="shared" si="148"/>
        <v>0</v>
      </c>
      <c r="BK185" s="233">
        <f t="shared" si="149"/>
        <v>15163.361606484001</v>
      </c>
      <c r="BL185" s="233">
        <f t="shared" si="150"/>
        <v>53890.2</v>
      </c>
      <c r="BM185" s="233">
        <f t="shared" si="151"/>
        <v>9555</v>
      </c>
      <c r="BN185" s="233">
        <f t="shared" si="152"/>
        <v>8190</v>
      </c>
    </row>
    <row r="186" spans="1:66" s="198" customFormat="1" hidden="1" outlineLevel="1">
      <c r="A186" s="176" t="s">
        <v>652</v>
      </c>
      <c r="B186" s="176" t="s">
        <v>143</v>
      </c>
      <c r="C186" s="176"/>
      <c r="D186" s="176"/>
      <c r="E186" s="176"/>
      <c r="F186" s="176" t="s">
        <v>153</v>
      </c>
      <c r="G186" s="176">
        <f>_xlfn.XLOOKUP(AN186,[2]ySQL_0_24102024094604!$B:$B,[2]ySQL_0_24102024094604!$D:$D,0)</f>
        <v>0</v>
      </c>
      <c r="H186" s="176" t="s">
        <v>653</v>
      </c>
      <c r="I186" s="177">
        <v>125</v>
      </c>
      <c r="J186" s="194">
        <v>58225</v>
      </c>
      <c r="K186" s="194"/>
      <c r="L186" s="194"/>
      <c r="M186" s="194"/>
      <c r="N186" s="177"/>
      <c r="O186" s="177">
        <v>9.58</v>
      </c>
      <c r="P186" s="177">
        <v>9.7100000000000009</v>
      </c>
      <c r="Q186" s="177">
        <v>10.1</v>
      </c>
      <c r="R186" s="177">
        <v>3.6</v>
      </c>
      <c r="S186" s="177">
        <v>3.5</v>
      </c>
      <c r="T186" s="179">
        <v>13.4435326772</v>
      </c>
      <c r="U186" s="177">
        <v>8.1310000000000002</v>
      </c>
      <c r="V186" s="177">
        <v>9</v>
      </c>
      <c r="W186" s="177">
        <f>2.5-$W$3</f>
        <v>1.5899999999999999</v>
      </c>
      <c r="X186" s="180">
        <v>476249.75</v>
      </c>
      <c r="Y186" s="180">
        <f>Z186/J186</f>
        <v>3</v>
      </c>
      <c r="Z186" s="180">
        <v>174675</v>
      </c>
      <c r="AA186" s="180">
        <v>89042</v>
      </c>
      <c r="AB186" s="180">
        <v>245030</v>
      </c>
      <c r="AC186" s="180">
        <v>984996.75</v>
      </c>
      <c r="AD186" s="195">
        <v>7326919</v>
      </c>
      <c r="AE186" s="177" t="s">
        <v>147</v>
      </c>
      <c r="AF186" s="182">
        <v>44991</v>
      </c>
      <c r="AG186" s="177">
        <v>9.8373182646751882</v>
      </c>
      <c r="AH186" s="177">
        <v>7.5809769094911204</v>
      </c>
      <c r="AI186" s="196">
        <v>2.6008092606000002</v>
      </c>
      <c r="AJ186" s="196">
        <v>24.940822678300002</v>
      </c>
      <c r="AK186" s="177"/>
      <c r="AL186" s="177"/>
      <c r="AM186" s="177"/>
      <c r="AN186" s="177" t="s">
        <v>441</v>
      </c>
      <c r="AO186" s="177"/>
      <c r="AP186" s="196">
        <f>AG186/O186-1</f>
        <v>2.6859944120583235E-2</v>
      </c>
      <c r="AQ186" s="196">
        <f>AH186/O186-1</f>
        <v>-0.20866629337253439</v>
      </c>
      <c r="AR186" s="177" t="str">
        <f t="shared" si="132"/>
        <v>New Lease</v>
      </c>
      <c r="AS186" s="182" t="str">
        <f t="shared" si="133"/>
        <v>Q1 2023</v>
      </c>
      <c r="AT186" s="182" t="str">
        <f t="shared" si="134"/>
        <v>1H2023</v>
      </c>
      <c r="AU186" s="184" t="str">
        <f t="shared" si="135"/>
        <v>50-100K</v>
      </c>
      <c r="AV186" s="179" t="str">
        <f t="shared" si="136"/>
        <v/>
      </c>
      <c r="AW186" s="233" t="str">
        <f t="shared" si="137"/>
        <v/>
      </c>
      <c r="AX186" s="233">
        <f t="shared" si="138"/>
        <v>557795.5</v>
      </c>
      <c r="AY186" s="198">
        <f t="shared" si="153"/>
        <v>565364.75</v>
      </c>
      <c r="AZ186" s="233" t="str">
        <f>IFERROR(Q186*AV186,"")</f>
        <v/>
      </c>
      <c r="BA186" s="233">
        <f t="shared" si="139"/>
        <v>588072.5</v>
      </c>
      <c r="BB186" s="233" t="str">
        <f t="shared" si="140"/>
        <v/>
      </c>
      <c r="BC186" s="233">
        <f t="shared" si="141"/>
        <v>572777.85596071288</v>
      </c>
      <c r="BD186" s="233">
        <f t="shared" si="142"/>
        <v>441402.38055512047</v>
      </c>
      <c r="BE186" s="233">
        <f t="shared" si="143"/>
        <v>524025</v>
      </c>
      <c r="BF186" s="233">
        <f t="shared" si="144"/>
        <v>58225</v>
      </c>
      <c r="BG186" s="233">
        <f t="shared" si="145"/>
        <v>92577.749999999985</v>
      </c>
      <c r="BH186" s="186">
        <f t="shared" si="146"/>
        <v>588072.5</v>
      </c>
      <c r="BI186" s="233">
        <f t="shared" si="147"/>
        <v>4.999995748823487</v>
      </c>
      <c r="BJ186" s="233">
        <f t="shared" si="148"/>
        <v>2940360</v>
      </c>
      <c r="BK186" s="233">
        <f t="shared" si="149"/>
        <v>782749.69012996997</v>
      </c>
      <c r="BL186" s="233">
        <f t="shared" si="150"/>
        <v>473427.47500000003</v>
      </c>
      <c r="BM186" s="233">
        <f t="shared" si="151"/>
        <v>209610</v>
      </c>
      <c r="BN186" s="233">
        <f t="shared" si="152"/>
        <v>203787.5</v>
      </c>
    </row>
    <row r="187" spans="1:66" s="198" customFormat="1" hidden="1" outlineLevel="1">
      <c r="A187" s="176" t="s">
        <v>654</v>
      </c>
      <c r="B187" s="176" t="s">
        <v>592</v>
      </c>
      <c r="C187" s="176"/>
      <c r="D187" s="176"/>
      <c r="E187" s="176"/>
      <c r="F187" s="176" t="s">
        <v>244</v>
      </c>
      <c r="G187" s="176">
        <f>_xlfn.XLOOKUP(AN187,[2]ySQL_0_24102024094604!$B:$B,[2]ySQL_0_24102024094604!$D:$D,0)</f>
        <v>0</v>
      </c>
      <c r="H187" s="176" t="s">
        <v>655</v>
      </c>
      <c r="I187" s="177">
        <v>120</v>
      </c>
      <c r="J187" s="194">
        <v>182500</v>
      </c>
      <c r="K187" s="194"/>
      <c r="L187" s="194"/>
      <c r="M187" s="194"/>
      <c r="N187" s="177">
        <v>5.04</v>
      </c>
      <c r="O187" s="177">
        <v>5.64</v>
      </c>
      <c r="P187" s="177">
        <v>5.04</v>
      </c>
      <c r="Q187" s="177">
        <v>6.65</v>
      </c>
      <c r="R187" s="179">
        <v>3.5</v>
      </c>
      <c r="S187" s="179">
        <v>3</v>
      </c>
      <c r="T187" s="179">
        <v>12.388378232999999</v>
      </c>
      <c r="U187" s="197">
        <v>4.8</v>
      </c>
      <c r="V187" s="177">
        <v>0</v>
      </c>
      <c r="W187" s="177">
        <v>0</v>
      </c>
      <c r="X187" s="180">
        <v>410496.84</v>
      </c>
      <c r="Y187" s="180"/>
      <c r="Z187" s="180">
        <v>0</v>
      </c>
      <c r="AA187" s="180">
        <v>1200000</v>
      </c>
      <c r="AB187" s="180">
        <v>153300</v>
      </c>
      <c r="AC187" s="180">
        <v>1763796.84</v>
      </c>
      <c r="AD187" s="195">
        <v>14237512.02</v>
      </c>
      <c r="AE187" s="177" t="s">
        <v>147</v>
      </c>
      <c r="AF187" s="182">
        <v>44840</v>
      </c>
      <c r="AG187" s="197">
        <v>9.7077974193257734</v>
      </c>
      <c r="AH187" s="197">
        <v>8.4285609508185253</v>
      </c>
      <c r="AI187" s="196">
        <f>AG187/Q187-1</f>
        <v>0.45981916080086815</v>
      </c>
      <c r="AJ187" s="196">
        <f>AH187/Q187-1</f>
        <v>0.2674527745591766</v>
      </c>
      <c r="AK187" s="177">
        <v>6.7</v>
      </c>
      <c r="AL187" s="177"/>
      <c r="AM187" s="177"/>
      <c r="AN187" s="177" t="s">
        <v>656</v>
      </c>
      <c r="AO187" s="177"/>
      <c r="AP187" s="196">
        <f>AG187/O187-1</f>
        <v>0.72124067718542095</v>
      </c>
      <c r="AQ187" s="196">
        <f>AH187/O187-1</f>
        <v>0.49442570049973855</v>
      </c>
      <c r="AR187" s="177" t="str">
        <f t="shared" si="132"/>
        <v>Renewal</v>
      </c>
      <c r="AS187" s="182" t="str">
        <f t="shared" si="133"/>
        <v>Q4 2022</v>
      </c>
      <c r="AT187" s="182" t="str">
        <f t="shared" si="134"/>
        <v>2H2022</v>
      </c>
      <c r="AU187" s="184" t="str">
        <f t="shared" si="135"/>
        <v>&gt;100K</v>
      </c>
      <c r="AV187" s="179">
        <f t="shared" si="136"/>
        <v>182500</v>
      </c>
      <c r="AW187" s="233">
        <f t="shared" si="137"/>
        <v>919800</v>
      </c>
      <c r="AX187" s="233">
        <f t="shared" si="138"/>
        <v>1029299.9999999999</v>
      </c>
      <c r="AY187" s="233">
        <f>J187*P187</f>
        <v>919800</v>
      </c>
      <c r="AZ187" s="233">
        <f>Q187*AV187</f>
        <v>1213625</v>
      </c>
      <c r="BA187" s="233">
        <f t="shared" si="139"/>
        <v>1213625</v>
      </c>
      <c r="BB187" s="233">
        <f t="shared" si="140"/>
        <v>1213625</v>
      </c>
      <c r="BC187" s="233">
        <f t="shared" si="141"/>
        <v>1771673.0290269537</v>
      </c>
      <c r="BD187" s="233">
        <f t="shared" si="142"/>
        <v>1538212.3735243808</v>
      </c>
      <c r="BE187" s="233">
        <f t="shared" si="143"/>
        <v>0</v>
      </c>
      <c r="BF187" s="233">
        <f t="shared" si="144"/>
        <v>0</v>
      </c>
      <c r="BG187" s="233">
        <f t="shared" si="145"/>
        <v>0</v>
      </c>
      <c r="BH187" s="186">
        <f t="shared" si="146"/>
        <v>1213625</v>
      </c>
      <c r="BI187" s="233">
        <f t="shared" si="147"/>
        <v>1.5157894736842104</v>
      </c>
      <c r="BJ187" s="233">
        <f t="shared" si="148"/>
        <v>1839599.9999999998</v>
      </c>
      <c r="BK187" s="233">
        <f t="shared" si="149"/>
        <v>2260879.0275224997</v>
      </c>
      <c r="BL187" s="233">
        <f t="shared" si="150"/>
        <v>876000</v>
      </c>
      <c r="BM187" s="233">
        <f t="shared" si="151"/>
        <v>638750</v>
      </c>
      <c r="BN187" s="233">
        <f t="shared" si="152"/>
        <v>547500</v>
      </c>
    </row>
    <row r="188" spans="1:66" s="198" customFormat="1" hidden="1" outlineLevel="1">
      <c r="A188" s="176" t="s">
        <v>657</v>
      </c>
      <c r="B188" s="176" t="s">
        <v>143</v>
      </c>
      <c r="C188" s="176"/>
      <c r="D188" s="176"/>
      <c r="E188" s="176"/>
      <c r="F188" s="176" t="s">
        <v>214</v>
      </c>
      <c r="G188" s="176">
        <f>_xlfn.XLOOKUP(AN188,[2]ySQL_0_24102024094604!$B:$B,[2]ySQL_0_24102024094604!$D:$D,0)</f>
        <v>0</v>
      </c>
      <c r="H188" s="176" t="s">
        <v>658</v>
      </c>
      <c r="I188" s="177">
        <v>61</v>
      </c>
      <c r="J188" s="194">
        <v>6330</v>
      </c>
      <c r="K188" s="194"/>
      <c r="L188" s="194"/>
      <c r="M188" s="194"/>
      <c r="N188" s="177">
        <v>6.6</v>
      </c>
      <c r="O188" s="177">
        <v>6.7</v>
      </c>
      <c r="P188" s="177" t="s">
        <v>167</v>
      </c>
      <c r="Q188" s="177">
        <v>8</v>
      </c>
      <c r="R188" s="177">
        <v>3.5</v>
      </c>
      <c r="S188" s="177">
        <v>3</v>
      </c>
      <c r="T188" s="179">
        <v>21.472976207599999</v>
      </c>
      <c r="U188" s="177">
        <v>16.34</v>
      </c>
      <c r="V188" s="177">
        <v>9</v>
      </c>
      <c r="W188" s="177">
        <f>9-$W$3</f>
        <v>8.09</v>
      </c>
      <c r="X188" s="180">
        <v>19008.990000000002</v>
      </c>
      <c r="Y188" s="180">
        <f>Z188/J188</f>
        <v>5.4632511848341228</v>
      </c>
      <c r="Z188" s="180">
        <v>34582.379999999997</v>
      </c>
      <c r="AA188" s="180">
        <v>500</v>
      </c>
      <c r="AB188" s="180">
        <v>4220</v>
      </c>
      <c r="AC188" s="180">
        <v>58311.37</v>
      </c>
      <c r="AD188" s="195">
        <v>271557</v>
      </c>
      <c r="AE188" s="177" t="s">
        <v>147</v>
      </c>
      <c r="AF188" s="182">
        <v>44670</v>
      </c>
      <c r="AG188" s="177">
        <v>7.625539914073765</v>
      </c>
      <c r="AH188" s="177">
        <v>6.9360616723804958</v>
      </c>
      <c r="AI188" s="196">
        <f>AG188/Q188-1</f>
        <v>-4.6807510740779379E-2</v>
      </c>
      <c r="AJ188" s="196">
        <f>AH188/Q188-1</f>
        <v>-0.13299229095243803</v>
      </c>
      <c r="AK188" s="177"/>
      <c r="AL188" s="177"/>
      <c r="AM188" s="177"/>
      <c r="AN188" s="177" t="s">
        <v>638</v>
      </c>
      <c r="AO188" s="177"/>
      <c r="AP188" s="196">
        <f>AG188/O188-1</f>
        <v>0.13814028568265146</v>
      </c>
      <c r="AQ188" s="196">
        <f>AH188/O188-1</f>
        <v>3.523308542992476E-2</v>
      </c>
      <c r="AR188" s="177" t="str">
        <f t="shared" si="132"/>
        <v>New Lease</v>
      </c>
      <c r="AS188" s="182" t="str">
        <f t="shared" si="133"/>
        <v>Q2 2022</v>
      </c>
      <c r="AT188" s="182" t="str">
        <f t="shared" si="134"/>
        <v>1H2022</v>
      </c>
      <c r="AU188" s="184" t="str">
        <f t="shared" si="135"/>
        <v>&lt; 20K</v>
      </c>
      <c r="AV188" s="179">
        <f t="shared" si="136"/>
        <v>6330</v>
      </c>
      <c r="AW188" s="233">
        <f t="shared" si="137"/>
        <v>41778</v>
      </c>
      <c r="AX188" s="233">
        <f t="shared" si="138"/>
        <v>42411</v>
      </c>
      <c r="AY188" s="198" t="str">
        <f t="shared" ref="AY188:AY196" si="157">IF(P188="","",J188*P188)</f>
        <v/>
      </c>
      <c r="AZ188" s="233">
        <f>Q188*AV188</f>
        <v>50640</v>
      </c>
      <c r="BA188" s="233">
        <f t="shared" si="139"/>
        <v>50640</v>
      </c>
      <c r="BB188" s="233">
        <f t="shared" si="140"/>
        <v>50640</v>
      </c>
      <c r="BC188" s="233">
        <f t="shared" si="141"/>
        <v>48269.667656086931</v>
      </c>
      <c r="BD188" s="233">
        <f t="shared" si="142"/>
        <v>43905.270386168537</v>
      </c>
      <c r="BE188" s="233">
        <f t="shared" si="143"/>
        <v>56970</v>
      </c>
      <c r="BF188" s="233">
        <f t="shared" si="144"/>
        <v>6330</v>
      </c>
      <c r="BG188" s="233">
        <f t="shared" si="145"/>
        <v>51209.7</v>
      </c>
      <c r="BH188" s="186">
        <f t="shared" si="146"/>
        <v>50640</v>
      </c>
      <c r="BI188" s="233">
        <f t="shared" si="147"/>
        <v>1</v>
      </c>
      <c r="BJ188" s="233">
        <f t="shared" si="148"/>
        <v>50640</v>
      </c>
      <c r="BK188" s="233">
        <f t="shared" si="149"/>
        <v>135923.93939410799</v>
      </c>
      <c r="BL188" s="233">
        <f t="shared" si="150"/>
        <v>103432.2</v>
      </c>
      <c r="BM188" s="233">
        <f t="shared" si="151"/>
        <v>22155</v>
      </c>
      <c r="BN188" s="233">
        <f t="shared" si="152"/>
        <v>18990</v>
      </c>
    </row>
    <row r="189" spans="1:66" s="198" customFormat="1" hidden="1" outlineLevel="1">
      <c r="A189" s="186" t="s">
        <v>659</v>
      </c>
      <c r="B189" s="176" t="s">
        <v>143</v>
      </c>
      <c r="C189" s="176"/>
      <c r="D189" s="176"/>
      <c r="E189" s="176"/>
      <c r="F189" s="176" t="s">
        <v>207</v>
      </c>
      <c r="G189" s="176">
        <f>_xlfn.XLOOKUP(AN189,[2]ySQL_0_24102024094604!$B:$B,[2]ySQL_0_24102024094604!$D:$D,0)</f>
        <v>0</v>
      </c>
      <c r="H189" s="176" t="s">
        <v>660</v>
      </c>
      <c r="I189" s="177">
        <v>124</v>
      </c>
      <c r="J189" s="178">
        <v>16013</v>
      </c>
      <c r="K189" s="178">
        <f>_xlfn.XLOOKUP(AN189,'[3]Main Data Table'!$B:$B,'[3]Main Data Table'!$AB:$AB,0)</f>
        <v>5384938.6699999999</v>
      </c>
      <c r="L189" s="178">
        <v>47078</v>
      </c>
      <c r="M189" s="190">
        <f>Q189/(K189/L189)</f>
        <v>8.9610955587726318E-2</v>
      </c>
      <c r="N189" s="177">
        <v>6.5</v>
      </c>
      <c r="O189" s="177">
        <v>6.88</v>
      </c>
      <c r="P189" s="177">
        <v>10.5</v>
      </c>
      <c r="Q189" s="177">
        <v>10.25</v>
      </c>
      <c r="R189" s="177">
        <v>3</v>
      </c>
      <c r="S189" s="177">
        <v>4</v>
      </c>
      <c r="T189" s="179">
        <f>AC189/AD189*100</f>
        <v>17.171993181238076</v>
      </c>
      <c r="U189" s="185"/>
      <c r="V189" s="177">
        <v>10</v>
      </c>
      <c r="W189" s="177">
        <v>4</v>
      </c>
      <c r="X189" s="180">
        <f>37871.63+75743.25</f>
        <v>113614.88</v>
      </c>
      <c r="Y189" s="180"/>
      <c r="Z189" s="180">
        <v>150000</v>
      </c>
      <c r="AA189" s="180"/>
      <c r="AB189" s="187">
        <v>61550.77</v>
      </c>
      <c r="AC189" s="180">
        <f>SUM(X189:AB189)</f>
        <v>325165.65000000002</v>
      </c>
      <c r="AD189" s="187">
        <v>1893581.29</v>
      </c>
      <c r="AE189" s="177" t="s">
        <v>161</v>
      </c>
      <c r="AF189" s="182">
        <v>45427</v>
      </c>
      <c r="AG189" s="177"/>
      <c r="AH189" s="177"/>
      <c r="AI189" s="183"/>
      <c r="AJ189" s="183"/>
      <c r="AK189" s="177"/>
      <c r="AL189" s="177"/>
      <c r="AM189" s="177"/>
      <c r="AN189" s="177" t="s">
        <v>632</v>
      </c>
      <c r="AO189" s="177"/>
      <c r="AP189" s="183"/>
      <c r="AQ189" s="183"/>
      <c r="AR189" s="177" t="str">
        <f t="shared" si="132"/>
        <v>New Lease</v>
      </c>
      <c r="AS189" s="182" t="str">
        <f t="shared" si="133"/>
        <v>Q2 2024</v>
      </c>
      <c r="AT189" s="182" t="str">
        <f t="shared" si="134"/>
        <v>1H2024</v>
      </c>
      <c r="AU189" s="184" t="str">
        <f t="shared" si="135"/>
        <v>&lt; 20K</v>
      </c>
      <c r="AV189" s="179">
        <f t="shared" si="136"/>
        <v>16013</v>
      </c>
      <c r="AW189" s="233">
        <f t="shared" si="137"/>
        <v>104084.5</v>
      </c>
      <c r="AX189" s="233">
        <f t="shared" si="138"/>
        <v>110169.44</v>
      </c>
      <c r="AY189" s="198">
        <f t="shared" si="157"/>
        <v>168136.5</v>
      </c>
      <c r="AZ189" s="233">
        <f>IFERROR(Q189*AV189,"")</f>
        <v>164133.25</v>
      </c>
      <c r="BA189" s="233">
        <f t="shared" si="139"/>
        <v>164133.25</v>
      </c>
      <c r="BB189" s="233">
        <f t="shared" si="140"/>
        <v>164133.25</v>
      </c>
      <c r="BC189" s="233">
        <f t="shared" si="141"/>
        <v>0</v>
      </c>
      <c r="BD189" s="233">
        <f t="shared" si="142"/>
        <v>0</v>
      </c>
      <c r="BE189" s="233">
        <f t="shared" si="143"/>
        <v>160130</v>
      </c>
      <c r="BF189" s="233">
        <f t="shared" si="144"/>
        <v>16013</v>
      </c>
      <c r="BG189" s="233">
        <f t="shared" si="145"/>
        <v>64052</v>
      </c>
      <c r="BH189" s="186">
        <f t="shared" si="146"/>
        <v>164133.25</v>
      </c>
      <c r="BI189" s="233">
        <f t="shared" si="147"/>
        <v>4.5000585804521629</v>
      </c>
      <c r="BJ189" s="233">
        <f t="shared" si="148"/>
        <v>738609.24</v>
      </c>
      <c r="BK189" s="233">
        <f t="shared" si="149"/>
        <v>274975.1268111653</v>
      </c>
      <c r="BL189" s="233">
        <f t="shared" si="150"/>
        <v>0</v>
      </c>
      <c r="BM189" s="233">
        <f t="shared" si="151"/>
        <v>48039</v>
      </c>
      <c r="BN189" s="233">
        <f t="shared" si="152"/>
        <v>64052</v>
      </c>
    </row>
    <row r="190" spans="1:66" s="198" customFormat="1" hidden="1" outlineLevel="1">
      <c r="A190" s="186" t="s">
        <v>659</v>
      </c>
      <c r="B190" s="176" t="s">
        <v>143</v>
      </c>
      <c r="C190" s="176"/>
      <c r="D190" s="176"/>
      <c r="E190" s="176"/>
      <c r="F190" s="176" t="s">
        <v>207</v>
      </c>
      <c r="G190" s="176">
        <f>_xlfn.XLOOKUP(AN190,[2]ySQL_0_24102024094604!$B:$B,[2]ySQL_0_24102024094604!$D:$D,0)</f>
        <v>0</v>
      </c>
      <c r="H190" s="176" t="s">
        <v>661</v>
      </c>
      <c r="I190" s="177">
        <v>62</v>
      </c>
      <c r="J190" s="178">
        <v>9429</v>
      </c>
      <c r="K190" s="178">
        <f>_xlfn.XLOOKUP(AN190,'[3]Main Data Table'!$B:$B,'[3]Main Data Table'!$AB:$AB,0)</f>
        <v>5384938.6699999999</v>
      </c>
      <c r="L190" s="178">
        <v>47078</v>
      </c>
      <c r="M190" s="190">
        <f>Q190/(K190/L190)</f>
        <v>9.1796588650841587E-2</v>
      </c>
      <c r="N190" s="177">
        <v>7.7</v>
      </c>
      <c r="O190" s="177">
        <v>11.05</v>
      </c>
      <c r="P190" s="177">
        <v>11</v>
      </c>
      <c r="Q190" s="177">
        <v>10.5</v>
      </c>
      <c r="R190" s="177">
        <v>4</v>
      </c>
      <c r="S190" s="177">
        <v>4</v>
      </c>
      <c r="T190" s="179">
        <f>AC190/AD190*100</f>
        <v>22.157050565282091</v>
      </c>
      <c r="U190" s="185"/>
      <c r="V190" s="177">
        <v>10</v>
      </c>
      <c r="W190" s="177">
        <v>4</v>
      </c>
      <c r="X190" s="180">
        <f>10796.31+21592.62</f>
        <v>32388.93</v>
      </c>
      <c r="Y190" s="180"/>
      <c r="Z190" s="180">
        <v>70717.5</v>
      </c>
      <c r="AA190" s="180"/>
      <c r="AB190" s="187">
        <v>16500.75</v>
      </c>
      <c r="AC190" s="180">
        <f>SUM(X190:AB190)</f>
        <v>119607.18</v>
      </c>
      <c r="AD190" s="187">
        <v>539815.43999999994</v>
      </c>
      <c r="AE190" s="177" t="s">
        <v>161</v>
      </c>
      <c r="AF190" s="182">
        <v>45450</v>
      </c>
      <c r="AG190" s="177"/>
      <c r="AH190" s="177"/>
      <c r="AI190" s="183"/>
      <c r="AJ190" s="183"/>
      <c r="AK190" s="177"/>
      <c r="AL190" s="177"/>
      <c r="AM190" s="177"/>
      <c r="AN190" s="177" t="s">
        <v>632</v>
      </c>
      <c r="AO190" s="177"/>
      <c r="AP190" s="183"/>
      <c r="AQ190" s="183"/>
      <c r="AR190" s="177" t="str">
        <f t="shared" si="132"/>
        <v>New Lease</v>
      </c>
      <c r="AS190" s="182" t="str">
        <f t="shared" si="133"/>
        <v>Q2 2024</v>
      </c>
      <c r="AT190" s="182" t="str">
        <f t="shared" si="134"/>
        <v>1H2024</v>
      </c>
      <c r="AU190" s="184" t="str">
        <f t="shared" si="135"/>
        <v>&lt; 20K</v>
      </c>
      <c r="AV190" s="179">
        <f t="shared" si="136"/>
        <v>9429</v>
      </c>
      <c r="AW190" s="233">
        <f t="shared" si="137"/>
        <v>72603.3</v>
      </c>
      <c r="AX190" s="233">
        <f t="shared" si="138"/>
        <v>104190.45000000001</v>
      </c>
      <c r="AY190" s="198">
        <f t="shared" si="157"/>
        <v>103719</v>
      </c>
      <c r="AZ190" s="233">
        <f>IFERROR(Q190*AV190,"")</f>
        <v>99004.5</v>
      </c>
      <c r="BA190" s="233">
        <f t="shared" si="139"/>
        <v>99004.5</v>
      </c>
      <c r="BB190" s="233">
        <f t="shared" si="140"/>
        <v>99004.5</v>
      </c>
      <c r="BC190" s="233">
        <f t="shared" si="141"/>
        <v>0</v>
      </c>
      <c r="BD190" s="233">
        <f t="shared" si="142"/>
        <v>0</v>
      </c>
      <c r="BE190" s="233">
        <f t="shared" si="143"/>
        <v>94290</v>
      </c>
      <c r="BF190" s="233">
        <f t="shared" si="144"/>
        <v>9429</v>
      </c>
      <c r="BG190" s="233">
        <f t="shared" si="145"/>
        <v>37716</v>
      </c>
      <c r="BH190" s="186">
        <f t="shared" si="146"/>
        <v>99004.5</v>
      </c>
      <c r="BI190" s="233">
        <f t="shared" si="147"/>
        <v>2</v>
      </c>
      <c r="BJ190" s="233">
        <f t="shared" si="148"/>
        <v>198009</v>
      </c>
      <c r="BK190" s="233">
        <f t="shared" si="149"/>
        <v>208918.82978004485</v>
      </c>
      <c r="BL190" s="233">
        <f t="shared" si="150"/>
        <v>0</v>
      </c>
      <c r="BM190" s="233">
        <f t="shared" si="151"/>
        <v>37716</v>
      </c>
      <c r="BN190" s="233">
        <f t="shared" si="152"/>
        <v>37716</v>
      </c>
    </row>
    <row r="191" spans="1:66" s="198" customFormat="1" hidden="1" outlineLevel="1">
      <c r="A191" s="176" t="s">
        <v>662</v>
      </c>
      <c r="B191" s="176" t="s">
        <v>143</v>
      </c>
      <c r="C191" s="176"/>
      <c r="D191" s="176"/>
      <c r="E191" s="176"/>
      <c r="F191" s="176" t="s">
        <v>153</v>
      </c>
      <c r="G191" s="176">
        <f>_xlfn.XLOOKUP(AN191,[2]ySQL_0_24102024094604!$B:$B,[2]ySQL_0_24102024094604!$D:$D,0)</f>
        <v>0</v>
      </c>
      <c r="H191" s="176" t="s">
        <v>663</v>
      </c>
      <c r="I191" s="177">
        <v>60</v>
      </c>
      <c r="J191" s="194">
        <v>47532</v>
      </c>
      <c r="K191" s="194"/>
      <c r="L191" s="194"/>
      <c r="M191" s="194"/>
      <c r="N191" s="177"/>
      <c r="O191" s="177">
        <v>6.55</v>
      </c>
      <c r="P191" s="177" t="s">
        <v>167</v>
      </c>
      <c r="Q191" s="177">
        <v>6.6</v>
      </c>
      <c r="R191" s="177">
        <v>4.25</v>
      </c>
      <c r="S191" s="177">
        <v>3</v>
      </c>
      <c r="T191" s="179">
        <v>6.4999539707</v>
      </c>
      <c r="U191" s="177">
        <v>18</v>
      </c>
      <c r="V191" s="177">
        <v>10</v>
      </c>
      <c r="W191" s="177">
        <f>9-$W$3</f>
        <v>8.09</v>
      </c>
      <c r="X191" s="180">
        <v>137683</v>
      </c>
      <c r="Y191" s="180"/>
      <c r="Z191" s="180">
        <v>0</v>
      </c>
      <c r="AA191" s="180">
        <v>0</v>
      </c>
      <c r="AB191" s="180">
        <v>0</v>
      </c>
      <c r="AC191" s="180">
        <v>137683</v>
      </c>
      <c r="AD191" s="195">
        <v>2118215</v>
      </c>
      <c r="AE191" s="177" t="s">
        <v>147</v>
      </c>
      <c r="AF191" s="182">
        <v>44805</v>
      </c>
      <c r="AG191" s="177">
        <v>8.4471318189286855</v>
      </c>
      <c r="AH191" s="177">
        <v>7.2644700220423317</v>
      </c>
      <c r="AI191" s="196">
        <f>AG191/Q191-1</f>
        <v>0.27986845741343735</v>
      </c>
      <c r="AJ191" s="196">
        <f>AH191/Q191-1</f>
        <v>0.10067727606702004</v>
      </c>
      <c r="AK191" s="177">
        <v>7</v>
      </c>
      <c r="AL191" s="177"/>
      <c r="AM191" s="177"/>
      <c r="AN191" s="177" t="s">
        <v>664</v>
      </c>
      <c r="AO191" s="177"/>
      <c r="AP191" s="196">
        <f>AG191/O191-1</f>
        <v>0.28963844563796726</v>
      </c>
      <c r="AQ191" s="196">
        <f>AH191/O191-1</f>
        <v>0.10907939267821853</v>
      </c>
      <c r="AR191" s="177" t="str">
        <f t="shared" si="132"/>
        <v>New Lease</v>
      </c>
      <c r="AS191" s="182" t="str">
        <f t="shared" si="133"/>
        <v>Q3 2022</v>
      </c>
      <c r="AT191" s="182" t="str">
        <f t="shared" si="134"/>
        <v>2H2022</v>
      </c>
      <c r="AU191" s="184" t="str">
        <f t="shared" si="135"/>
        <v>20-50K</v>
      </c>
      <c r="AV191" s="179">
        <v>0</v>
      </c>
      <c r="AW191" s="233">
        <f t="shared" si="137"/>
        <v>0</v>
      </c>
      <c r="AX191" s="233">
        <f t="shared" si="138"/>
        <v>311334.59999999998</v>
      </c>
      <c r="AY191" s="198" t="str">
        <f t="shared" si="157"/>
        <v/>
      </c>
      <c r="AZ191" s="233">
        <f>Q191*AV191</f>
        <v>0</v>
      </c>
      <c r="BA191" s="233">
        <f t="shared" si="139"/>
        <v>313711.2</v>
      </c>
      <c r="BB191" s="233" t="str">
        <f t="shared" si="140"/>
        <v/>
      </c>
      <c r="BC191" s="233">
        <f t="shared" si="141"/>
        <v>401509.06961731828</v>
      </c>
      <c r="BD191" s="233">
        <f t="shared" si="142"/>
        <v>345294.78908771608</v>
      </c>
      <c r="BE191" s="233">
        <f t="shared" si="143"/>
        <v>475320</v>
      </c>
      <c r="BF191" s="233">
        <f t="shared" si="144"/>
        <v>47532</v>
      </c>
      <c r="BG191" s="233">
        <f t="shared" si="145"/>
        <v>384533.88</v>
      </c>
      <c r="BH191" s="186" t="str">
        <f t="shared" si="146"/>
        <v/>
      </c>
      <c r="BI191" s="233">
        <f t="shared" si="147"/>
        <v>0</v>
      </c>
      <c r="BJ191" s="233">
        <f t="shared" si="148"/>
        <v>0</v>
      </c>
      <c r="BK191" s="233">
        <f t="shared" si="149"/>
        <v>308955.81213531242</v>
      </c>
      <c r="BL191" s="233">
        <f t="shared" si="150"/>
        <v>855576</v>
      </c>
      <c r="BM191" s="233">
        <f t="shared" si="151"/>
        <v>202011</v>
      </c>
      <c r="BN191" s="233">
        <f t="shared" si="152"/>
        <v>142596</v>
      </c>
    </row>
    <row r="192" spans="1:66" s="198" customFormat="1" hidden="1" outlineLevel="1">
      <c r="A192" s="176" t="s">
        <v>665</v>
      </c>
      <c r="B192" s="176" t="s">
        <v>592</v>
      </c>
      <c r="C192" s="176"/>
      <c r="D192" s="176"/>
      <c r="E192" s="176"/>
      <c r="F192" s="176" t="s">
        <v>144</v>
      </c>
      <c r="G192" s="176">
        <f>_xlfn.XLOOKUP(AN192,[2]ySQL_0_24102024094604!$B:$B,[2]ySQL_0_24102024094604!$D:$D,0)</f>
        <v>0</v>
      </c>
      <c r="H192" s="176" t="s">
        <v>666</v>
      </c>
      <c r="I192" s="177">
        <v>24</v>
      </c>
      <c r="J192" s="194">
        <v>22001</v>
      </c>
      <c r="K192" s="194"/>
      <c r="L192" s="194"/>
      <c r="M192" s="194"/>
      <c r="N192" s="177">
        <v>7.16</v>
      </c>
      <c r="O192" s="177">
        <v>6.75</v>
      </c>
      <c r="P192" s="177" t="s">
        <v>167</v>
      </c>
      <c r="Q192" s="177">
        <v>7.38</v>
      </c>
      <c r="R192" s="177">
        <v>3</v>
      </c>
      <c r="S192" s="177">
        <v>3</v>
      </c>
      <c r="T192" s="179">
        <v>2.9999992718000001</v>
      </c>
      <c r="U192" s="177">
        <v>21</v>
      </c>
      <c r="V192" s="177">
        <v>0</v>
      </c>
      <c r="W192" s="177">
        <v>0</v>
      </c>
      <c r="X192" s="180">
        <v>9887.25</v>
      </c>
      <c r="Y192" s="180"/>
      <c r="Z192" s="180">
        <v>0</v>
      </c>
      <c r="AA192" s="180">
        <v>0</v>
      </c>
      <c r="AB192" s="180">
        <v>0</v>
      </c>
      <c r="AC192" s="180">
        <v>9887.25</v>
      </c>
      <c r="AD192" s="195">
        <v>329575.08</v>
      </c>
      <c r="AE192" s="177" t="s">
        <v>147</v>
      </c>
      <c r="AF192" s="182">
        <v>44715</v>
      </c>
      <c r="AG192" s="177">
        <v>8.3945498103066623</v>
      </c>
      <c r="AH192" s="177">
        <v>8.2891439222083925</v>
      </c>
      <c r="AI192" s="196">
        <f>AG192/Q192-1</f>
        <v>0.13747287402529307</v>
      </c>
      <c r="AJ192" s="196">
        <f>AH192/Q192-1</f>
        <v>0.12319023336157087</v>
      </c>
      <c r="AK192" s="177"/>
      <c r="AL192" s="177"/>
      <c r="AM192" s="177"/>
      <c r="AN192" s="177" t="s">
        <v>425</v>
      </c>
      <c r="AO192" s="177"/>
      <c r="AP192" s="196">
        <f>AG192/O192-1</f>
        <v>0.24363700893432028</v>
      </c>
      <c r="AQ192" s="196">
        <f>AH192/O192-1</f>
        <v>0.22802132180865065</v>
      </c>
      <c r="AR192" s="177" t="str">
        <f t="shared" si="132"/>
        <v>Renewal</v>
      </c>
      <c r="AS192" s="182" t="str">
        <f t="shared" si="133"/>
        <v>Q2 2022</v>
      </c>
      <c r="AT192" s="182" t="str">
        <f t="shared" si="134"/>
        <v>1H2022</v>
      </c>
      <c r="AU192" s="184" t="str">
        <f t="shared" si="135"/>
        <v>20-50K</v>
      </c>
      <c r="AV192" s="179">
        <f>IF(N192="","",J192)</f>
        <v>22001</v>
      </c>
      <c r="AW192" s="233">
        <f t="shared" si="137"/>
        <v>157527.16</v>
      </c>
      <c r="AX192" s="233">
        <f t="shared" si="138"/>
        <v>148506.75</v>
      </c>
      <c r="AY192" s="198" t="str">
        <f t="shared" si="157"/>
        <v/>
      </c>
      <c r="AZ192" s="233">
        <f>Q192*AV192</f>
        <v>162367.38</v>
      </c>
      <c r="BA192" s="233">
        <f t="shared" si="139"/>
        <v>162367.38</v>
      </c>
      <c r="BB192" s="233">
        <f t="shared" si="140"/>
        <v>162367.38</v>
      </c>
      <c r="BC192" s="233"/>
      <c r="BD192" s="233">
        <f t="shared" si="142"/>
        <v>182369.45543250683</v>
      </c>
      <c r="BE192" s="233">
        <f t="shared" si="143"/>
        <v>0</v>
      </c>
      <c r="BF192" s="233">
        <f t="shared" si="144"/>
        <v>0</v>
      </c>
      <c r="BG192" s="233">
        <f t="shared" si="145"/>
        <v>0</v>
      </c>
      <c r="BH192" s="186" t="str">
        <f t="shared" si="146"/>
        <v/>
      </c>
      <c r="BI192" s="233">
        <f t="shared" si="147"/>
        <v>0</v>
      </c>
      <c r="BJ192" s="233">
        <f t="shared" si="148"/>
        <v>0</v>
      </c>
      <c r="BK192" s="233">
        <f t="shared" si="149"/>
        <v>66002.983978871809</v>
      </c>
      <c r="BL192" s="233">
        <f t="shared" si="150"/>
        <v>462021</v>
      </c>
      <c r="BM192" s="233">
        <f t="shared" si="151"/>
        <v>66003</v>
      </c>
      <c r="BN192" s="233">
        <f t="shared" si="152"/>
        <v>66003</v>
      </c>
    </row>
    <row r="193" spans="1:66" s="198" customFormat="1" hidden="1" outlineLevel="1">
      <c r="A193" s="176" t="s">
        <v>667</v>
      </c>
      <c r="B193" s="176" t="s">
        <v>592</v>
      </c>
      <c r="C193" s="176"/>
      <c r="D193" s="176"/>
      <c r="E193" s="176"/>
      <c r="F193" s="176" t="s">
        <v>144</v>
      </c>
      <c r="G193" s="176">
        <f>_xlfn.XLOOKUP(AN193,[2]ySQL_0_24102024094604!$B:$B,[2]ySQL_0_24102024094604!$D:$D,0)</f>
        <v>0</v>
      </c>
      <c r="H193" s="176" t="s">
        <v>668</v>
      </c>
      <c r="I193" s="177">
        <v>30</v>
      </c>
      <c r="J193" s="194">
        <v>78882</v>
      </c>
      <c r="K193" s="194"/>
      <c r="L193" s="194"/>
      <c r="M193" s="194"/>
      <c r="N193" s="177">
        <v>7.65</v>
      </c>
      <c r="O193" s="177">
        <v>6.89</v>
      </c>
      <c r="P193" s="177" t="s">
        <v>167</v>
      </c>
      <c r="Q193" s="177">
        <v>7.88</v>
      </c>
      <c r="R193" s="177">
        <v>3</v>
      </c>
      <c r="S193" s="177">
        <v>3</v>
      </c>
      <c r="T193" s="179">
        <v>0.64355655089999997</v>
      </c>
      <c r="U193" s="177">
        <v>17</v>
      </c>
      <c r="V193" s="177">
        <v>0</v>
      </c>
      <c r="W193" s="177">
        <v>0</v>
      </c>
      <c r="X193" s="180">
        <v>0</v>
      </c>
      <c r="Y193" s="180">
        <f>Z193/J193</f>
        <v>0.12677163357927029</v>
      </c>
      <c r="Z193" s="180">
        <v>10000</v>
      </c>
      <c r="AA193" s="180">
        <v>0</v>
      </c>
      <c r="AB193" s="180">
        <v>0</v>
      </c>
      <c r="AC193" s="180">
        <v>10000</v>
      </c>
      <c r="AD193" s="195">
        <v>1553865</v>
      </c>
      <c r="AE193" s="177" t="s">
        <v>147</v>
      </c>
      <c r="AF193" s="182">
        <v>44719</v>
      </c>
      <c r="AG193" s="177">
        <v>7.2533462488322265</v>
      </c>
      <c r="AH193" s="177">
        <v>6.7206602621075513</v>
      </c>
      <c r="AI193" s="196">
        <f>AG193/Q193-1</f>
        <v>-7.9524587711646388E-2</v>
      </c>
      <c r="AJ193" s="196">
        <f>AH193/Q193-1</f>
        <v>-0.14712433221985388</v>
      </c>
      <c r="AK193" s="177"/>
      <c r="AL193" s="177"/>
      <c r="AM193" s="177"/>
      <c r="AN193" s="177" t="s">
        <v>669</v>
      </c>
      <c r="AO193" s="177"/>
      <c r="AP193" s="196">
        <f>AG193/O193-1</f>
        <v>5.273530462006204E-2</v>
      </c>
      <c r="AQ193" s="196">
        <f>AH193/O193-1</f>
        <v>-2.4577610724593413E-2</v>
      </c>
      <c r="AR193" s="177" t="str">
        <f t="shared" si="132"/>
        <v>Renewal</v>
      </c>
      <c r="AS193" s="182" t="str">
        <f t="shared" si="133"/>
        <v>Q2 2022</v>
      </c>
      <c r="AT193" s="182" t="str">
        <f t="shared" si="134"/>
        <v>1H2022</v>
      </c>
      <c r="AU193" s="184" t="str">
        <f t="shared" si="135"/>
        <v>50-100K</v>
      </c>
      <c r="AV193" s="179">
        <f>IF(N193="","",J193)</f>
        <v>78882</v>
      </c>
      <c r="AW193" s="233">
        <f t="shared" si="137"/>
        <v>603447.30000000005</v>
      </c>
      <c r="AX193" s="233">
        <f t="shared" si="138"/>
        <v>543496.98</v>
      </c>
      <c r="AY193" s="198" t="str">
        <f t="shared" si="157"/>
        <v/>
      </c>
      <c r="AZ193" s="233">
        <f>Q193*AV193</f>
        <v>621590.16</v>
      </c>
      <c r="BA193" s="233">
        <f t="shared" si="139"/>
        <v>621590.16</v>
      </c>
      <c r="BB193" s="233">
        <f t="shared" si="140"/>
        <v>621590.16</v>
      </c>
      <c r="BC193" s="233">
        <f t="shared" ref="BC193:BC215" si="158">AG193*J193</f>
        <v>572158.45880038373</v>
      </c>
      <c r="BD193" s="233">
        <f t="shared" si="142"/>
        <v>530139.12279556785</v>
      </c>
      <c r="BE193" s="233">
        <f t="shared" si="143"/>
        <v>0</v>
      </c>
      <c r="BF193" s="233">
        <f t="shared" si="144"/>
        <v>0</v>
      </c>
      <c r="BG193" s="233">
        <f t="shared" si="145"/>
        <v>0</v>
      </c>
      <c r="BH193" s="186" t="str">
        <f t="shared" si="146"/>
        <v/>
      </c>
      <c r="BI193" s="233">
        <f t="shared" si="147"/>
        <v>0</v>
      </c>
      <c r="BJ193" s="233">
        <f t="shared" si="148"/>
        <v>0</v>
      </c>
      <c r="BK193" s="233">
        <f t="shared" si="149"/>
        <v>50765.0278480938</v>
      </c>
      <c r="BL193" s="233">
        <f t="shared" si="150"/>
        <v>1340994</v>
      </c>
      <c r="BM193" s="233">
        <f t="shared" si="151"/>
        <v>236646</v>
      </c>
      <c r="BN193" s="233">
        <f t="shared" si="152"/>
        <v>236646</v>
      </c>
    </row>
    <row r="194" spans="1:66" s="198" customFormat="1" hidden="1" outlineLevel="1">
      <c r="A194" s="176" t="s">
        <v>670</v>
      </c>
      <c r="B194" s="176" t="s">
        <v>592</v>
      </c>
      <c r="C194" s="176"/>
      <c r="D194" s="176"/>
      <c r="E194" s="176"/>
      <c r="F194" s="176" t="s">
        <v>144</v>
      </c>
      <c r="G194" s="176">
        <f>_xlfn.XLOOKUP(AN194,[2]ySQL_0_24102024094604!$B:$B,[2]ySQL_0_24102024094604!$D:$D,0)</f>
        <v>0</v>
      </c>
      <c r="H194" s="176" t="s">
        <v>668</v>
      </c>
      <c r="I194" s="177">
        <v>30</v>
      </c>
      <c r="J194" s="194">
        <v>26927</v>
      </c>
      <c r="K194" s="194"/>
      <c r="L194" s="194"/>
      <c r="M194" s="194"/>
      <c r="N194" s="177">
        <v>8.41</v>
      </c>
      <c r="O194" s="177">
        <v>5.83</v>
      </c>
      <c r="P194" s="177" t="s">
        <v>167</v>
      </c>
      <c r="Q194" s="177">
        <v>8.6669999999999998</v>
      </c>
      <c r="R194" s="177">
        <v>3</v>
      </c>
      <c r="S194" s="177">
        <v>3</v>
      </c>
      <c r="T194" s="179">
        <v>1.2854104880999999</v>
      </c>
      <c r="U194" s="177">
        <v>15</v>
      </c>
      <c r="V194" s="177">
        <v>0</v>
      </c>
      <c r="W194" s="177">
        <v>0</v>
      </c>
      <c r="X194" s="180">
        <v>0</v>
      </c>
      <c r="Y194" s="180">
        <f>Z194/J194</f>
        <v>0.27853084264864264</v>
      </c>
      <c r="Z194" s="180">
        <v>7500</v>
      </c>
      <c r="AA194" s="180">
        <v>0</v>
      </c>
      <c r="AB194" s="180">
        <v>0</v>
      </c>
      <c r="AC194" s="180">
        <v>7500</v>
      </c>
      <c r="AD194" s="195">
        <v>583471.19999999995</v>
      </c>
      <c r="AE194" s="177" t="s">
        <v>147</v>
      </c>
      <c r="AF194" s="182">
        <v>44719</v>
      </c>
      <c r="AG194" s="177">
        <v>8.0516575092834319</v>
      </c>
      <c r="AH194" s="177">
        <v>7.585498651128102</v>
      </c>
      <c r="AI194" s="196">
        <f>AG194/Q194-1</f>
        <v>-7.099832591629951E-2</v>
      </c>
      <c r="AJ194" s="196">
        <f>AH194/Q194-1</f>
        <v>-0.12478381779991898</v>
      </c>
      <c r="AK194" s="177"/>
      <c r="AL194" s="177"/>
      <c r="AM194" s="177"/>
      <c r="AN194" s="177" t="s">
        <v>671</v>
      </c>
      <c r="AO194" s="177"/>
      <c r="AP194" s="196">
        <f>AG194/O194-1</f>
        <v>0.38107332920813586</v>
      </c>
      <c r="AQ194" s="196">
        <f>AH194/O194-1</f>
        <v>0.30111469144564351</v>
      </c>
      <c r="AR194" s="177" t="str">
        <f t="shared" si="132"/>
        <v>Renewal</v>
      </c>
      <c r="AS194" s="182" t="str">
        <f t="shared" si="133"/>
        <v>Q2 2022</v>
      </c>
      <c r="AT194" s="182" t="str">
        <f t="shared" si="134"/>
        <v>1H2022</v>
      </c>
      <c r="AU194" s="184" t="str">
        <f t="shared" si="135"/>
        <v>20-50K</v>
      </c>
      <c r="AV194" s="179">
        <f>IF(N194="","",J194)</f>
        <v>26927</v>
      </c>
      <c r="AW194" s="233">
        <f t="shared" si="137"/>
        <v>226456.07</v>
      </c>
      <c r="AX194" s="233">
        <f t="shared" si="138"/>
        <v>156984.41</v>
      </c>
      <c r="AY194" s="198" t="str">
        <f t="shared" si="157"/>
        <v/>
      </c>
      <c r="AZ194" s="233">
        <f>Q194*AV194</f>
        <v>233376.30900000001</v>
      </c>
      <c r="BA194" s="233">
        <f t="shared" si="139"/>
        <v>233376.30900000001</v>
      </c>
      <c r="BB194" s="233">
        <f t="shared" si="140"/>
        <v>233376.30900000001</v>
      </c>
      <c r="BC194" s="233">
        <f t="shared" si="158"/>
        <v>216806.98175247497</v>
      </c>
      <c r="BD194" s="233">
        <f t="shared" si="142"/>
        <v>204254.7221789264</v>
      </c>
      <c r="BE194" s="233">
        <f t="shared" si="143"/>
        <v>0</v>
      </c>
      <c r="BF194" s="233">
        <f t="shared" si="144"/>
        <v>0</v>
      </c>
      <c r="BG194" s="233">
        <f t="shared" si="145"/>
        <v>0</v>
      </c>
      <c r="BH194" s="186" t="str">
        <f t="shared" si="146"/>
        <v/>
      </c>
      <c r="BI194" s="233">
        <f t="shared" si="147"/>
        <v>0</v>
      </c>
      <c r="BJ194" s="233">
        <f t="shared" si="148"/>
        <v>0</v>
      </c>
      <c r="BK194" s="233">
        <f t="shared" si="149"/>
        <v>34612.248213068699</v>
      </c>
      <c r="BL194" s="233">
        <f t="shared" si="150"/>
        <v>403905</v>
      </c>
      <c r="BM194" s="233">
        <f t="shared" si="151"/>
        <v>80781</v>
      </c>
      <c r="BN194" s="233">
        <f t="shared" si="152"/>
        <v>80781</v>
      </c>
    </row>
    <row r="195" spans="1:66" s="198" customFormat="1" hidden="1" outlineLevel="1">
      <c r="A195" s="176" t="s">
        <v>672</v>
      </c>
      <c r="B195" s="176" t="s">
        <v>157</v>
      </c>
      <c r="C195" s="176"/>
      <c r="D195" s="176"/>
      <c r="E195" s="176"/>
      <c r="F195" s="176" t="s">
        <v>144</v>
      </c>
      <c r="G195" s="176">
        <f>_xlfn.XLOOKUP(AN195,[2]ySQL_0_24102024094604!$B:$B,[2]ySQL_0_24102024094604!$D:$D,0)</f>
        <v>0</v>
      </c>
      <c r="H195" s="176" t="s">
        <v>424</v>
      </c>
      <c r="I195" s="177">
        <v>38</v>
      </c>
      <c r="J195" s="194">
        <v>30402</v>
      </c>
      <c r="K195" s="194"/>
      <c r="L195" s="194"/>
      <c r="M195" s="194"/>
      <c r="N195" s="177">
        <v>8.08</v>
      </c>
      <c r="O195" s="177">
        <v>7.16</v>
      </c>
      <c r="P195" s="177" t="s">
        <v>167</v>
      </c>
      <c r="Q195" s="177">
        <v>8.33</v>
      </c>
      <c r="R195" s="177">
        <v>3</v>
      </c>
      <c r="S195" s="177">
        <v>3</v>
      </c>
      <c r="T195" s="179">
        <v>2.9999996571000001</v>
      </c>
      <c r="U195" s="177">
        <v>21</v>
      </c>
      <c r="V195" s="177">
        <v>0</v>
      </c>
      <c r="W195" s="177">
        <v>0</v>
      </c>
      <c r="X195" s="180">
        <v>8749.7900000000009</v>
      </c>
      <c r="Y195" s="180"/>
      <c r="Z195" s="180">
        <v>0</v>
      </c>
      <c r="AA195" s="180">
        <v>0</v>
      </c>
      <c r="AB195" s="180">
        <v>0</v>
      </c>
      <c r="AC195" s="180">
        <v>8749.7900000000009</v>
      </c>
      <c r="AD195" s="195">
        <v>291659.7</v>
      </c>
      <c r="AE195" s="177" t="s">
        <v>147</v>
      </c>
      <c r="AF195" s="182">
        <v>44687</v>
      </c>
      <c r="AG195" s="177">
        <v>7.4992221528275378</v>
      </c>
      <c r="AH195" s="177">
        <v>7.9101029321333298</v>
      </c>
      <c r="AI195" s="196">
        <f>AG195/Q195-1</f>
        <v>-9.9733234954677341E-2</v>
      </c>
      <c r="AJ195" s="196">
        <f>AH195/Q195-1</f>
        <v>-5.0407811268507796E-2</v>
      </c>
      <c r="AK195" s="177"/>
      <c r="AL195" s="177"/>
      <c r="AM195" s="177"/>
      <c r="AN195" s="177" t="s">
        <v>425</v>
      </c>
      <c r="AO195" s="177"/>
      <c r="AP195" s="196">
        <f>AG195/O195-1</f>
        <v>4.7377395646304166E-2</v>
      </c>
      <c r="AQ195" s="196">
        <f>AH195/O195-1</f>
        <v>0.10476297934823031</v>
      </c>
      <c r="AR195" s="177" t="str">
        <f t="shared" si="132"/>
        <v>Renewal</v>
      </c>
      <c r="AS195" s="182" t="str">
        <f t="shared" si="133"/>
        <v>Q2 2022</v>
      </c>
      <c r="AT195" s="182" t="str">
        <f t="shared" si="134"/>
        <v>1H2022</v>
      </c>
      <c r="AU195" s="184" t="str">
        <f t="shared" si="135"/>
        <v>20-50K</v>
      </c>
      <c r="AV195" s="179">
        <f>IF(N195="","",J195)</f>
        <v>30402</v>
      </c>
      <c r="AW195" s="233">
        <f t="shared" si="137"/>
        <v>245648.16</v>
      </c>
      <c r="AX195" s="233">
        <f t="shared" si="138"/>
        <v>217678.32</v>
      </c>
      <c r="AY195" s="198" t="str">
        <f t="shared" si="157"/>
        <v/>
      </c>
      <c r="AZ195" s="233">
        <f>Q195*AV195</f>
        <v>253248.66</v>
      </c>
      <c r="BA195" s="233">
        <f t="shared" si="139"/>
        <v>253248.66</v>
      </c>
      <c r="BB195" s="233">
        <f t="shared" si="140"/>
        <v>253248.66</v>
      </c>
      <c r="BC195" s="233">
        <f t="shared" si="158"/>
        <v>227991.3518902628</v>
      </c>
      <c r="BD195" s="233">
        <f t="shared" si="142"/>
        <v>240482.9493427175</v>
      </c>
      <c r="BE195" s="233">
        <f t="shared" si="143"/>
        <v>0</v>
      </c>
      <c r="BF195" s="233">
        <f t="shared" si="144"/>
        <v>0</v>
      </c>
      <c r="BG195" s="233">
        <f t="shared" si="145"/>
        <v>0</v>
      </c>
      <c r="BH195" s="186" t="str">
        <f t="shared" si="146"/>
        <v/>
      </c>
      <c r="BI195" s="233">
        <f t="shared" si="147"/>
        <v>0</v>
      </c>
      <c r="BJ195" s="233">
        <f t="shared" si="148"/>
        <v>0</v>
      </c>
      <c r="BK195" s="233">
        <f t="shared" si="149"/>
        <v>91205.989575154206</v>
      </c>
      <c r="BL195" s="233">
        <f t="shared" si="150"/>
        <v>638442</v>
      </c>
      <c r="BM195" s="233">
        <f t="shared" si="151"/>
        <v>91206</v>
      </c>
      <c r="BN195" s="233">
        <f t="shared" si="152"/>
        <v>91206</v>
      </c>
    </row>
    <row r="196" spans="1:66" s="198" customFormat="1" hidden="1" outlineLevel="1">
      <c r="A196" s="176" t="s">
        <v>673</v>
      </c>
      <c r="B196" s="176" t="s">
        <v>143</v>
      </c>
      <c r="C196" s="176" t="s">
        <v>335</v>
      </c>
      <c r="D196" s="176" t="s">
        <v>335</v>
      </c>
      <c r="E196" s="176"/>
      <c r="F196" s="176" t="s">
        <v>474</v>
      </c>
      <c r="G196" s="176">
        <f>_xlfn.XLOOKUP(AN196,[2]ySQL_0_24102024094604!$B:$B,[2]ySQL_0_24102024094604!$D:$D,0)</f>
        <v>0</v>
      </c>
      <c r="H196" s="176" t="s">
        <v>674</v>
      </c>
      <c r="I196" s="177">
        <v>182</v>
      </c>
      <c r="J196" s="178">
        <v>32082</v>
      </c>
      <c r="K196" s="178"/>
      <c r="L196" s="178"/>
      <c r="M196" s="178"/>
      <c r="N196" s="177"/>
      <c r="O196" s="177">
        <v>13.58</v>
      </c>
      <c r="P196" s="177">
        <v>12.84</v>
      </c>
      <c r="Q196" s="177">
        <v>15</v>
      </c>
      <c r="R196" s="177">
        <v>3.5</v>
      </c>
      <c r="S196" s="177">
        <v>4</v>
      </c>
      <c r="T196" s="179">
        <v>5.4</v>
      </c>
      <c r="U196" s="177">
        <v>10.35</v>
      </c>
      <c r="V196" s="177">
        <v>13</v>
      </c>
      <c r="W196" s="177">
        <v>6</v>
      </c>
      <c r="X196" s="180">
        <f>135983.24+271966.48</f>
        <v>407949.72</v>
      </c>
      <c r="Y196" s="180"/>
      <c r="Z196" s="180">
        <v>0</v>
      </c>
      <c r="AA196" s="180">
        <v>0</v>
      </c>
      <c r="AB196" s="180">
        <v>93140.46</v>
      </c>
      <c r="AC196" s="180">
        <f>SUM(X196:AB196)</f>
        <v>501090.18</v>
      </c>
      <c r="AD196" s="181">
        <v>9259506.8399999999</v>
      </c>
      <c r="AE196" s="177" t="s">
        <v>161</v>
      </c>
      <c r="AF196" s="182">
        <v>45272</v>
      </c>
      <c r="AG196" s="177"/>
      <c r="AH196" s="177"/>
      <c r="AI196" s="183"/>
      <c r="AJ196" s="183"/>
      <c r="AK196" s="177"/>
      <c r="AL196" s="177"/>
      <c r="AM196" s="177"/>
      <c r="AN196" s="177"/>
      <c r="AO196" s="177"/>
      <c r="AP196" s="183"/>
      <c r="AQ196" s="183"/>
      <c r="AR196" s="177" t="str">
        <f t="shared" si="132"/>
        <v>New Lease</v>
      </c>
      <c r="AS196" s="182" t="str">
        <f t="shared" si="133"/>
        <v>Q4 2023</v>
      </c>
      <c r="AT196" s="182" t="str">
        <f t="shared" si="134"/>
        <v>2H2023</v>
      </c>
      <c r="AU196" s="184" t="str">
        <f t="shared" si="135"/>
        <v>20-50K</v>
      </c>
      <c r="AV196" s="179" t="str">
        <f>IF(N196="","",J196)</f>
        <v/>
      </c>
      <c r="AW196" s="233" t="str">
        <f t="shared" si="137"/>
        <v/>
      </c>
      <c r="AX196" s="233">
        <f t="shared" si="138"/>
        <v>435673.56</v>
      </c>
      <c r="AY196" s="198">
        <f t="shared" si="157"/>
        <v>411932.88</v>
      </c>
      <c r="AZ196" s="233" t="str">
        <f>IFERROR(Q196*AV196,"")</f>
        <v/>
      </c>
      <c r="BA196" s="233">
        <f t="shared" si="139"/>
        <v>481230</v>
      </c>
      <c r="BB196" s="233" t="str">
        <f t="shared" si="140"/>
        <v/>
      </c>
      <c r="BC196" s="233">
        <f t="shared" si="158"/>
        <v>0</v>
      </c>
      <c r="BD196" s="233">
        <f t="shared" si="142"/>
        <v>0</v>
      </c>
      <c r="BE196" s="233">
        <f t="shared" si="143"/>
        <v>417066</v>
      </c>
      <c r="BF196" s="233">
        <f t="shared" si="144"/>
        <v>32082</v>
      </c>
      <c r="BG196" s="233">
        <f t="shared" si="145"/>
        <v>192492</v>
      </c>
      <c r="BH196" s="186">
        <f t="shared" si="146"/>
        <v>481230</v>
      </c>
      <c r="BI196" s="233">
        <f t="shared" si="147"/>
        <v>2.322559940153357</v>
      </c>
      <c r="BJ196" s="233">
        <f t="shared" si="148"/>
        <v>1117685.52</v>
      </c>
      <c r="BK196" s="233">
        <f t="shared" si="149"/>
        <v>173242.80000000002</v>
      </c>
      <c r="BL196" s="233">
        <f t="shared" si="150"/>
        <v>332048.7</v>
      </c>
      <c r="BM196" s="233">
        <f t="shared" si="151"/>
        <v>112287</v>
      </c>
      <c r="BN196" s="233">
        <f t="shared" si="152"/>
        <v>128328</v>
      </c>
    </row>
    <row r="197" spans="1:66" s="198" customFormat="1" hidden="1" outlineLevel="1">
      <c r="A197" s="176" t="s">
        <v>675</v>
      </c>
      <c r="B197" s="176" t="s">
        <v>143</v>
      </c>
      <c r="C197" s="176"/>
      <c r="D197" s="176"/>
      <c r="E197" s="176"/>
      <c r="F197" s="176" t="s">
        <v>244</v>
      </c>
      <c r="G197" s="176">
        <f>_xlfn.XLOOKUP(AN197,[2]ySQL_0_24102024094604!$B:$B,[2]ySQL_0_24102024094604!$D:$D,0)</f>
        <v>0</v>
      </c>
      <c r="H197" s="176" t="s">
        <v>676</v>
      </c>
      <c r="I197" s="177">
        <v>60</v>
      </c>
      <c r="J197" s="194">
        <v>50545</v>
      </c>
      <c r="K197" s="194"/>
      <c r="L197" s="194"/>
      <c r="M197" s="194"/>
      <c r="N197" s="177"/>
      <c r="O197" s="177">
        <v>5.15</v>
      </c>
      <c r="P197" s="177">
        <v>6.5</v>
      </c>
      <c r="Q197" s="177">
        <v>6.4</v>
      </c>
      <c r="R197" s="179">
        <v>4</v>
      </c>
      <c r="S197" s="179">
        <v>3</v>
      </c>
      <c r="T197" s="179">
        <v>8.1956890288000004</v>
      </c>
      <c r="U197" s="197">
        <v>13.6</v>
      </c>
      <c r="V197" s="177">
        <v>14</v>
      </c>
      <c r="W197" s="177">
        <f>9-$W$3</f>
        <v>8.09</v>
      </c>
      <c r="X197" s="180">
        <v>118820</v>
      </c>
      <c r="Y197" s="180">
        <f>Z197/J197</f>
        <v>0.49460876446730634</v>
      </c>
      <c r="Z197" s="180">
        <v>25000</v>
      </c>
      <c r="AA197" s="180">
        <v>0</v>
      </c>
      <c r="AB197" s="180">
        <v>0</v>
      </c>
      <c r="AC197" s="180">
        <v>143820</v>
      </c>
      <c r="AD197" s="195">
        <v>1754825</v>
      </c>
      <c r="AE197" s="177" t="s">
        <v>147</v>
      </c>
      <c r="AF197" s="182">
        <v>44917</v>
      </c>
      <c r="AG197" s="197">
        <v>7.2723917804841163</v>
      </c>
      <c r="AH197" s="197">
        <v>6.0216770883136199</v>
      </c>
      <c r="AI197" s="196">
        <f>AG197/Q197-1</f>
        <v>0.1363112157006432</v>
      </c>
      <c r="AJ197" s="196">
        <f>AH197/Q197-1</f>
        <v>-5.9112954950996888E-2</v>
      </c>
      <c r="AK197" s="177">
        <v>8.5</v>
      </c>
      <c r="AL197" s="177"/>
      <c r="AM197" s="177"/>
      <c r="AN197" s="177" t="s">
        <v>558</v>
      </c>
      <c r="AO197" s="177"/>
      <c r="AP197" s="196">
        <f>AG197/O197-1</f>
        <v>0.41211490883186719</v>
      </c>
      <c r="AQ197" s="196">
        <f>AH197/O197-1</f>
        <v>0.16925768705118815</v>
      </c>
      <c r="AR197" s="177" t="str">
        <f t="shared" si="132"/>
        <v>New Lease</v>
      </c>
      <c r="AS197" s="182" t="str">
        <f t="shared" si="133"/>
        <v>Q4 2022</v>
      </c>
      <c r="AT197" s="182" t="str">
        <f t="shared" si="134"/>
        <v>2H2022</v>
      </c>
      <c r="AU197" s="184" t="str">
        <f t="shared" si="135"/>
        <v>50-100K</v>
      </c>
      <c r="AV197" s="179">
        <v>0</v>
      </c>
      <c r="AW197" s="233">
        <f t="shared" si="137"/>
        <v>0</v>
      </c>
      <c r="AX197" s="233">
        <f t="shared" si="138"/>
        <v>260306.75000000003</v>
      </c>
      <c r="AY197" s="233">
        <f>J197*P197</f>
        <v>328542.5</v>
      </c>
      <c r="AZ197" s="233">
        <f>Q197*AV197</f>
        <v>0</v>
      </c>
      <c r="BA197" s="233">
        <f t="shared" si="139"/>
        <v>323488</v>
      </c>
      <c r="BB197" s="233" t="str">
        <f t="shared" si="140"/>
        <v/>
      </c>
      <c r="BC197" s="233">
        <f t="shared" si="158"/>
        <v>367583.04254456965</v>
      </c>
      <c r="BD197" s="233">
        <f t="shared" si="142"/>
        <v>304365.66842881194</v>
      </c>
      <c r="BE197" s="233">
        <f t="shared" si="143"/>
        <v>707630</v>
      </c>
      <c r="BF197" s="233">
        <f t="shared" si="144"/>
        <v>50545</v>
      </c>
      <c r="BG197" s="233">
        <f t="shared" si="145"/>
        <v>408909.05</v>
      </c>
      <c r="BH197" s="186" t="str">
        <f t="shared" si="146"/>
        <v/>
      </c>
      <c r="BI197" s="233">
        <f t="shared" si="147"/>
        <v>0</v>
      </c>
      <c r="BJ197" s="233">
        <f t="shared" si="148"/>
        <v>0</v>
      </c>
      <c r="BK197" s="233">
        <f t="shared" si="149"/>
        <v>414251.10196069605</v>
      </c>
      <c r="BL197" s="233">
        <f t="shared" si="150"/>
        <v>687412</v>
      </c>
      <c r="BM197" s="233">
        <f t="shared" si="151"/>
        <v>202180</v>
      </c>
      <c r="BN197" s="233">
        <f t="shared" si="152"/>
        <v>151635</v>
      </c>
    </row>
    <row r="198" spans="1:66" s="198" customFormat="1" hidden="1" outlineLevel="1">
      <c r="A198" s="176" t="s">
        <v>677</v>
      </c>
      <c r="B198" s="176" t="s">
        <v>157</v>
      </c>
      <c r="C198" s="176"/>
      <c r="D198" s="176"/>
      <c r="E198" s="176"/>
      <c r="F198" s="176" t="s">
        <v>144</v>
      </c>
      <c r="G198" s="176">
        <f>_xlfn.XLOOKUP(AN198,[2]ySQL_0_24102024094604!$B:$B,[2]ySQL_0_24102024094604!$D:$D,0)</f>
        <v>0</v>
      </c>
      <c r="H198" s="176" t="s">
        <v>678</v>
      </c>
      <c r="I198" s="177">
        <v>25</v>
      </c>
      <c r="J198" s="194">
        <v>5850</v>
      </c>
      <c r="K198" s="194"/>
      <c r="L198" s="194"/>
      <c r="M198" s="194"/>
      <c r="N198" s="177">
        <v>7.72</v>
      </c>
      <c r="O198" s="177">
        <v>8.4</v>
      </c>
      <c r="P198" s="177">
        <v>8</v>
      </c>
      <c r="Q198" s="177">
        <v>9</v>
      </c>
      <c r="R198" s="177">
        <v>3</v>
      </c>
      <c r="S198" s="177">
        <v>3</v>
      </c>
      <c r="T198" s="179">
        <v>8.6045499839000001</v>
      </c>
      <c r="U198" s="177">
        <v>11.26</v>
      </c>
      <c r="V198" s="177">
        <v>0</v>
      </c>
      <c r="W198" s="177">
        <v>0</v>
      </c>
      <c r="X198" s="180">
        <v>4809</v>
      </c>
      <c r="Y198" s="180"/>
      <c r="Z198" s="180">
        <v>0</v>
      </c>
      <c r="AA198" s="180">
        <v>0</v>
      </c>
      <c r="AB198" s="180">
        <v>4387.5</v>
      </c>
      <c r="AC198" s="180">
        <v>9196.5</v>
      </c>
      <c r="AD198" s="195">
        <v>111471</v>
      </c>
      <c r="AE198" s="177" t="s">
        <v>147</v>
      </c>
      <c r="AF198" s="182">
        <v>45043</v>
      </c>
      <c r="AG198" s="177"/>
      <c r="AH198" s="177"/>
      <c r="AI198" s="196"/>
      <c r="AJ198" s="196"/>
      <c r="AK198" s="177"/>
      <c r="AL198" s="177"/>
      <c r="AM198" s="177"/>
      <c r="AN198" s="177" t="s">
        <v>679</v>
      </c>
      <c r="AO198" s="177"/>
      <c r="AP198" s="196"/>
      <c r="AQ198" s="196"/>
      <c r="AR198" s="177" t="str">
        <f t="shared" si="132"/>
        <v>Renewal</v>
      </c>
      <c r="AS198" s="182" t="str">
        <f t="shared" si="133"/>
        <v>Q2 2023</v>
      </c>
      <c r="AT198" s="182" t="str">
        <f t="shared" si="134"/>
        <v>1H2023</v>
      </c>
      <c r="AU198" s="184" t="str">
        <f t="shared" si="135"/>
        <v>&lt; 20K</v>
      </c>
      <c r="AV198" s="179">
        <f t="shared" ref="AV198:AV220" si="159">IF(N198="","",J198)</f>
        <v>5850</v>
      </c>
      <c r="AW198" s="233">
        <f t="shared" si="137"/>
        <v>45162</v>
      </c>
      <c r="AX198" s="233">
        <f t="shared" si="138"/>
        <v>49140</v>
      </c>
      <c r="AY198" s="198">
        <f t="shared" ref="AY198:AY212" si="160">IF(P198="","",J198*P198)</f>
        <v>46800</v>
      </c>
      <c r="AZ198" s="233">
        <f>Q198*AV198</f>
        <v>52650</v>
      </c>
      <c r="BA198" s="233">
        <f t="shared" si="139"/>
        <v>52650</v>
      </c>
      <c r="BB198" s="233">
        <f t="shared" si="140"/>
        <v>52650</v>
      </c>
      <c r="BC198" s="233">
        <f t="shared" si="158"/>
        <v>0</v>
      </c>
      <c r="BD198" s="233">
        <f t="shared" si="142"/>
        <v>0</v>
      </c>
      <c r="BE198" s="233">
        <f t="shared" si="143"/>
        <v>0</v>
      </c>
      <c r="BF198" s="233">
        <f t="shared" si="144"/>
        <v>0</v>
      </c>
      <c r="BG198" s="233">
        <f t="shared" si="145"/>
        <v>0</v>
      </c>
      <c r="BH198" s="198">
        <f t="shared" si="146"/>
        <v>52650</v>
      </c>
      <c r="BI198" s="233">
        <f t="shared" si="147"/>
        <v>1</v>
      </c>
      <c r="BJ198" s="233">
        <f t="shared" si="148"/>
        <v>52650</v>
      </c>
      <c r="BK198" s="233">
        <f t="shared" si="149"/>
        <v>50336.617405814999</v>
      </c>
      <c r="BL198" s="233">
        <f t="shared" si="150"/>
        <v>65871</v>
      </c>
      <c r="BM198" s="233">
        <f t="shared" si="151"/>
        <v>17550</v>
      </c>
      <c r="BN198" s="233">
        <f t="shared" si="152"/>
        <v>17550</v>
      </c>
    </row>
    <row r="199" spans="1:66" s="198" customFormat="1" hidden="1" outlineLevel="1">
      <c r="A199" s="176" t="s">
        <v>680</v>
      </c>
      <c r="B199" s="176" t="s">
        <v>157</v>
      </c>
      <c r="C199" s="176"/>
      <c r="D199" s="176"/>
      <c r="E199" s="176"/>
      <c r="F199" s="176" t="s">
        <v>181</v>
      </c>
      <c r="G199" s="176">
        <f>_xlfn.XLOOKUP(AN199,[2]ySQL_0_24102024094604!$B:$B,[2]ySQL_0_24102024094604!$D:$D,0)</f>
        <v>0</v>
      </c>
      <c r="H199" s="176" t="s">
        <v>681</v>
      </c>
      <c r="I199" s="177">
        <v>48</v>
      </c>
      <c r="J199" s="194">
        <v>20000</v>
      </c>
      <c r="K199" s="194"/>
      <c r="L199" s="194"/>
      <c r="M199" s="194"/>
      <c r="N199" s="177">
        <v>4.3499999999999996</v>
      </c>
      <c r="O199" s="177">
        <v>5</v>
      </c>
      <c r="P199" s="177" t="s">
        <v>167</v>
      </c>
      <c r="Q199" s="177">
        <v>4.7</v>
      </c>
      <c r="R199" s="177">
        <v>3</v>
      </c>
      <c r="S199" s="177">
        <v>2.5</v>
      </c>
      <c r="T199" s="179">
        <v>1.5</v>
      </c>
      <c r="U199" s="177">
        <v>13.4</v>
      </c>
      <c r="V199" s="177">
        <v>0</v>
      </c>
      <c r="W199" s="177">
        <v>0</v>
      </c>
      <c r="X199" s="180">
        <v>6078.5249999999996</v>
      </c>
      <c r="Y199" s="180"/>
      <c r="Z199" s="180">
        <v>0</v>
      </c>
      <c r="AA199" s="180">
        <v>0</v>
      </c>
      <c r="AB199" s="180">
        <v>0</v>
      </c>
      <c r="AC199" s="180">
        <v>6078.5249999999996</v>
      </c>
      <c r="AD199" s="195">
        <v>405235</v>
      </c>
      <c r="AE199" s="177" t="s">
        <v>147</v>
      </c>
      <c r="AF199" s="182">
        <v>44392</v>
      </c>
      <c r="AG199" s="177">
        <v>8.0342105867085429</v>
      </c>
      <c r="AH199" s="177">
        <v>7.5634685253573766</v>
      </c>
      <c r="AI199" s="196">
        <f>AG199/Q199-1</f>
        <v>0.70940650781032821</v>
      </c>
      <c r="AJ199" s="196">
        <f>AH199/Q199-1</f>
        <v>0.60924862241646305</v>
      </c>
      <c r="AK199" s="177"/>
      <c r="AL199" s="177"/>
      <c r="AM199" s="177"/>
      <c r="AN199" s="177" t="s">
        <v>316</v>
      </c>
      <c r="AO199" s="177"/>
      <c r="AP199" s="196">
        <f>AG199/O199-1</f>
        <v>0.60684211734170868</v>
      </c>
      <c r="AQ199" s="196">
        <f>AH199/O199-1</f>
        <v>0.51269370507147527</v>
      </c>
      <c r="AR199" s="177" t="str">
        <f t="shared" si="132"/>
        <v>Renewal</v>
      </c>
      <c r="AS199" s="182" t="str">
        <f t="shared" si="133"/>
        <v>Q3 2021</v>
      </c>
      <c r="AT199" s="182" t="str">
        <f t="shared" si="134"/>
        <v>2H2021</v>
      </c>
      <c r="AU199" s="184" t="str">
        <f t="shared" si="135"/>
        <v>20-50K</v>
      </c>
      <c r="AV199" s="179">
        <f t="shared" si="159"/>
        <v>20000</v>
      </c>
      <c r="AW199" s="233">
        <f t="shared" si="137"/>
        <v>87000</v>
      </c>
      <c r="AX199" s="233">
        <f t="shared" si="138"/>
        <v>100000</v>
      </c>
      <c r="AY199" s="198" t="str">
        <f t="shared" si="160"/>
        <v/>
      </c>
      <c r="AZ199" s="233">
        <f>Q199*AV199</f>
        <v>94000</v>
      </c>
      <c r="BA199" s="233">
        <f t="shared" si="139"/>
        <v>94000</v>
      </c>
      <c r="BB199" s="233">
        <f t="shared" si="140"/>
        <v>94000</v>
      </c>
      <c r="BC199" s="233">
        <f t="shared" si="158"/>
        <v>160684.21173417085</v>
      </c>
      <c r="BD199" s="233">
        <f t="shared" si="142"/>
        <v>151269.37050714754</v>
      </c>
      <c r="BE199" s="233">
        <f t="shared" si="143"/>
        <v>0</v>
      </c>
      <c r="BF199" s="233">
        <f t="shared" si="144"/>
        <v>0</v>
      </c>
      <c r="BG199" s="233">
        <f t="shared" si="145"/>
        <v>0</v>
      </c>
      <c r="BH199" s="186" t="str">
        <f t="shared" si="146"/>
        <v/>
      </c>
      <c r="BI199" s="233">
        <f t="shared" si="147"/>
        <v>0</v>
      </c>
      <c r="BJ199" s="233">
        <f t="shared" si="148"/>
        <v>0</v>
      </c>
      <c r="BK199" s="233">
        <f t="shared" si="149"/>
        <v>30000</v>
      </c>
      <c r="BL199" s="233">
        <f t="shared" si="150"/>
        <v>268000</v>
      </c>
      <c r="BM199" s="233">
        <f t="shared" si="151"/>
        <v>60000</v>
      </c>
      <c r="BN199" s="233">
        <f t="shared" si="152"/>
        <v>50000</v>
      </c>
    </row>
    <row r="200" spans="1:66" s="198" customFormat="1" hidden="1" outlineLevel="1">
      <c r="A200" s="176" t="s">
        <v>682</v>
      </c>
      <c r="B200" s="176" t="s">
        <v>143</v>
      </c>
      <c r="C200" s="176"/>
      <c r="D200" s="176"/>
      <c r="E200" s="176"/>
      <c r="F200" s="176" t="s">
        <v>173</v>
      </c>
      <c r="G200" s="176">
        <f>_xlfn.XLOOKUP(AN200,[2]ySQL_0_24102024094604!$B:$B,[2]ySQL_0_24102024094604!$D:$D,0)</f>
        <v>0</v>
      </c>
      <c r="H200" s="176" t="s">
        <v>683</v>
      </c>
      <c r="I200" s="177">
        <v>36</v>
      </c>
      <c r="J200" s="178">
        <v>20994</v>
      </c>
      <c r="K200" s="178">
        <f>VLOOKUP(AN200,'[4]Performance Table'!$B$4:$BJ$388,61,0)</f>
        <v>18195181.870000001</v>
      </c>
      <c r="L200" s="178">
        <f>VLOOKUP(H200,'[5]Leasing Activity Report'!$F$4:$J$25,5,0)</f>
        <v>105350</v>
      </c>
      <c r="M200" s="190">
        <f>Q200/(K200/L200)</f>
        <v>7.5269926389584366E-2</v>
      </c>
      <c r="N200" s="177">
        <v>13</v>
      </c>
      <c r="O200" s="177">
        <v>14</v>
      </c>
      <c r="P200" s="177">
        <v>12.5</v>
      </c>
      <c r="Q200" s="177">
        <v>13</v>
      </c>
      <c r="R200" s="177">
        <v>4</v>
      </c>
      <c r="S200" s="177">
        <v>3</v>
      </c>
      <c r="T200" s="179">
        <f>AC200/AD200*100</f>
        <v>7.5000001173796376</v>
      </c>
      <c r="U200" s="177"/>
      <c r="V200" s="177">
        <v>15</v>
      </c>
      <c r="W200" s="177">
        <v>0</v>
      </c>
      <c r="X200" s="188">
        <v>63895.24</v>
      </c>
      <c r="Y200" s="188"/>
      <c r="Z200" s="188" t="s">
        <v>167</v>
      </c>
      <c r="AA200" s="188"/>
      <c r="AB200" s="188">
        <v>0</v>
      </c>
      <c r="AC200" s="188">
        <f>SUM(X200:AB200)</f>
        <v>63895.24</v>
      </c>
      <c r="AD200" s="189">
        <v>851936.52</v>
      </c>
      <c r="AE200" s="177" t="s">
        <v>147</v>
      </c>
      <c r="AF200" s="182">
        <v>45316</v>
      </c>
      <c r="AG200" s="177"/>
      <c r="AH200" s="177"/>
      <c r="AI200" s="183"/>
      <c r="AJ200" s="183"/>
      <c r="AK200" s="177"/>
      <c r="AL200" s="177"/>
      <c r="AM200" s="177"/>
      <c r="AN200" s="177" t="s">
        <v>325</v>
      </c>
      <c r="AO200" s="177"/>
      <c r="AP200" s="183"/>
      <c r="AQ200" s="183"/>
      <c r="AR200" s="177" t="str">
        <f t="shared" si="132"/>
        <v>New Lease</v>
      </c>
      <c r="AS200" s="182" t="str">
        <f t="shared" si="133"/>
        <v>Q1 2024</v>
      </c>
      <c r="AT200" s="182" t="str">
        <f t="shared" si="134"/>
        <v>1H2024</v>
      </c>
      <c r="AU200" s="184" t="str">
        <f t="shared" si="135"/>
        <v>20-50K</v>
      </c>
      <c r="AV200" s="179">
        <f t="shared" si="159"/>
        <v>20994</v>
      </c>
      <c r="AW200" s="233">
        <f t="shared" si="137"/>
        <v>272922</v>
      </c>
      <c r="AX200" s="233">
        <f t="shared" si="138"/>
        <v>293916</v>
      </c>
      <c r="AY200" s="198">
        <f t="shared" si="160"/>
        <v>262425</v>
      </c>
      <c r="AZ200" s="233">
        <f>IFERROR(Q200*AV200,"")</f>
        <v>272922</v>
      </c>
      <c r="BA200" s="233">
        <f t="shared" si="139"/>
        <v>272922</v>
      </c>
      <c r="BB200" s="233">
        <f t="shared" si="140"/>
        <v>272922</v>
      </c>
      <c r="BC200" s="233">
        <f t="shared" si="158"/>
        <v>0</v>
      </c>
      <c r="BD200" s="233">
        <f t="shared" si="142"/>
        <v>0</v>
      </c>
      <c r="BE200" s="233">
        <f t="shared" si="143"/>
        <v>314910</v>
      </c>
      <c r="BF200" s="233">
        <f t="shared" si="144"/>
        <v>20994</v>
      </c>
      <c r="BG200" s="233">
        <f t="shared" si="145"/>
        <v>0</v>
      </c>
      <c r="BH200" s="186" t="str">
        <f t="shared" si="146"/>
        <v/>
      </c>
      <c r="BI200" s="233">
        <f t="shared" si="147"/>
        <v>0</v>
      </c>
      <c r="BJ200" s="233">
        <f t="shared" si="148"/>
        <v>0</v>
      </c>
      <c r="BK200" s="233">
        <f t="shared" si="149"/>
        <v>157455.00246426812</v>
      </c>
      <c r="BL200" s="233">
        <f t="shared" si="150"/>
        <v>0</v>
      </c>
      <c r="BM200" s="233">
        <f t="shared" si="151"/>
        <v>83976</v>
      </c>
      <c r="BN200" s="233">
        <f t="shared" si="152"/>
        <v>62982</v>
      </c>
    </row>
    <row r="201" spans="1:66" s="198" customFormat="1" hidden="1" outlineLevel="1">
      <c r="A201" s="176" t="s">
        <v>684</v>
      </c>
      <c r="B201" s="176" t="s">
        <v>143</v>
      </c>
      <c r="C201" s="176"/>
      <c r="D201" s="176"/>
      <c r="E201" s="176"/>
      <c r="F201" s="176" t="s">
        <v>173</v>
      </c>
      <c r="G201" s="176">
        <f>_xlfn.XLOOKUP(AN201,[2]ySQL_0_24102024094604!$B:$B,[2]ySQL_0_24102024094604!$D:$D,0)</f>
        <v>0</v>
      </c>
      <c r="H201" s="176" t="s">
        <v>685</v>
      </c>
      <c r="I201" s="177">
        <v>84</v>
      </c>
      <c r="J201" s="178">
        <v>21142</v>
      </c>
      <c r="K201" s="178"/>
      <c r="L201" s="178"/>
      <c r="M201" s="178"/>
      <c r="N201" s="177">
        <v>8.25</v>
      </c>
      <c r="O201" s="177">
        <v>12.87</v>
      </c>
      <c r="P201" s="177">
        <v>13.5</v>
      </c>
      <c r="Q201" s="177">
        <v>13.75</v>
      </c>
      <c r="R201" s="177">
        <v>4</v>
      </c>
      <c r="S201" s="177">
        <v>3</v>
      </c>
      <c r="T201" s="179">
        <v>12.047000000000001</v>
      </c>
      <c r="U201" s="177">
        <v>17.61</v>
      </c>
      <c r="V201" s="177">
        <v>15</v>
      </c>
      <c r="W201" s="177">
        <v>6</v>
      </c>
      <c r="X201" s="188">
        <v>178145.13</v>
      </c>
      <c r="Y201" s="180">
        <f>Z201/J201</f>
        <v>2.8169047393813265</v>
      </c>
      <c r="Z201" s="188">
        <v>59555</v>
      </c>
      <c r="AA201" s="188">
        <v>0</v>
      </c>
      <c r="AB201" s="188">
        <v>48450.42</v>
      </c>
      <c r="AC201" s="188">
        <v>286150.55</v>
      </c>
      <c r="AD201" s="191">
        <v>2296054</v>
      </c>
      <c r="AE201" s="177" t="s">
        <v>147</v>
      </c>
      <c r="AF201" s="182">
        <v>45226</v>
      </c>
      <c r="AG201" s="177"/>
      <c r="AH201" s="177"/>
      <c r="AI201" s="183"/>
      <c r="AJ201" s="183"/>
      <c r="AK201" s="177"/>
      <c r="AL201" s="177"/>
      <c r="AM201" s="177"/>
      <c r="AN201" s="177" t="s">
        <v>373</v>
      </c>
      <c r="AO201" s="177"/>
      <c r="AP201" s="183"/>
      <c r="AQ201" s="183"/>
      <c r="AR201" s="177" t="str">
        <f t="shared" si="132"/>
        <v>New Lease</v>
      </c>
      <c r="AS201" s="182" t="str">
        <f t="shared" si="133"/>
        <v>Q4 2023</v>
      </c>
      <c r="AT201" s="182" t="str">
        <f t="shared" si="134"/>
        <v>2H2023</v>
      </c>
      <c r="AU201" s="184" t="str">
        <f t="shared" si="135"/>
        <v>20-50K</v>
      </c>
      <c r="AV201" s="179">
        <f t="shared" si="159"/>
        <v>21142</v>
      </c>
      <c r="AW201" s="233">
        <f t="shared" si="137"/>
        <v>174421.5</v>
      </c>
      <c r="AX201" s="233">
        <f t="shared" si="138"/>
        <v>272097.53999999998</v>
      </c>
      <c r="AY201" s="198">
        <f t="shared" si="160"/>
        <v>285417</v>
      </c>
      <c r="AZ201" s="233">
        <f>IFERROR(Q201*AV201,"")</f>
        <v>290702.5</v>
      </c>
      <c r="BA201" s="233">
        <f t="shared" si="139"/>
        <v>290702.5</v>
      </c>
      <c r="BB201" s="233">
        <f t="shared" si="140"/>
        <v>290702.5</v>
      </c>
      <c r="BC201" s="233">
        <f t="shared" si="158"/>
        <v>0</v>
      </c>
      <c r="BD201" s="233">
        <f t="shared" si="142"/>
        <v>0</v>
      </c>
      <c r="BE201" s="233">
        <f t="shared" si="143"/>
        <v>317130</v>
      </c>
      <c r="BF201" s="233">
        <f t="shared" si="144"/>
        <v>21142</v>
      </c>
      <c r="BG201" s="233">
        <f t="shared" si="145"/>
        <v>126852</v>
      </c>
      <c r="BH201" s="186">
        <f t="shared" si="146"/>
        <v>290702.5</v>
      </c>
      <c r="BI201" s="233">
        <f t="shared" si="147"/>
        <v>2.0000001375977159</v>
      </c>
      <c r="BJ201" s="233">
        <f t="shared" si="148"/>
        <v>581405.04</v>
      </c>
      <c r="BK201" s="233">
        <f t="shared" si="149"/>
        <v>254697.674</v>
      </c>
      <c r="BL201" s="233">
        <f t="shared" si="150"/>
        <v>372310.62</v>
      </c>
      <c r="BM201" s="233">
        <f t="shared" si="151"/>
        <v>84568</v>
      </c>
      <c r="BN201" s="233">
        <f t="shared" si="152"/>
        <v>63426</v>
      </c>
    </row>
    <row r="202" spans="1:66" s="198" customFormat="1" hidden="1" outlineLevel="1">
      <c r="A202" s="176" t="s">
        <v>686</v>
      </c>
      <c r="B202" s="176" t="s">
        <v>157</v>
      </c>
      <c r="C202" s="176"/>
      <c r="D202" s="176"/>
      <c r="E202" s="176"/>
      <c r="F202" s="176" t="s">
        <v>181</v>
      </c>
      <c r="G202" s="176">
        <f>_xlfn.XLOOKUP(AN202,[2]ySQL_0_24102024094604!$B:$B,[2]ySQL_0_24102024094604!$D:$D,0)</f>
        <v>0</v>
      </c>
      <c r="H202" s="176" t="s">
        <v>560</v>
      </c>
      <c r="I202" s="177">
        <v>60</v>
      </c>
      <c r="J202" s="194">
        <v>25651</v>
      </c>
      <c r="K202" s="194"/>
      <c r="L202" s="194"/>
      <c r="M202" s="194"/>
      <c r="N202" s="177">
        <v>4.8499999999999996</v>
      </c>
      <c r="O202" s="177">
        <v>5.33</v>
      </c>
      <c r="P202" s="177" t="s">
        <v>167</v>
      </c>
      <c r="Q202" s="177">
        <v>5.57</v>
      </c>
      <c r="R202" s="177">
        <v>3</v>
      </c>
      <c r="S202" s="177">
        <v>3</v>
      </c>
      <c r="T202" s="179">
        <v>4.0000003165000004</v>
      </c>
      <c r="U202" s="177">
        <v>15.04</v>
      </c>
      <c r="V202" s="177">
        <v>0</v>
      </c>
      <c r="W202" s="177">
        <v>0</v>
      </c>
      <c r="X202" s="180">
        <v>30330.12</v>
      </c>
      <c r="Y202" s="180"/>
      <c r="Z202" s="180">
        <v>0</v>
      </c>
      <c r="AA202" s="180">
        <v>0</v>
      </c>
      <c r="AB202" s="180">
        <v>0</v>
      </c>
      <c r="AC202" s="180">
        <v>30330.12</v>
      </c>
      <c r="AD202" s="195">
        <v>758252.94</v>
      </c>
      <c r="AE202" s="177" t="s">
        <v>147</v>
      </c>
      <c r="AF202" s="182">
        <v>44792</v>
      </c>
      <c r="AG202" s="177">
        <v>10.419687611014128</v>
      </c>
      <c r="AH202" s="177">
        <v>9.6782112461288747</v>
      </c>
      <c r="AI202" s="196">
        <f>AG202/Q202-1</f>
        <v>0.8706800019774017</v>
      </c>
      <c r="AJ202" s="196">
        <f>AH202/Q202-1</f>
        <v>0.73756036734809238</v>
      </c>
      <c r="AK202" s="177"/>
      <c r="AL202" s="177"/>
      <c r="AM202" s="177"/>
      <c r="AN202" s="177" t="s">
        <v>561</v>
      </c>
      <c r="AO202" s="177"/>
      <c r="AP202" s="196">
        <f>AG202/O202-1</f>
        <v>0.95491324784505216</v>
      </c>
      <c r="AQ202" s="196">
        <f>AH202/O202-1</f>
        <v>0.81579948332624297</v>
      </c>
      <c r="AR202" s="177" t="str">
        <f t="shared" ref="AR202:AR220" si="161">IF(B202="Expansion","New Lease",IF(B202="Early Renewal","Renewal",IF(B202="Renewal per Option","Renewal",IF(B202="Renewal","Renewal",B202))))</f>
        <v>Renewal</v>
      </c>
      <c r="AS202" s="182" t="str">
        <f t="shared" ref="AS202:AS220" si="162">"Q"&amp;ROUNDUP(MONTH(AF202)/3,0)&amp;" "&amp;YEAR(AF202)</f>
        <v>Q3 2022</v>
      </c>
      <c r="AT202" s="182" t="str">
        <f t="shared" ref="AT202:AT220" si="163">(MONTH(AF202)&gt;6)+1&amp;"H"&amp;YEAR(AF202)</f>
        <v>2H2022</v>
      </c>
      <c r="AU202" s="184" t="str">
        <f t="shared" ref="AU202:AU220" si="164">IF(J202&lt;$A$223,$A$228,IF(J202&lt;$A$224,$A$229,IF(J202&lt;$A$225,$A$230,IF(J202&gt;$A$225,$A$231))))</f>
        <v>20-50K</v>
      </c>
      <c r="AV202" s="179">
        <f t="shared" si="159"/>
        <v>25651</v>
      </c>
      <c r="AW202" s="233">
        <f t="shared" ref="AW202:AW220" si="165">IFERROR(N202*AV202,"")</f>
        <v>124407.34999999999</v>
      </c>
      <c r="AX202" s="233">
        <f t="shared" ref="AX202:AX220" si="166">J202*O202</f>
        <v>136719.83000000002</v>
      </c>
      <c r="AY202" s="198" t="str">
        <f t="shared" si="160"/>
        <v/>
      </c>
      <c r="AZ202" s="233">
        <f>Q202*AV202</f>
        <v>142876.07</v>
      </c>
      <c r="BA202" s="233">
        <f t="shared" ref="BA202:BA220" si="167">J202*Q202</f>
        <v>142876.07</v>
      </c>
      <c r="BB202" s="233">
        <f t="shared" ref="BB202:BB220" si="168">IF(N202&gt;0,Q202*J202,"")</f>
        <v>142876.07</v>
      </c>
      <c r="BC202" s="233">
        <f t="shared" si="158"/>
        <v>267275.40691012342</v>
      </c>
      <c r="BD202" s="233">
        <f t="shared" si="142"/>
        <v>248255.79667445176</v>
      </c>
      <c r="BE202" s="233">
        <f t="shared" ref="BE202:BE220" si="169">V202*J202</f>
        <v>0</v>
      </c>
      <c r="BF202" s="233">
        <f t="shared" ref="BF202:BF220" si="170">IF(AR202="New Lease",J202,0)</f>
        <v>0</v>
      </c>
      <c r="BG202" s="233">
        <f t="shared" ref="BG202:BG220" si="171">W202*J202</f>
        <v>0</v>
      </c>
      <c r="BH202" s="186" t="str">
        <f t="shared" ref="BH202:BH220" si="172">IF(BI202&gt;0,Q202*J202,"")</f>
        <v/>
      </c>
      <c r="BI202" s="233">
        <f t="shared" ref="BI202:BI220" si="173">AB202/((J202*Q202)/12)</f>
        <v>0</v>
      </c>
      <c r="BJ202" s="233">
        <f t="shared" ref="BJ202:BJ220" si="174">BI202*J202*Q202</f>
        <v>0</v>
      </c>
      <c r="BK202" s="233">
        <f t="shared" ref="BK202:BK220" si="175">J202*T202</f>
        <v>102604.0081185415</v>
      </c>
      <c r="BL202" s="233">
        <f t="shared" ref="BL202:BL220" si="176">J202*U202</f>
        <v>385791.04</v>
      </c>
      <c r="BM202" s="233">
        <f t="shared" ref="BM202:BM220" si="177">J202*R202</f>
        <v>76953</v>
      </c>
      <c r="BN202" s="233">
        <f t="shared" ref="BN202:BN220" si="178">J202*S202</f>
        <v>76953</v>
      </c>
    </row>
    <row r="203" spans="1:66" s="198" customFormat="1" hidden="1" outlineLevel="1">
      <c r="A203" s="176" t="s">
        <v>687</v>
      </c>
      <c r="B203" s="176" t="s">
        <v>143</v>
      </c>
      <c r="C203" s="176"/>
      <c r="D203" s="176"/>
      <c r="E203" s="176"/>
      <c r="F203" s="176" t="s">
        <v>181</v>
      </c>
      <c r="G203" s="176">
        <f>_xlfn.XLOOKUP(AN203,[2]ySQL_0_24102024094604!$B:$B,[2]ySQL_0_24102024094604!$D:$D,0)</f>
        <v>0</v>
      </c>
      <c r="H203" s="176" t="s">
        <v>688</v>
      </c>
      <c r="I203" s="177">
        <v>48</v>
      </c>
      <c r="J203" s="178">
        <v>46188</v>
      </c>
      <c r="K203" s="178"/>
      <c r="L203" s="178"/>
      <c r="M203" s="178"/>
      <c r="N203" s="177"/>
      <c r="O203" s="177">
        <v>8.6300000000000008</v>
      </c>
      <c r="P203" s="177">
        <v>12</v>
      </c>
      <c r="Q203" s="177">
        <v>12</v>
      </c>
      <c r="R203" s="177">
        <v>4</v>
      </c>
      <c r="S203" s="177">
        <v>3</v>
      </c>
      <c r="T203" s="179">
        <v>6.8038694732999998</v>
      </c>
      <c r="U203" s="177">
        <v>40.11</v>
      </c>
      <c r="V203" s="177">
        <v>15</v>
      </c>
      <c r="W203" s="177">
        <v>12</v>
      </c>
      <c r="X203" s="180">
        <v>160145.43</v>
      </c>
      <c r="Y203" s="180"/>
      <c r="Z203" s="180">
        <v>0</v>
      </c>
      <c r="AA203" s="180" t="s">
        <v>167</v>
      </c>
      <c r="AB203" s="180">
        <v>0</v>
      </c>
      <c r="AC203" s="180">
        <v>160145.43</v>
      </c>
      <c r="AD203" s="181">
        <v>2353628</v>
      </c>
      <c r="AE203" s="177" t="s">
        <v>147</v>
      </c>
      <c r="AF203" s="182">
        <v>45257</v>
      </c>
      <c r="AG203" s="177"/>
      <c r="AH203" s="177"/>
      <c r="AI203" s="183"/>
      <c r="AJ203" s="183"/>
      <c r="AK203" s="177"/>
      <c r="AL203" s="177"/>
      <c r="AM203" s="177"/>
      <c r="AN203" s="177" t="s">
        <v>689</v>
      </c>
      <c r="AO203" s="177"/>
      <c r="AP203" s="183"/>
      <c r="AQ203" s="183"/>
      <c r="AR203" s="177" t="str">
        <f t="shared" si="161"/>
        <v>New Lease</v>
      </c>
      <c r="AS203" s="182" t="str">
        <f t="shared" si="162"/>
        <v>Q4 2023</v>
      </c>
      <c r="AT203" s="182" t="str">
        <f t="shared" si="163"/>
        <v>2H2023</v>
      </c>
      <c r="AU203" s="184" t="str">
        <f t="shared" si="164"/>
        <v>20-50K</v>
      </c>
      <c r="AV203" s="179" t="str">
        <f t="shared" si="159"/>
        <v/>
      </c>
      <c r="AW203" s="233" t="str">
        <f t="shared" si="165"/>
        <v/>
      </c>
      <c r="AX203" s="233">
        <f t="shared" si="166"/>
        <v>398602.44000000006</v>
      </c>
      <c r="AY203" s="198">
        <f t="shared" si="160"/>
        <v>554256</v>
      </c>
      <c r="AZ203" s="233" t="str">
        <f t="shared" ref="AZ203:AZ210" si="179">IFERROR(Q203*AV203,"")</f>
        <v/>
      </c>
      <c r="BA203" s="233">
        <f t="shared" si="167"/>
        <v>554256</v>
      </c>
      <c r="BB203" s="233" t="str">
        <f t="shared" si="168"/>
        <v/>
      </c>
      <c r="BC203" s="233">
        <f t="shared" si="158"/>
        <v>0</v>
      </c>
      <c r="BD203" s="233">
        <f t="shared" si="142"/>
        <v>0</v>
      </c>
      <c r="BE203" s="233">
        <f t="shared" si="169"/>
        <v>692820</v>
      </c>
      <c r="BF203" s="233">
        <f t="shared" si="170"/>
        <v>46188</v>
      </c>
      <c r="BG203" s="233">
        <f t="shared" si="171"/>
        <v>554256</v>
      </c>
      <c r="BH203" s="186" t="str">
        <f t="shared" si="172"/>
        <v/>
      </c>
      <c r="BI203" s="233">
        <f t="shared" si="173"/>
        <v>0</v>
      </c>
      <c r="BJ203" s="233">
        <f t="shared" si="174"/>
        <v>0</v>
      </c>
      <c r="BK203" s="233">
        <f t="shared" si="175"/>
        <v>314257.12323278037</v>
      </c>
      <c r="BL203" s="233">
        <f t="shared" si="176"/>
        <v>1852600.68</v>
      </c>
      <c r="BM203" s="233">
        <f t="shared" si="177"/>
        <v>184752</v>
      </c>
      <c r="BN203" s="233">
        <f t="shared" si="178"/>
        <v>138564</v>
      </c>
    </row>
    <row r="204" spans="1:66" s="198" customFormat="1" hidden="1" outlineLevel="1">
      <c r="A204" s="176" t="s">
        <v>690</v>
      </c>
      <c r="B204" s="176" t="s">
        <v>143</v>
      </c>
      <c r="C204" s="176"/>
      <c r="D204" s="176"/>
      <c r="E204" s="176"/>
      <c r="F204" s="176" t="s">
        <v>181</v>
      </c>
      <c r="G204" s="438">
        <v>0</v>
      </c>
      <c r="H204" s="176" t="s">
        <v>691</v>
      </c>
      <c r="I204" s="177">
        <v>77</v>
      </c>
      <c r="J204" s="178">
        <v>31994</v>
      </c>
      <c r="K204" s="178">
        <f>_xlfn.XLOOKUP(AN204,'[1]Performance Table'!$B:$B,'[1]Performance Table'!$BE:$BE,0)</f>
        <v>3482603.29</v>
      </c>
      <c r="L204" s="437">
        <v>31944</v>
      </c>
      <c r="M204" s="190">
        <f>Q204/(K204/L204)</f>
        <v>7.3379589554111974E-2</v>
      </c>
      <c r="N204" s="177">
        <v>6.26</v>
      </c>
      <c r="O204" s="442">
        <v>9.6999999999999993</v>
      </c>
      <c r="P204" s="442">
        <v>11</v>
      </c>
      <c r="Q204" s="442">
        <v>8</v>
      </c>
      <c r="R204" s="177">
        <v>3.75</v>
      </c>
      <c r="S204" s="177">
        <v>4</v>
      </c>
      <c r="T204" s="179"/>
      <c r="U204" s="177"/>
      <c r="V204" s="177">
        <v>16</v>
      </c>
      <c r="W204" s="177">
        <v>6</v>
      </c>
      <c r="X204" s="180">
        <f>Z204+AA204</f>
        <v>19196.400000000001</v>
      </c>
      <c r="Y204" s="180"/>
      <c r="Z204" s="180">
        <v>19196.400000000001</v>
      </c>
      <c r="AA204" s="180"/>
      <c r="AB204" s="180">
        <v>79985</v>
      </c>
      <c r="AC204" s="180">
        <f>SUM(X204:AB204)</f>
        <v>118377.8</v>
      </c>
      <c r="AD204" s="443">
        <v>2259896.19</v>
      </c>
      <c r="AE204" s="177" t="s">
        <v>161</v>
      </c>
      <c r="AF204" s="182">
        <v>45632</v>
      </c>
      <c r="AG204" s="177"/>
      <c r="AH204" s="177"/>
      <c r="AI204" s="183"/>
      <c r="AJ204" s="183"/>
      <c r="AK204" s="249" t="s">
        <v>194</v>
      </c>
      <c r="AL204" s="249" t="s">
        <v>149</v>
      </c>
      <c r="AM204" s="444">
        <v>12.56</v>
      </c>
      <c r="AN204" s="177" t="s">
        <v>692</v>
      </c>
      <c r="AO204" s="177"/>
      <c r="AP204" s="183"/>
      <c r="AQ204" s="183"/>
      <c r="AR204" s="177" t="str">
        <f t="shared" si="161"/>
        <v>New Lease</v>
      </c>
      <c r="AS204" s="182" t="str">
        <f t="shared" si="162"/>
        <v>Q4 2024</v>
      </c>
      <c r="AT204" s="182" t="str">
        <f t="shared" si="163"/>
        <v>2H2024</v>
      </c>
      <c r="AU204" s="184" t="str">
        <f t="shared" si="164"/>
        <v>20-50K</v>
      </c>
      <c r="AV204" s="179">
        <f t="shared" si="159"/>
        <v>31994</v>
      </c>
      <c r="AW204" s="233">
        <f t="shared" si="165"/>
        <v>200282.44</v>
      </c>
      <c r="AX204" s="233">
        <f t="shared" si="166"/>
        <v>310341.8</v>
      </c>
      <c r="AY204" s="198">
        <f t="shared" si="160"/>
        <v>351934</v>
      </c>
      <c r="AZ204" s="233">
        <f t="shared" si="179"/>
        <v>255952</v>
      </c>
      <c r="BA204" s="233">
        <f t="shared" si="167"/>
        <v>255952</v>
      </c>
      <c r="BB204" s="233">
        <f t="shared" si="168"/>
        <v>255952</v>
      </c>
      <c r="BC204" s="233">
        <f t="shared" si="158"/>
        <v>0</v>
      </c>
      <c r="BD204" s="233">
        <f t="shared" si="142"/>
        <v>0</v>
      </c>
      <c r="BE204" s="233">
        <f t="shared" si="169"/>
        <v>511904</v>
      </c>
      <c r="BF204" s="233">
        <f t="shared" si="170"/>
        <v>31994</v>
      </c>
      <c r="BG204" s="233">
        <f t="shared" si="171"/>
        <v>191964</v>
      </c>
      <c r="BH204" s="186">
        <f t="shared" si="172"/>
        <v>255952</v>
      </c>
      <c r="BI204" s="233">
        <f t="shared" si="173"/>
        <v>3.75</v>
      </c>
      <c r="BJ204" s="233">
        <f t="shared" si="174"/>
        <v>959820</v>
      </c>
      <c r="BK204" s="233">
        <f t="shared" si="175"/>
        <v>0</v>
      </c>
      <c r="BL204" s="233">
        <f t="shared" si="176"/>
        <v>0</v>
      </c>
      <c r="BM204" s="233">
        <f t="shared" si="177"/>
        <v>119977.5</v>
      </c>
      <c r="BN204" s="233">
        <f t="shared" si="178"/>
        <v>127976</v>
      </c>
    </row>
    <row r="205" spans="1:66" s="198" customFormat="1" hidden="1" outlineLevel="1">
      <c r="A205" s="186" t="s">
        <v>693</v>
      </c>
      <c r="B205" s="176" t="s">
        <v>143</v>
      </c>
      <c r="C205" s="176"/>
      <c r="D205" s="176"/>
      <c r="E205" s="176"/>
      <c r="F205" s="176" t="s">
        <v>214</v>
      </c>
      <c r="G205" s="176">
        <f>_xlfn.XLOOKUP(AN205,[2]ySQL_0_24102024094604!$B:$B,[2]ySQL_0_24102024094604!$D:$D,0)</f>
        <v>0</v>
      </c>
      <c r="H205" s="176" t="s">
        <v>694</v>
      </c>
      <c r="I205" s="177">
        <v>61</v>
      </c>
      <c r="J205" s="178">
        <v>8000</v>
      </c>
      <c r="K205" s="178">
        <f>_xlfn.XLOOKUP(AN205,'[3]Main Data Table'!$B:$B,'[3]Main Data Table'!$AB:$AB,0)</f>
        <v>10410057.23</v>
      </c>
      <c r="L205" s="178">
        <v>162000</v>
      </c>
      <c r="M205" s="190">
        <f>Q205/(K205/L205)</f>
        <v>0.15561874101243534</v>
      </c>
      <c r="N205" s="177">
        <v>5.89</v>
      </c>
      <c r="O205" s="177">
        <v>5.76</v>
      </c>
      <c r="P205" s="177">
        <v>9.25</v>
      </c>
      <c r="Q205" s="177">
        <v>10</v>
      </c>
      <c r="R205" s="177">
        <v>3.5</v>
      </c>
      <c r="S205" s="177">
        <v>3</v>
      </c>
      <c r="T205" s="179">
        <f>AC205/AD205*100</f>
        <v>3.4088177849252688</v>
      </c>
      <c r="U205" s="185"/>
      <c r="V205" s="177">
        <v>16</v>
      </c>
      <c r="W205" s="177">
        <v>9</v>
      </c>
      <c r="X205" s="180">
        <v>0</v>
      </c>
      <c r="Y205" s="180"/>
      <c r="Z205" s="180">
        <v>8000</v>
      </c>
      <c r="AA205" s="180"/>
      <c r="AB205" s="187">
        <v>6666.4</v>
      </c>
      <c r="AC205" s="180">
        <f>SUM(X205:AB205)</f>
        <v>14666.4</v>
      </c>
      <c r="AD205" s="187">
        <v>430248.87</v>
      </c>
      <c r="AE205" s="177" t="s">
        <v>161</v>
      </c>
      <c r="AF205" s="182">
        <v>45455</v>
      </c>
      <c r="AG205" s="177"/>
      <c r="AH205" s="177"/>
      <c r="AI205" s="183"/>
      <c r="AJ205" s="183"/>
      <c r="AK205" s="177"/>
      <c r="AL205" s="177"/>
      <c r="AM205" s="177"/>
      <c r="AN205" s="177" t="s">
        <v>236</v>
      </c>
      <c r="AO205" s="177"/>
      <c r="AP205" s="183"/>
      <c r="AQ205" s="183"/>
      <c r="AR205" s="177" t="str">
        <f t="shared" si="161"/>
        <v>New Lease</v>
      </c>
      <c r="AS205" s="182" t="str">
        <f t="shared" si="162"/>
        <v>Q2 2024</v>
      </c>
      <c r="AT205" s="182" t="str">
        <f t="shared" si="163"/>
        <v>1H2024</v>
      </c>
      <c r="AU205" s="184" t="str">
        <f t="shared" si="164"/>
        <v>&lt; 20K</v>
      </c>
      <c r="AV205" s="179">
        <f t="shared" si="159"/>
        <v>8000</v>
      </c>
      <c r="AW205" s="233">
        <f t="shared" si="165"/>
        <v>47120</v>
      </c>
      <c r="AX205" s="233">
        <f t="shared" si="166"/>
        <v>46080</v>
      </c>
      <c r="AY205" s="198">
        <f t="shared" si="160"/>
        <v>74000</v>
      </c>
      <c r="AZ205" s="233">
        <f t="shared" si="179"/>
        <v>80000</v>
      </c>
      <c r="BA205" s="233">
        <f t="shared" si="167"/>
        <v>80000</v>
      </c>
      <c r="BB205" s="233">
        <f t="shared" si="168"/>
        <v>80000</v>
      </c>
      <c r="BC205" s="233">
        <f t="shared" si="158"/>
        <v>0</v>
      </c>
      <c r="BD205" s="233">
        <f t="shared" si="142"/>
        <v>0</v>
      </c>
      <c r="BE205" s="233">
        <f t="shared" si="169"/>
        <v>128000</v>
      </c>
      <c r="BF205" s="233">
        <f t="shared" si="170"/>
        <v>8000</v>
      </c>
      <c r="BG205" s="233">
        <f t="shared" si="171"/>
        <v>72000</v>
      </c>
      <c r="BH205" s="186">
        <f t="shared" si="172"/>
        <v>80000</v>
      </c>
      <c r="BI205" s="233">
        <f t="shared" si="173"/>
        <v>0.99995999999999985</v>
      </c>
      <c r="BJ205" s="233">
        <f t="shared" si="174"/>
        <v>79996.799999999988</v>
      </c>
      <c r="BK205" s="233">
        <f t="shared" si="175"/>
        <v>27270.542279402151</v>
      </c>
      <c r="BL205" s="233">
        <f t="shared" si="176"/>
        <v>0</v>
      </c>
      <c r="BM205" s="233">
        <f t="shared" si="177"/>
        <v>28000</v>
      </c>
      <c r="BN205" s="233">
        <f t="shared" si="178"/>
        <v>24000</v>
      </c>
    </row>
    <row r="206" spans="1:66" s="198" customFormat="1" hidden="1" outlineLevel="1">
      <c r="A206" s="176" t="s">
        <v>695</v>
      </c>
      <c r="B206" s="176" t="s">
        <v>143</v>
      </c>
      <c r="C206" s="176"/>
      <c r="D206" s="176"/>
      <c r="E206" s="176"/>
      <c r="F206" s="176" t="s">
        <v>181</v>
      </c>
      <c r="G206" s="176">
        <f>_xlfn.XLOOKUP(AN206,[2]ySQL_0_24102024094604!$B:$B,[2]ySQL_0_24102024094604!$D:$D,0)</f>
        <v>0</v>
      </c>
      <c r="H206" s="176" t="s">
        <v>696</v>
      </c>
      <c r="I206" s="177">
        <v>25</v>
      </c>
      <c r="J206" s="178">
        <v>825</v>
      </c>
      <c r="K206" s="178">
        <f>_xlfn.XLOOKUP(AN206,'[3]Main Data Table'!$B:$B,'[3]Main Data Table'!$AB:$AB,0)</f>
        <v>4182275.0491347439</v>
      </c>
      <c r="L206" s="178">
        <v>42963</v>
      </c>
      <c r="M206" s="190">
        <f>Q206/(K206/L206)</f>
        <v>0.15408957862140774</v>
      </c>
      <c r="N206" s="177">
        <v>10.91</v>
      </c>
      <c r="O206" s="177">
        <v>9.25</v>
      </c>
      <c r="P206" s="177">
        <v>14.69</v>
      </c>
      <c r="Q206" s="177">
        <v>15</v>
      </c>
      <c r="R206" s="177">
        <v>3</v>
      </c>
      <c r="S206" s="177">
        <v>3</v>
      </c>
      <c r="T206" s="179">
        <f>AC206/AD206*100</f>
        <v>9.5018473994452837</v>
      </c>
      <c r="U206" s="185"/>
      <c r="V206" s="177">
        <v>16</v>
      </c>
      <c r="W206" s="177">
        <v>12</v>
      </c>
      <c r="X206" s="188">
        <v>1361.7</v>
      </c>
      <c r="Y206" s="188"/>
      <c r="Z206" s="188">
        <v>0</v>
      </c>
      <c r="AA206" s="188">
        <v>0</v>
      </c>
      <c r="AB206" s="188">
        <v>1031.25</v>
      </c>
      <c r="AC206" s="188">
        <f>X206+Z206+AA206+AB206</f>
        <v>2392.9499999999998</v>
      </c>
      <c r="AD206" s="189">
        <v>25184.05</v>
      </c>
      <c r="AE206" s="177" t="s">
        <v>147</v>
      </c>
      <c r="AF206" s="182">
        <v>45407</v>
      </c>
      <c r="AG206" s="177"/>
      <c r="AH206" s="177"/>
      <c r="AI206" s="183"/>
      <c r="AJ206" s="183"/>
      <c r="AK206" s="177"/>
      <c r="AL206" s="177"/>
      <c r="AM206" s="177"/>
      <c r="AN206" s="177" t="s">
        <v>386</v>
      </c>
      <c r="AO206" s="177"/>
      <c r="AP206" s="183"/>
      <c r="AQ206" s="183"/>
      <c r="AR206" s="177" t="str">
        <f t="shared" si="161"/>
        <v>New Lease</v>
      </c>
      <c r="AS206" s="182" t="str">
        <f t="shared" si="162"/>
        <v>Q2 2024</v>
      </c>
      <c r="AT206" s="182" t="str">
        <f t="shared" si="163"/>
        <v>1H2024</v>
      </c>
      <c r="AU206" s="184" t="str">
        <f t="shared" si="164"/>
        <v>&lt; 20K</v>
      </c>
      <c r="AV206" s="179">
        <f t="shared" si="159"/>
        <v>825</v>
      </c>
      <c r="AW206" s="233">
        <f t="shared" si="165"/>
        <v>9000.75</v>
      </c>
      <c r="AX206" s="233">
        <f t="shared" si="166"/>
        <v>7631.25</v>
      </c>
      <c r="AY206" s="198">
        <f t="shared" si="160"/>
        <v>12119.25</v>
      </c>
      <c r="AZ206" s="233">
        <f t="shared" si="179"/>
        <v>12375</v>
      </c>
      <c r="BA206" s="233">
        <f t="shared" si="167"/>
        <v>12375</v>
      </c>
      <c r="BB206" s="233">
        <f t="shared" si="168"/>
        <v>12375</v>
      </c>
      <c r="BC206" s="233">
        <f t="shared" si="158"/>
        <v>0</v>
      </c>
      <c r="BD206" s="233">
        <f t="shared" si="142"/>
        <v>0</v>
      </c>
      <c r="BE206" s="233">
        <f t="shared" si="169"/>
        <v>13200</v>
      </c>
      <c r="BF206" s="233">
        <f t="shared" si="170"/>
        <v>825</v>
      </c>
      <c r="BG206" s="233">
        <f t="shared" si="171"/>
        <v>9900</v>
      </c>
      <c r="BH206" s="186">
        <f t="shared" si="172"/>
        <v>12375</v>
      </c>
      <c r="BI206" s="233">
        <f t="shared" si="173"/>
        <v>1</v>
      </c>
      <c r="BJ206" s="233">
        <f t="shared" si="174"/>
        <v>12375</v>
      </c>
      <c r="BK206" s="233">
        <f t="shared" si="175"/>
        <v>7839.0241045423591</v>
      </c>
      <c r="BL206" s="233">
        <f t="shared" si="176"/>
        <v>0</v>
      </c>
      <c r="BM206" s="233">
        <f t="shared" si="177"/>
        <v>2475</v>
      </c>
      <c r="BN206" s="233">
        <f t="shared" si="178"/>
        <v>2475</v>
      </c>
    </row>
    <row r="207" spans="1:66" s="198" customFormat="1" hidden="1" outlineLevel="1">
      <c r="A207" s="176" t="s">
        <v>697</v>
      </c>
      <c r="B207" s="176" t="s">
        <v>143</v>
      </c>
      <c r="C207" s="176"/>
      <c r="D207" s="176"/>
      <c r="E207" s="176"/>
      <c r="F207" s="176" t="s">
        <v>181</v>
      </c>
      <c r="G207" s="176">
        <f>_xlfn.XLOOKUP(AN207,[2]ySQL_0_24102024094604!$B:$B,[2]ySQL_0_24102024094604!$D:$D,0)</f>
        <v>0</v>
      </c>
      <c r="H207" s="176" t="s">
        <v>698</v>
      </c>
      <c r="I207" s="177">
        <v>24</v>
      </c>
      <c r="J207" s="194">
        <v>3555</v>
      </c>
      <c r="K207" s="194"/>
      <c r="L207" s="194"/>
      <c r="M207" s="194"/>
      <c r="N207" s="177"/>
      <c r="O207" s="177">
        <v>7.21</v>
      </c>
      <c r="P207" s="177" t="s">
        <v>167</v>
      </c>
      <c r="Q207" s="177">
        <v>8</v>
      </c>
      <c r="R207" s="177">
        <v>3</v>
      </c>
      <c r="S207" s="177">
        <v>3</v>
      </c>
      <c r="T207" s="179">
        <v>61.576354679799998</v>
      </c>
      <c r="U207" s="177">
        <v>44.05</v>
      </c>
      <c r="V207" s="177">
        <v>16</v>
      </c>
      <c r="W207" s="177">
        <f>12-$W$3</f>
        <v>11.09</v>
      </c>
      <c r="X207" s="180">
        <v>0</v>
      </c>
      <c r="Y207" s="180">
        <f>Z207/J207</f>
        <v>10</v>
      </c>
      <c r="Z207" s="180">
        <v>35550</v>
      </c>
      <c r="AA207" s="180">
        <v>0</v>
      </c>
      <c r="AB207" s="180">
        <v>0</v>
      </c>
      <c r="AC207" s="180">
        <v>35550</v>
      </c>
      <c r="AD207" s="195">
        <v>57733.2</v>
      </c>
      <c r="AE207" s="177" t="s">
        <v>147</v>
      </c>
      <c r="AF207" s="182">
        <v>44833</v>
      </c>
      <c r="AG207" s="177">
        <v>11.276601970031521</v>
      </c>
      <c r="AH207" s="177">
        <v>11.007641051719752</v>
      </c>
      <c r="AI207" s="196">
        <f>AG207/Q207-1</f>
        <v>0.40957524625394015</v>
      </c>
      <c r="AJ207" s="196">
        <f>AH207/Q207-1</f>
        <v>0.37595513146496895</v>
      </c>
      <c r="AK207" s="177"/>
      <c r="AL207" s="177"/>
      <c r="AM207" s="177"/>
      <c r="AN207" s="177" t="s">
        <v>561</v>
      </c>
      <c r="AO207" s="177"/>
      <c r="AP207" s="196">
        <f>AG207/O207-1</f>
        <v>0.56402246463682681</v>
      </c>
      <c r="AQ207" s="196">
        <f>AH207/O207-1</f>
        <v>0.52671859247153274</v>
      </c>
      <c r="AR207" s="177" t="str">
        <f t="shared" si="161"/>
        <v>New Lease</v>
      </c>
      <c r="AS207" s="182" t="str">
        <f t="shared" si="162"/>
        <v>Q3 2022</v>
      </c>
      <c r="AT207" s="182" t="str">
        <f t="shared" si="163"/>
        <v>2H2022</v>
      </c>
      <c r="AU207" s="184" t="str">
        <f t="shared" si="164"/>
        <v>&lt; 20K</v>
      </c>
      <c r="AV207" s="179" t="str">
        <f t="shared" si="159"/>
        <v/>
      </c>
      <c r="AW207" s="233" t="str">
        <f t="shared" si="165"/>
        <v/>
      </c>
      <c r="AX207" s="233">
        <f t="shared" si="166"/>
        <v>25631.55</v>
      </c>
      <c r="AY207" s="198" t="str">
        <f t="shared" si="160"/>
        <v/>
      </c>
      <c r="AZ207" s="233" t="str">
        <f t="shared" si="179"/>
        <v/>
      </c>
      <c r="BA207" s="233">
        <f t="shared" si="167"/>
        <v>28440</v>
      </c>
      <c r="BB207" s="233" t="str">
        <f t="shared" si="168"/>
        <v/>
      </c>
      <c r="BC207" s="233">
        <f t="shared" si="158"/>
        <v>40088.32000346206</v>
      </c>
      <c r="BD207" s="233">
        <f t="shared" si="142"/>
        <v>39132.16393886372</v>
      </c>
      <c r="BE207" s="233">
        <f t="shared" si="169"/>
        <v>56880</v>
      </c>
      <c r="BF207" s="233">
        <f t="shared" si="170"/>
        <v>3555</v>
      </c>
      <c r="BG207" s="233">
        <f t="shared" si="171"/>
        <v>39424.949999999997</v>
      </c>
      <c r="BH207" s="186" t="str">
        <f t="shared" si="172"/>
        <v/>
      </c>
      <c r="BI207" s="233">
        <f t="shared" si="173"/>
        <v>0</v>
      </c>
      <c r="BJ207" s="233">
        <f t="shared" si="174"/>
        <v>0</v>
      </c>
      <c r="BK207" s="233">
        <f t="shared" si="175"/>
        <v>218903.940886689</v>
      </c>
      <c r="BL207" s="233">
        <f t="shared" si="176"/>
        <v>156597.75</v>
      </c>
      <c r="BM207" s="233">
        <f t="shared" si="177"/>
        <v>10665</v>
      </c>
      <c r="BN207" s="233">
        <f t="shared" si="178"/>
        <v>10665</v>
      </c>
    </row>
    <row r="208" spans="1:66" s="198" customFormat="1" hidden="1" outlineLevel="1">
      <c r="A208" s="176" t="s">
        <v>241</v>
      </c>
      <c r="B208" s="176" t="s">
        <v>143</v>
      </c>
      <c r="C208" s="176"/>
      <c r="D208" s="176"/>
      <c r="E208" s="176"/>
      <c r="F208" s="176" t="s">
        <v>207</v>
      </c>
      <c r="G208" s="176" t="str">
        <f>_xlfn.XLOOKUP(AN208,[2]ySQL_0_24102024094604!$B:$B,[2]ySQL_0_24102024094604!$D:$D,0)</f>
        <v>Yes</v>
      </c>
      <c r="H208" s="176" t="s">
        <v>699</v>
      </c>
      <c r="I208" s="177">
        <v>60</v>
      </c>
      <c r="J208" s="178">
        <v>7571</v>
      </c>
      <c r="K208" s="178">
        <f>VLOOKUP(AN208,'[4]Performance Table'!$B$4:$BJ$388,61,0)</f>
        <v>9772433.6699999999</v>
      </c>
      <c r="L208" s="178">
        <f>VLOOKUP(H208,'[5]Leasing Activity Report'!$F$4:$J$25,5,0)</f>
        <v>81311</v>
      </c>
      <c r="M208" s="190">
        <f>Q208/(K208/L208)</f>
        <v>0.10816578916723413</v>
      </c>
      <c r="N208" s="177">
        <v>11.75</v>
      </c>
      <c r="O208" s="177">
        <v>12.98</v>
      </c>
      <c r="P208" s="177">
        <v>9</v>
      </c>
      <c r="Q208" s="177">
        <v>13</v>
      </c>
      <c r="R208" s="177">
        <v>4</v>
      </c>
      <c r="S208" s="177">
        <v>4</v>
      </c>
      <c r="T208" s="179">
        <f>AC208/AD208*100</f>
        <v>6.0000006378100039</v>
      </c>
      <c r="U208" s="177"/>
      <c r="V208" s="177">
        <v>17</v>
      </c>
      <c r="W208" s="177">
        <v>6</v>
      </c>
      <c r="X208" s="188">
        <v>31984.45</v>
      </c>
      <c r="Y208" s="188"/>
      <c r="Z208" s="188" t="s">
        <v>167</v>
      </c>
      <c r="AA208" s="188"/>
      <c r="AB208" s="188">
        <v>0</v>
      </c>
      <c r="AC208" s="188">
        <f>SUM(X208:AB208)</f>
        <v>31984.45</v>
      </c>
      <c r="AD208" s="189">
        <v>533074.11</v>
      </c>
      <c r="AE208" s="177" t="s">
        <v>161</v>
      </c>
      <c r="AF208" s="182">
        <v>45337</v>
      </c>
      <c r="AG208" s="177"/>
      <c r="AH208" s="177"/>
      <c r="AI208" s="183"/>
      <c r="AJ208" s="183"/>
      <c r="AK208" s="177"/>
      <c r="AL208" s="177"/>
      <c r="AM208" s="177"/>
      <c r="AN208" s="177" t="s">
        <v>209</v>
      </c>
      <c r="AO208" s="177"/>
      <c r="AP208" s="183"/>
      <c r="AQ208" s="183"/>
      <c r="AR208" s="177" t="str">
        <f t="shared" si="161"/>
        <v>New Lease</v>
      </c>
      <c r="AS208" s="182" t="str">
        <f t="shared" si="162"/>
        <v>Q1 2024</v>
      </c>
      <c r="AT208" s="182" t="str">
        <f t="shared" si="163"/>
        <v>1H2024</v>
      </c>
      <c r="AU208" s="184" t="str">
        <f t="shared" si="164"/>
        <v>&lt; 20K</v>
      </c>
      <c r="AV208" s="179">
        <f t="shared" si="159"/>
        <v>7571</v>
      </c>
      <c r="AW208" s="233">
        <f t="shared" si="165"/>
        <v>88959.25</v>
      </c>
      <c r="AX208" s="233">
        <f t="shared" si="166"/>
        <v>98271.58</v>
      </c>
      <c r="AY208" s="198">
        <f t="shared" si="160"/>
        <v>68139</v>
      </c>
      <c r="AZ208" s="233">
        <f t="shared" si="179"/>
        <v>98423</v>
      </c>
      <c r="BA208" s="233">
        <f t="shared" si="167"/>
        <v>98423</v>
      </c>
      <c r="BB208" s="233">
        <f t="shared" si="168"/>
        <v>98423</v>
      </c>
      <c r="BC208" s="233">
        <f t="shared" si="158"/>
        <v>0</v>
      </c>
      <c r="BD208" s="233">
        <f t="shared" si="142"/>
        <v>0</v>
      </c>
      <c r="BE208" s="233">
        <f t="shared" si="169"/>
        <v>128707</v>
      </c>
      <c r="BF208" s="233">
        <f t="shared" si="170"/>
        <v>7571</v>
      </c>
      <c r="BG208" s="233">
        <f t="shared" si="171"/>
        <v>45426</v>
      </c>
      <c r="BH208" s="186" t="str">
        <f t="shared" si="172"/>
        <v/>
      </c>
      <c r="BI208" s="233">
        <f t="shared" si="173"/>
        <v>0</v>
      </c>
      <c r="BJ208" s="233">
        <f t="shared" si="174"/>
        <v>0</v>
      </c>
      <c r="BK208" s="233">
        <f t="shared" si="175"/>
        <v>45426.004828859543</v>
      </c>
      <c r="BL208" s="233">
        <f t="shared" si="176"/>
        <v>0</v>
      </c>
      <c r="BM208" s="233">
        <f t="shared" si="177"/>
        <v>30284</v>
      </c>
      <c r="BN208" s="233">
        <f t="shared" si="178"/>
        <v>30284</v>
      </c>
    </row>
    <row r="209" spans="1:66" s="198" customFormat="1" hidden="1" outlineLevel="1">
      <c r="A209" s="176" t="s">
        <v>700</v>
      </c>
      <c r="B209" s="176" t="s">
        <v>143</v>
      </c>
      <c r="C209" s="176" t="s">
        <v>335</v>
      </c>
      <c r="D209" s="176" t="s">
        <v>335</v>
      </c>
      <c r="E209" s="176"/>
      <c r="F209" s="176" t="s">
        <v>207</v>
      </c>
      <c r="G209" s="176">
        <v>0</v>
      </c>
      <c r="H209" s="176" t="s">
        <v>701</v>
      </c>
      <c r="I209" s="177">
        <v>60</v>
      </c>
      <c r="J209" s="178">
        <v>11369</v>
      </c>
      <c r="K209" s="178"/>
      <c r="L209" s="178"/>
      <c r="M209" s="178"/>
      <c r="N209" s="177"/>
      <c r="O209" s="177">
        <v>12.478999999999999</v>
      </c>
      <c r="P209" s="177">
        <v>11</v>
      </c>
      <c r="Q209" s="177">
        <v>12.5</v>
      </c>
      <c r="R209" s="177">
        <v>4</v>
      </c>
      <c r="S209" s="177">
        <v>4</v>
      </c>
      <c r="T209" s="179">
        <v>7.5384778559000001</v>
      </c>
      <c r="U209" s="177">
        <v>29</v>
      </c>
      <c r="V209" s="177">
        <v>18</v>
      </c>
      <c r="W209" s="177">
        <v>6</v>
      </c>
      <c r="X209" s="180">
        <v>46183</v>
      </c>
      <c r="Y209" s="180"/>
      <c r="Z209" s="180">
        <v>0</v>
      </c>
      <c r="AA209" s="180">
        <v>0</v>
      </c>
      <c r="AB209" s="180">
        <v>11842.71</v>
      </c>
      <c r="AC209" s="180">
        <v>58025.71</v>
      </c>
      <c r="AD209" s="181">
        <v>769727</v>
      </c>
      <c r="AE209" s="177" t="s">
        <v>161</v>
      </c>
      <c r="AF209" s="182">
        <v>45265</v>
      </c>
      <c r="AG209" s="177"/>
      <c r="AH209" s="177"/>
      <c r="AI209" s="183"/>
      <c r="AJ209" s="183"/>
      <c r="AK209" s="177"/>
      <c r="AL209" s="177"/>
      <c r="AM209" s="177"/>
      <c r="AN209" s="177" t="s">
        <v>702</v>
      </c>
      <c r="AO209" s="177"/>
      <c r="AP209" s="183"/>
      <c r="AQ209" s="183"/>
      <c r="AR209" s="177" t="str">
        <f t="shared" si="161"/>
        <v>New Lease</v>
      </c>
      <c r="AS209" s="182" t="str">
        <f t="shared" si="162"/>
        <v>Q4 2023</v>
      </c>
      <c r="AT209" s="182" t="str">
        <f t="shared" si="163"/>
        <v>2H2023</v>
      </c>
      <c r="AU209" s="184" t="str">
        <f t="shared" si="164"/>
        <v>&lt; 20K</v>
      </c>
      <c r="AV209" s="179" t="str">
        <f t="shared" si="159"/>
        <v/>
      </c>
      <c r="AW209" s="233" t="str">
        <f t="shared" si="165"/>
        <v/>
      </c>
      <c r="AX209" s="233">
        <f t="shared" si="166"/>
        <v>141873.75099999999</v>
      </c>
      <c r="AY209" s="198">
        <f t="shared" si="160"/>
        <v>125059</v>
      </c>
      <c r="AZ209" s="233" t="str">
        <f t="shared" si="179"/>
        <v/>
      </c>
      <c r="BA209" s="233">
        <f t="shared" si="167"/>
        <v>142112.5</v>
      </c>
      <c r="BB209" s="233" t="str">
        <f t="shared" si="168"/>
        <v/>
      </c>
      <c r="BC209" s="233">
        <f t="shared" si="158"/>
        <v>0</v>
      </c>
      <c r="BD209" s="233">
        <f t="shared" si="142"/>
        <v>0</v>
      </c>
      <c r="BE209" s="233">
        <f t="shared" si="169"/>
        <v>204642</v>
      </c>
      <c r="BF209" s="233">
        <f t="shared" si="170"/>
        <v>11369</v>
      </c>
      <c r="BG209" s="233">
        <f t="shared" si="171"/>
        <v>68214</v>
      </c>
      <c r="BH209" s="186">
        <f t="shared" si="172"/>
        <v>142112.5</v>
      </c>
      <c r="BI209" s="233">
        <f t="shared" si="173"/>
        <v>1.0000001407335737</v>
      </c>
      <c r="BJ209" s="233">
        <f t="shared" si="174"/>
        <v>142112.51999999999</v>
      </c>
      <c r="BK209" s="233">
        <f t="shared" si="175"/>
        <v>85704.954743727096</v>
      </c>
      <c r="BL209" s="233">
        <f t="shared" si="176"/>
        <v>329701</v>
      </c>
      <c r="BM209" s="233">
        <f t="shared" si="177"/>
        <v>45476</v>
      </c>
      <c r="BN209" s="233">
        <f t="shared" si="178"/>
        <v>45476</v>
      </c>
    </row>
    <row r="210" spans="1:66" s="198" customFormat="1" hidden="1" outlineLevel="1">
      <c r="A210" s="176" t="s">
        <v>703</v>
      </c>
      <c r="B210" s="176" t="s">
        <v>143</v>
      </c>
      <c r="C210" s="176"/>
      <c r="D210" s="176"/>
      <c r="E210" s="176"/>
      <c r="F210" s="176" t="s">
        <v>181</v>
      </c>
      <c r="G210" s="438">
        <v>0</v>
      </c>
      <c r="H210" s="176" t="s">
        <v>704</v>
      </c>
      <c r="I210" s="177">
        <v>63</v>
      </c>
      <c r="J210" s="178">
        <v>40492</v>
      </c>
      <c r="K210" s="178">
        <f>_xlfn.XLOOKUP(AN210,'[1]Performance Table'!$B:$B,'[1]Performance Table'!$BE:$BE,0)</f>
        <v>7597619.46</v>
      </c>
      <c r="L210" s="437">
        <v>75387</v>
      </c>
      <c r="M210" s="190">
        <f>Q210/(K210/L210)</f>
        <v>0.10418572609057732</v>
      </c>
      <c r="N210" s="177"/>
      <c r="O210" s="442">
        <v>8.86</v>
      </c>
      <c r="P210" s="442">
        <v>10.5</v>
      </c>
      <c r="Q210" s="442">
        <v>10.5</v>
      </c>
      <c r="R210" s="177">
        <v>4</v>
      </c>
      <c r="S210" s="177">
        <v>3</v>
      </c>
      <c r="T210" s="177"/>
      <c r="U210" s="177"/>
      <c r="V210" s="177">
        <v>22</v>
      </c>
      <c r="W210" s="177">
        <v>9</v>
      </c>
      <c r="X210" s="180">
        <f>Z210+AA210</f>
        <v>91107</v>
      </c>
      <c r="Y210" s="180">
        <f>Z210/J210</f>
        <v>2.25</v>
      </c>
      <c r="Z210" s="180">
        <v>91107</v>
      </c>
      <c r="AA210" s="180"/>
      <c r="AB210" s="180">
        <v>106291.5</v>
      </c>
      <c r="AC210" s="180">
        <f>SUM(X210:AB210)</f>
        <v>288507.75</v>
      </c>
      <c r="AD210" s="443">
        <v>2325865.54</v>
      </c>
      <c r="AE210" s="177" t="s">
        <v>147</v>
      </c>
      <c r="AF210" s="182">
        <v>45632</v>
      </c>
      <c r="AG210" s="177"/>
      <c r="AH210" s="177"/>
      <c r="AI210" s="183"/>
      <c r="AJ210" s="183"/>
      <c r="AK210" s="249" t="s">
        <v>705</v>
      </c>
      <c r="AL210" s="249" t="s">
        <v>149</v>
      </c>
      <c r="AM210" s="444">
        <v>11.51</v>
      </c>
      <c r="AN210" s="177" t="s">
        <v>514</v>
      </c>
      <c r="AO210" s="177"/>
      <c r="AP210" s="183"/>
      <c r="AQ210" s="183"/>
      <c r="AR210" s="177" t="str">
        <f t="shared" si="161"/>
        <v>New Lease</v>
      </c>
      <c r="AS210" s="182" t="str">
        <f t="shared" si="162"/>
        <v>Q4 2024</v>
      </c>
      <c r="AT210" s="182" t="str">
        <f t="shared" si="163"/>
        <v>2H2024</v>
      </c>
      <c r="AU210" s="184" t="str">
        <f t="shared" si="164"/>
        <v>20-50K</v>
      </c>
      <c r="AV210" s="179" t="str">
        <f t="shared" si="159"/>
        <v/>
      </c>
      <c r="AW210" s="233" t="str">
        <f t="shared" si="165"/>
        <v/>
      </c>
      <c r="AX210" s="233">
        <f t="shared" si="166"/>
        <v>358759.12</v>
      </c>
      <c r="AY210" s="198">
        <f t="shared" si="160"/>
        <v>425166</v>
      </c>
      <c r="AZ210" s="233" t="str">
        <f t="shared" si="179"/>
        <v/>
      </c>
      <c r="BA210" s="233">
        <f t="shared" si="167"/>
        <v>425166</v>
      </c>
      <c r="BB210" s="233" t="str">
        <f t="shared" si="168"/>
        <v/>
      </c>
      <c r="BC210" s="233">
        <f t="shared" si="158"/>
        <v>0</v>
      </c>
      <c r="BD210" s="233">
        <f t="shared" si="142"/>
        <v>0</v>
      </c>
      <c r="BE210" s="233">
        <f t="shared" si="169"/>
        <v>890824</v>
      </c>
      <c r="BF210" s="233">
        <f t="shared" si="170"/>
        <v>40492</v>
      </c>
      <c r="BG210" s="233">
        <f t="shared" si="171"/>
        <v>364428</v>
      </c>
      <c r="BH210" s="186">
        <f t="shared" si="172"/>
        <v>425166</v>
      </c>
      <c r="BI210" s="233">
        <f t="shared" si="173"/>
        <v>3</v>
      </c>
      <c r="BJ210" s="233">
        <f t="shared" si="174"/>
        <v>1275498</v>
      </c>
      <c r="BK210" s="233">
        <f t="shared" si="175"/>
        <v>0</v>
      </c>
      <c r="BL210" s="233">
        <f t="shared" si="176"/>
        <v>0</v>
      </c>
      <c r="BM210" s="233">
        <f t="shared" si="177"/>
        <v>161968</v>
      </c>
      <c r="BN210" s="233">
        <f t="shared" si="178"/>
        <v>121476</v>
      </c>
    </row>
    <row r="211" spans="1:66" s="198" customFormat="1" hidden="1" outlineLevel="1">
      <c r="A211" s="176" t="s">
        <v>706</v>
      </c>
      <c r="B211" s="176" t="s">
        <v>157</v>
      </c>
      <c r="C211" s="176" t="s">
        <v>157</v>
      </c>
      <c r="D211" s="192" t="s">
        <v>413</v>
      </c>
      <c r="E211" s="192">
        <f>O211/N211-1</f>
        <v>0.25634057971014501</v>
      </c>
      <c r="F211" s="176" t="s">
        <v>173</v>
      </c>
      <c r="G211" s="176">
        <f>_xlfn.XLOOKUP(AN211,[2]ySQL_0_24102024094604!$B:$B,[2]ySQL_0_24102024094604!$D:$D,0)</f>
        <v>0</v>
      </c>
      <c r="H211" s="176" t="s">
        <v>707</v>
      </c>
      <c r="I211" s="177">
        <v>60</v>
      </c>
      <c r="J211" s="194">
        <v>24012</v>
      </c>
      <c r="K211" s="194"/>
      <c r="L211" s="194"/>
      <c r="M211" s="194"/>
      <c r="N211" s="177">
        <v>11.04</v>
      </c>
      <c r="O211" s="177">
        <v>13.87</v>
      </c>
      <c r="P211" s="177">
        <v>13.75</v>
      </c>
      <c r="Q211" s="177">
        <v>14</v>
      </c>
      <c r="R211" s="177">
        <v>3</v>
      </c>
      <c r="S211" s="177">
        <v>3</v>
      </c>
      <c r="T211" s="179">
        <v>0</v>
      </c>
      <c r="U211" s="177">
        <v>0</v>
      </c>
      <c r="V211" s="177">
        <v>0</v>
      </c>
      <c r="W211" s="177">
        <v>0</v>
      </c>
      <c r="X211" s="180">
        <v>0</v>
      </c>
      <c r="Y211" s="180"/>
      <c r="Z211" s="180">
        <v>0</v>
      </c>
      <c r="AA211" s="180">
        <v>0</v>
      </c>
      <c r="AB211" s="180">
        <v>0</v>
      </c>
      <c r="AC211" s="180">
        <v>0</v>
      </c>
      <c r="AD211" s="195">
        <v>1784781.96</v>
      </c>
      <c r="AE211" s="177" t="s">
        <v>161</v>
      </c>
      <c r="AF211" s="182">
        <v>44985</v>
      </c>
      <c r="AG211" s="177">
        <v>15.214083574805548</v>
      </c>
      <c r="AH211" s="177">
        <v>14.298341502511954</v>
      </c>
      <c r="AI211" s="196">
        <v>-8.6720255342999994</v>
      </c>
      <c r="AJ211" s="196">
        <v>-2.1310107322</v>
      </c>
      <c r="AK211" s="177">
        <v>9</v>
      </c>
      <c r="AL211" s="177"/>
      <c r="AM211" s="177"/>
      <c r="AN211" s="177" t="s">
        <v>708</v>
      </c>
      <c r="AO211" s="177"/>
      <c r="AP211" s="196">
        <f>AG211/O211-1</f>
        <v>9.6905809286629285E-2</v>
      </c>
      <c r="AQ211" s="196">
        <f>AH211/O211-1</f>
        <v>3.0882588501222497E-2</v>
      </c>
      <c r="AR211" s="177" t="str">
        <f t="shared" si="161"/>
        <v>Renewal</v>
      </c>
      <c r="AS211" s="182" t="str">
        <f t="shared" si="162"/>
        <v>Q1 2023</v>
      </c>
      <c r="AT211" s="182" t="str">
        <f t="shared" si="163"/>
        <v>1H2023</v>
      </c>
      <c r="AU211" s="184" t="str">
        <f t="shared" si="164"/>
        <v>20-50K</v>
      </c>
      <c r="AV211" s="179">
        <f t="shared" si="159"/>
        <v>24012</v>
      </c>
      <c r="AW211" s="233">
        <f t="shared" si="165"/>
        <v>265092.47999999998</v>
      </c>
      <c r="AX211" s="233">
        <f t="shared" si="166"/>
        <v>333046.44</v>
      </c>
      <c r="AY211" s="198">
        <f t="shared" si="160"/>
        <v>330165</v>
      </c>
      <c r="AZ211" s="233">
        <f>Q211*AV211</f>
        <v>336168</v>
      </c>
      <c r="BA211" s="233">
        <f t="shared" si="167"/>
        <v>336168</v>
      </c>
      <c r="BB211" s="233">
        <f t="shared" si="168"/>
        <v>336168</v>
      </c>
      <c r="BC211" s="233">
        <f t="shared" si="158"/>
        <v>365320.57479823084</v>
      </c>
      <c r="BD211" s="233">
        <f t="shared" si="142"/>
        <v>343331.77615831705</v>
      </c>
      <c r="BE211" s="233">
        <f t="shared" si="169"/>
        <v>0</v>
      </c>
      <c r="BF211" s="233">
        <f t="shared" si="170"/>
        <v>0</v>
      </c>
      <c r="BG211" s="233">
        <f t="shared" si="171"/>
        <v>0</v>
      </c>
      <c r="BH211" s="186" t="str">
        <f t="shared" si="172"/>
        <v/>
      </c>
      <c r="BI211" s="233">
        <f t="shared" si="173"/>
        <v>0</v>
      </c>
      <c r="BJ211" s="233">
        <f t="shared" si="174"/>
        <v>0</v>
      </c>
      <c r="BK211" s="233">
        <f t="shared" si="175"/>
        <v>0</v>
      </c>
      <c r="BL211" s="233">
        <f t="shared" si="176"/>
        <v>0</v>
      </c>
      <c r="BM211" s="233">
        <f t="shared" si="177"/>
        <v>72036</v>
      </c>
      <c r="BN211" s="233">
        <f t="shared" si="178"/>
        <v>72036</v>
      </c>
    </row>
    <row r="212" spans="1:66" s="198" customFormat="1" hidden="1" outlineLevel="1">
      <c r="A212" s="176" t="s">
        <v>709</v>
      </c>
      <c r="B212" s="176" t="s">
        <v>143</v>
      </c>
      <c r="C212" s="176"/>
      <c r="D212" s="176"/>
      <c r="E212" s="176"/>
      <c r="F212" s="176" t="s">
        <v>207</v>
      </c>
      <c r="G212" s="176">
        <f>_xlfn.XLOOKUP(AN212,[2]ySQL_0_24102024094604!$B:$B,[2]ySQL_0_24102024094604!$D:$D,0)</f>
        <v>0</v>
      </c>
      <c r="H212" s="176" t="s">
        <v>710</v>
      </c>
      <c r="I212" s="177">
        <v>18</v>
      </c>
      <c r="J212" s="178">
        <v>2674</v>
      </c>
      <c r="K212" s="178">
        <f>VLOOKUP(AN212,'[4]Performance Table'!$B$4:$BJ$388,61,0)</f>
        <v>3842221</v>
      </c>
      <c r="L212" s="178">
        <f>VLOOKUP(H212,'[5]Leasing Activity Report'!$F$4:$J$25,5,0)</f>
        <v>32699</v>
      </c>
      <c r="M212" s="190">
        <f>Q212/(K212/L212)</f>
        <v>9.3614864943999843E-2</v>
      </c>
      <c r="N212" s="177"/>
      <c r="O212" s="177">
        <v>11.44</v>
      </c>
      <c r="P212" s="177">
        <v>10.5</v>
      </c>
      <c r="Q212" s="177">
        <v>11</v>
      </c>
      <c r="R212" s="177">
        <v>4</v>
      </c>
      <c r="S212" s="177">
        <v>4</v>
      </c>
      <c r="T212" s="179">
        <f>AC212/AD212*100</f>
        <v>4.1066612270800755</v>
      </c>
      <c r="U212" s="177"/>
      <c r="V212" s="177"/>
      <c r="W212" s="177">
        <v>9</v>
      </c>
      <c r="X212" s="188">
        <v>1811.9</v>
      </c>
      <c r="Y212" s="188"/>
      <c r="Z212" s="188" t="s">
        <v>167</v>
      </c>
      <c r="AA212" s="188"/>
      <c r="AB212" s="188">
        <v>0</v>
      </c>
      <c r="AC212" s="188">
        <f>SUM(X212:AB212)</f>
        <v>1811.9</v>
      </c>
      <c r="AD212" s="189">
        <v>44121</v>
      </c>
      <c r="AE212" s="177" t="s">
        <v>161</v>
      </c>
      <c r="AF212" s="182">
        <v>45342</v>
      </c>
      <c r="AG212" s="177"/>
      <c r="AH212" s="177"/>
      <c r="AI212" s="183"/>
      <c r="AJ212" s="183"/>
      <c r="AK212" s="177"/>
      <c r="AL212" s="177"/>
      <c r="AM212" s="177"/>
      <c r="AN212" s="177" t="s">
        <v>711</v>
      </c>
      <c r="AO212" s="177"/>
      <c r="AP212" s="183"/>
      <c r="AQ212" s="183"/>
      <c r="AR212" s="177" t="str">
        <f t="shared" si="161"/>
        <v>New Lease</v>
      </c>
      <c r="AS212" s="182" t="str">
        <f t="shared" si="162"/>
        <v>Q1 2024</v>
      </c>
      <c r="AT212" s="182" t="str">
        <f t="shared" si="163"/>
        <v>1H2024</v>
      </c>
      <c r="AU212" s="184" t="str">
        <f t="shared" si="164"/>
        <v>&lt; 20K</v>
      </c>
      <c r="AV212" s="179" t="str">
        <f t="shared" si="159"/>
        <v/>
      </c>
      <c r="AW212" s="233" t="str">
        <f t="shared" si="165"/>
        <v/>
      </c>
      <c r="AX212" s="233">
        <f t="shared" si="166"/>
        <v>30590.559999999998</v>
      </c>
      <c r="AY212" s="198">
        <f t="shared" si="160"/>
        <v>28077</v>
      </c>
      <c r="AZ212" s="233" t="str">
        <f>IFERROR(Q212*AV212,"")</f>
        <v/>
      </c>
      <c r="BA212" s="233">
        <f t="shared" si="167"/>
        <v>29414</v>
      </c>
      <c r="BB212" s="233" t="str">
        <f t="shared" si="168"/>
        <v/>
      </c>
      <c r="BC212" s="233">
        <f t="shared" si="158"/>
        <v>0</v>
      </c>
      <c r="BD212" s="233">
        <f t="shared" si="142"/>
        <v>0</v>
      </c>
      <c r="BE212" s="233">
        <f t="shared" si="169"/>
        <v>0</v>
      </c>
      <c r="BF212" s="233">
        <f t="shared" si="170"/>
        <v>2674</v>
      </c>
      <c r="BG212" s="233">
        <f t="shared" si="171"/>
        <v>24066</v>
      </c>
      <c r="BH212" s="186" t="str">
        <f t="shared" si="172"/>
        <v/>
      </c>
      <c r="BI212" s="233">
        <f t="shared" si="173"/>
        <v>0</v>
      </c>
      <c r="BJ212" s="233">
        <f t="shared" si="174"/>
        <v>0</v>
      </c>
      <c r="BK212" s="233">
        <f t="shared" si="175"/>
        <v>10981.212121212122</v>
      </c>
      <c r="BL212" s="233">
        <f t="shared" si="176"/>
        <v>0</v>
      </c>
      <c r="BM212" s="233">
        <f t="shared" si="177"/>
        <v>10696</v>
      </c>
      <c r="BN212" s="233">
        <f t="shared" si="178"/>
        <v>10696</v>
      </c>
    </row>
    <row r="213" spans="1:66" s="198" customFormat="1" hidden="1" outlineLevel="1">
      <c r="A213" s="176" t="s">
        <v>712</v>
      </c>
      <c r="B213" s="176" t="s">
        <v>157</v>
      </c>
      <c r="C213" s="176" t="s">
        <v>157</v>
      </c>
      <c r="D213" s="192" t="s">
        <v>413</v>
      </c>
      <c r="E213" s="192">
        <f>O213/N213-1</f>
        <v>0.41114982578397208</v>
      </c>
      <c r="F213" s="176" t="s">
        <v>158</v>
      </c>
      <c r="G213" s="176">
        <f>_xlfn.XLOOKUP(AN213,[2]ySQL_0_24102024094604!$B:$B,[2]ySQL_0_24102024094604!$D:$D,0)</f>
        <v>0</v>
      </c>
      <c r="H213" s="176" t="s">
        <v>713</v>
      </c>
      <c r="I213" s="177">
        <v>60</v>
      </c>
      <c r="J213" s="194">
        <v>18000</v>
      </c>
      <c r="K213" s="194"/>
      <c r="L213" s="194"/>
      <c r="M213" s="194"/>
      <c r="N213" s="177">
        <v>2.87</v>
      </c>
      <c r="O213" s="177">
        <v>4.05</v>
      </c>
      <c r="P213" s="177">
        <v>4.05</v>
      </c>
      <c r="Q213" s="177">
        <v>4.0999999999999996</v>
      </c>
      <c r="R213" s="179">
        <v>3</v>
      </c>
      <c r="S213" s="179">
        <v>3</v>
      </c>
      <c r="T213" s="179">
        <v>9.0100263828999996</v>
      </c>
      <c r="U213" s="197">
        <v>11</v>
      </c>
      <c r="V213" s="177">
        <v>0</v>
      </c>
      <c r="W213" s="177">
        <v>0</v>
      </c>
      <c r="X213" s="180">
        <v>15672.57</v>
      </c>
      <c r="Y213" s="180"/>
      <c r="Z213" s="180">
        <v>19630</v>
      </c>
      <c r="AA213" s="180">
        <v>0</v>
      </c>
      <c r="AB213" s="180">
        <v>0</v>
      </c>
      <c r="AC213" s="180">
        <v>35302.57</v>
      </c>
      <c r="AD213" s="195">
        <v>391814.28</v>
      </c>
      <c r="AE213" s="177" t="s">
        <v>161</v>
      </c>
      <c r="AF213" s="182">
        <v>44915</v>
      </c>
      <c r="AG213" s="197">
        <v>4.6249970661697741</v>
      </c>
      <c r="AH213" s="197">
        <v>4.3205275197453998</v>
      </c>
      <c r="AI213" s="196">
        <f>AG213/Q213-1</f>
        <v>0.12804806491945731</v>
      </c>
      <c r="AJ213" s="196">
        <f>AH213/Q213-1</f>
        <v>5.3787199937902486E-2</v>
      </c>
      <c r="AK213" s="177"/>
      <c r="AL213" s="177"/>
      <c r="AM213" s="177"/>
      <c r="AN213" s="177" t="s">
        <v>164</v>
      </c>
      <c r="AP213" s="196">
        <f>AG213/O213-1</f>
        <v>0.14197458423945042</v>
      </c>
      <c r="AQ213" s="196">
        <f>AH213/O213-1</f>
        <v>6.6796918455654275E-2</v>
      </c>
      <c r="AR213" s="177" t="str">
        <f t="shared" si="161"/>
        <v>Renewal</v>
      </c>
      <c r="AS213" s="182" t="str">
        <f t="shared" si="162"/>
        <v>Q4 2022</v>
      </c>
      <c r="AT213" s="182" t="str">
        <f t="shared" si="163"/>
        <v>2H2022</v>
      </c>
      <c r="AU213" s="184" t="str">
        <f t="shared" si="164"/>
        <v>&lt; 20K</v>
      </c>
      <c r="AV213" s="179">
        <f t="shared" si="159"/>
        <v>18000</v>
      </c>
      <c r="AW213" s="233">
        <f t="shared" si="165"/>
        <v>51660</v>
      </c>
      <c r="AX213" s="233">
        <f t="shared" si="166"/>
        <v>72900</v>
      </c>
      <c r="AY213" s="233">
        <f>J213*P213</f>
        <v>72900</v>
      </c>
      <c r="AZ213" s="233">
        <f t="shared" ref="AZ213:AZ220" si="180">Q213*AV213</f>
        <v>73800</v>
      </c>
      <c r="BA213" s="233">
        <f t="shared" si="167"/>
        <v>73800</v>
      </c>
      <c r="BB213" s="233">
        <f t="shared" si="168"/>
        <v>73800</v>
      </c>
      <c r="BC213" s="233">
        <f t="shared" si="158"/>
        <v>83249.947191055937</v>
      </c>
      <c r="BD213" s="233">
        <f t="shared" si="142"/>
        <v>77769.495355417195</v>
      </c>
      <c r="BE213" s="233">
        <f t="shared" si="169"/>
        <v>0</v>
      </c>
      <c r="BF213" s="233">
        <f t="shared" si="170"/>
        <v>0</v>
      </c>
      <c r="BG213" s="233">
        <f t="shared" si="171"/>
        <v>0</v>
      </c>
      <c r="BH213" s="186" t="str">
        <f t="shared" si="172"/>
        <v/>
      </c>
      <c r="BI213" s="233">
        <f t="shared" si="173"/>
        <v>0</v>
      </c>
      <c r="BJ213" s="233">
        <f t="shared" si="174"/>
        <v>0</v>
      </c>
      <c r="BK213" s="233">
        <f t="shared" si="175"/>
        <v>162180.4748922</v>
      </c>
      <c r="BL213" s="233">
        <f t="shared" si="176"/>
        <v>198000</v>
      </c>
      <c r="BM213" s="233">
        <f t="shared" si="177"/>
        <v>54000</v>
      </c>
      <c r="BN213" s="233">
        <f t="shared" si="178"/>
        <v>54000</v>
      </c>
    </row>
    <row r="214" spans="1:66" s="198" customFormat="1" hidden="1" outlineLevel="1">
      <c r="A214" s="176" t="s">
        <v>714</v>
      </c>
      <c r="B214" s="176" t="s">
        <v>157</v>
      </c>
      <c r="C214" s="176" t="s">
        <v>157</v>
      </c>
      <c r="D214" s="192" t="s">
        <v>291</v>
      </c>
      <c r="E214" s="192">
        <f>O214/N214-1</f>
        <v>5.555555555555558E-2</v>
      </c>
      <c r="F214" s="176" t="s">
        <v>244</v>
      </c>
      <c r="G214" s="176">
        <f>_xlfn.XLOOKUP(AN214,[2]ySQL_0_24102024094604!$B:$B,[2]ySQL_0_24102024094604!$D:$D,0)</f>
        <v>0</v>
      </c>
      <c r="H214" s="176" t="s">
        <v>715</v>
      </c>
      <c r="I214" s="177">
        <v>48</v>
      </c>
      <c r="J214" s="194">
        <v>191887</v>
      </c>
      <c r="K214" s="194"/>
      <c r="L214" s="194"/>
      <c r="M214" s="194"/>
      <c r="N214" s="177">
        <v>3.6</v>
      </c>
      <c r="O214" s="177">
        <v>3.8</v>
      </c>
      <c r="P214" s="177">
        <v>3.8</v>
      </c>
      <c r="Q214" s="177">
        <v>3.8</v>
      </c>
      <c r="R214" s="197">
        <v>2.6</v>
      </c>
      <c r="S214" s="197">
        <v>2.6</v>
      </c>
      <c r="T214" s="179">
        <v>2.1919443863999999</v>
      </c>
      <c r="U214" s="177">
        <v>2.8490000000000002</v>
      </c>
      <c r="V214" s="177">
        <v>0</v>
      </c>
      <c r="W214" s="177">
        <v>0</v>
      </c>
      <c r="X214" s="180">
        <v>65625</v>
      </c>
      <c r="Y214" s="180"/>
      <c r="Z214" s="180">
        <v>0</v>
      </c>
      <c r="AA214" s="180">
        <v>0</v>
      </c>
      <c r="AB214" s="180">
        <v>0</v>
      </c>
      <c r="AC214" s="180">
        <v>65625</v>
      </c>
      <c r="AD214" s="195">
        <v>2993917.2</v>
      </c>
      <c r="AE214" s="177" t="s">
        <v>161</v>
      </c>
      <c r="AF214" s="182">
        <v>44999</v>
      </c>
      <c r="AG214" s="177">
        <v>7.6143284428218037</v>
      </c>
      <c r="AH214" s="177">
        <v>7.2101378828429956</v>
      </c>
      <c r="AI214" s="196">
        <v>-100.3770642848</v>
      </c>
      <c r="AJ214" s="196">
        <v>-89.7404706011</v>
      </c>
      <c r="AK214" s="177"/>
      <c r="AL214" s="177"/>
      <c r="AM214" s="177"/>
      <c r="AN214" s="177" t="s">
        <v>716</v>
      </c>
      <c r="AO214" s="177"/>
      <c r="AP214" s="196">
        <f>AG214/O214-1</f>
        <v>1.0037706428478432</v>
      </c>
      <c r="AQ214" s="196">
        <f>AH214/O214-1</f>
        <v>0.89740470601131483</v>
      </c>
      <c r="AR214" s="177" t="str">
        <f t="shared" si="161"/>
        <v>Renewal</v>
      </c>
      <c r="AS214" s="182" t="str">
        <f t="shared" si="162"/>
        <v>Q1 2023</v>
      </c>
      <c r="AT214" s="182" t="str">
        <f t="shared" si="163"/>
        <v>1H2023</v>
      </c>
      <c r="AU214" s="184" t="str">
        <f t="shared" si="164"/>
        <v>&gt;100K</v>
      </c>
      <c r="AV214" s="179">
        <f t="shared" si="159"/>
        <v>191887</v>
      </c>
      <c r="AW214" s="233">
        <f t="shared" si="165"/>
        <v>690793.20000000007</v>
      </c>
      <c r="AX214" s="233">
        <f t="shared" si="166"/>
        <v>729170.6</v>
      </c>
      <c r="AY214" s="198">
        <f t="shared" ref="AY214:AY220" si="181">IF(P214="","",J214*P214)</f>
        <v>729170.6</v>
      </c>
      <c r="AZ214" s="233">
        <f t="shared" si="180"/>
        <v>729170.6</v>
      </c>
      <c r="BA214" s="233">
        <f t="shared" si="167"/>
        <v>729170.6</v>
      </c>
      <c r="BB214" s="233">
        <f t="shared" si="168"/>
        <v>729170.6</v>
      </c>
      <c r="BC214" s="233">
        <f t="shared" si="158"/>
        <v>1461090.6419077474</v>
      </c>
      <c r="BD214" s="233">
        <f t="shared" si="142"/>
        <v>1383531.7279250938</v>
      </c>
      <c r="BE214" s="233">
        <f t="shared" si="169"/>
        <v>0</v>
      </c>
      <c r="BF214" s="233">
        <f t="shared" si="170"/>
        <v>0</v>
      </c>
      <c r="BG214" s="233">
        <f t="shared" si="171"/>
        <v>0</v>
      </c>
      <c r="BH214" s="186" t="str">
        <f t="shared" si="172"/>
        <v/>
      </c>
      <c r="BI214" s="233">
        <f t="shared" si="173"/>
        <v>0</v>
      </c>
      <c r="BJ214" s="233">
        <f t="shared" si="174"/>
        <v>0</v>
      </c>
      <c r="BK214" s="233">
        <f t="shared" si="175"/>
        <v>420605.63247313676</v>
      </c>
      <c r="BL214" s="233">
        <f t="shared" si="176"/>
        <v>546686.06300000008</v>
      </c>
      <c r="BM214" s="233">
        <f t="shared" si="177"/>
        <v>498906.2</v>
      </c>
      <c r="BN214" s="233">
        <f t="shared" si="178"/>
        <v>498906.2</v>
      </c>
    </row>
    <row r="215" spans="1:66" s="198" customFormat="1" hidden="1" outlineLevel="1">
      <c r="A215" s="199" t="s">
        <v>717</v>
      </c>
      <c r="B215" s="176" t="s">
        <v>157</v>
      </c>
      <c r="C215" s="176" t="s">
        <v>157</v>
      </c>
      <c r="D215" s="192" t="s">
        <v>291</v>
      </c>
      <c r="E215" s="192">
        <f>O215/N215-1</f>
        <v>0.13146551724137945</v>
      </c>
      <c r="F215" s="176" t="s">
        <v>214</v>
      </c>
      <c r="G215" s="176">
        <f>_xlfn.XLOOKUP(AN215,[2]ySQL_0_24102024094604!$B:$B,[2]ySQL_0_24102024094604!$D:$D,0)</f>
        <v>0</v>
      </c>
      <c r="H215" s="199" t="s">
        <v>718</v>
      </c>
      <c r="I215" s="200">
        <v>24</v>
      </c>
      <c r="J215" s="194">
        <v>40800</v>
      </c>
      <c r="K215" s="194"/>
      <c r="L215" s="194"/>
      <c r="M215" s="194"/>
      <c r="N215" s="177">
        <v>4.6399999999999997</v>
      </c>
      <c r="O215" s="177">
        <v>5.25</v>
      </c>
      <c r="P215" s="177">
        <v>6.53</v>
      </c>
      <c r="Q215" s="177">
        <v>6.53</v>
      </c>
      <c r="R215" s="177">
        <v>0</v>
      </c>
      <c r="S215" s="177">
        <v>3</v>
      </c>
      <c r="T215" s="179">
        <v>2.3890243901999999</v>
      </c>
      <c r="U215" s="177">
        <v>10.95</v>
      </c>
      <c r="V215" s="177">
        <v>0</v>
      </c>
      <c r="W215" s="177">
        <v>0</v>
      </c>
      <c r="X215" s="180">
        <v>15985.44</v>
      </c>
      <c r="Y215" s="180"/>
      <c r="Z215" s="180">
        <v>0</v>
      </c>
      <c r="AA215" s="180">
        <v>0</v>
      </c>
      <c r="AB215" s="180">
        <v>0</v>
      </c>
      <c r="AC215" s="180">
        <v>15985.44</v>
      </c>
      <c r="AD215" s="181">
        <v>532848</v>
      </c>
      <c r="AE215" s="177" t="s">
        <v>161</v>
      </c>
      <c r="AF215" s="201">
        <v>45090</v>
      </c>
      <c r="AG215" s="177"/>
      <c r="AH215" s="177"/>
      <c r="AI215" s="196"/>
      <c r="AJ215" s="196"/>
      <c r="AK215" s="200"/>
      <c r="AL215" s="200"/>
      <c r="AM215" s="200"/>
      <c r="AN215" s="200" t="s">
        <v>236</v>
      </c>
      <c r="AO215" s="177"/>
      <c r="AP215" s="196"/>
      <c r="AQ215" s="196"/>
      <c r="AR215" s="177" t="str">
        <f t="shared" si="161"/>
        <v>Renewal</v>
      </c>
      <c r="AS215" s="182" t="str">
        <f t="shared" si="162"/>
        <v>Q2 2023</v>
      </c>
      <c r="AT215" s="182" t="str">
        <f t="shared" si="163"/>
        <v>1H2023</v>
      </c>
      <c r="AU215" s="184" t="str">
        <f t="shared" si="164"/>
        <v>20-50K</v>
      </c>
      <c r="AV215" s="179">
        <f t="shared" si="159"/>
        <v>40800</v>
      </c>
      <c r="AW215" s="233">
        <f t="shared" si="165"/>
        <v>189312</v>
      </c>
      <c r="AX215" s="233">
        <f t="shared" si="166"/>
        <v>214200</v>
      </c>
      <c r="AY215" s="198">
        <f t="shared" si="181"/>
        <v>266424</v>
      </c>
      <c r="AZ215" s="233">
        <f t="shared" si="180"/>
        <v>266424</v>
      </c>
      <c r="BA215" s="233">
        <f t="shared" si="167"/>
        <v>266424</v>
      </c>
      <c r="BB215" s="233">
        <f t="shared" si="168"/>
        <v>266424</v>
      </c>
      <c r="BC215" s="233">
        <f t="shared" si="158"/>
        <v>0</v>
      </c>
      <c r="BD215" s="233">
        <f t="shared" si="142"/>
        <v>0</v>
      </c>
      <c r="BE215" s="233">
        <f t="shared" si="169"/>
        <v>0</v>
      </c>
      <c r="BF215" s="233">
        <f t="shared" si="170"/>
        <v>0</v>
      </c>
      <c r="BG215" s="233">
        <f t="shared" si="171"/>
        <v>0</v>
      </c>
      <c r="BH215" s="198" t="str">
        <f t="shared" si="172"/>
        <v/>
      </c>
      <c r="BI215" s="233">
        <f t="shared" si="173"/>
        <v>0</v>
      </c>
      <c r="BJ215" s="233">
        <f t="shared" si="174"/>
        <v>0</v>
      </c>
      <c r="BK215" s="233">
        <f t="shared" si="175"/>
        <v>97472.195120160002</v>
      </c>
      <c r="BL215" s="233">
        <f t="shared" si="176"/>
        <v>446760</v>
      </c>
      <c r="BM215" s="233">
        <f t="shared" si="177"/>
        <v>0</v>
      </c>
      <c r="BN215" s="233">
        <f t="shared" si="178"/>
        <v>122400</v>
      </c>
    </row>
    <row r="216" spans="1:66" s="198" customFormat="1" hidden="1" outlineLevel="1">
      <c r="A216" s="176" t="s">
        <v>719</v>
      </c>
      <c r="B216" s="176" t="s">
        <v>252</v>
      </c>
      <c r="C216" s="176"/>
      <c r="D216" s="176"/>
      <c r="E216" s="176"/>
      <c r="F216" s="176" t="s">
        <v>244</v>
      </c>
      <c r="G216" s="176">
        <f>_xlfn.XLOOKUP(AN216,[2]ySQL_0_24102024094604!$B:$B,[2]ySQL_0_24102024094604!$D:$D,0)</f>
        <v>0</v>
      </c>
      <c r="H216" s="176" t="s">
        <v>720</v>
      </c>
      <c r="I216" s="177">
        <v>36</v>
      </c>
      <c r="J216" s="194">
        <v>8060</v>
      </c>
      <c r="K216" s="194"/>
      <c r="L216" s="194"/>
      <c r="M216" s="194"/>
      <c r="N216" s="177">
        <v>1.85</v>
      </c>
      <c r="O216" s="177">
        <v>2.33</v>
      </c>
      <c r="P216" s="177" t="s">
        <v>167</v>
      </c>
      <c r="Q216" s="177">
        <v>2.33</v>
      </c>
      <c r="R216" s="177">
        <v>0</v>
      </c>
      <c r="S216" s="177">
        <v>0</v>
      </c>
      <c r="T216" s="179">
        <v>0</v>
      </c>
      <c r="U216" s="177">
        <v>11.3</v>
      </c>
      <c r="V216" s="177">
        <v>0</v>
      </c>
      <c r="W216" s="177">
        <v>0</v>
      </c>
      <c r="X216" s="180">
        <v>0</v>
      </c>
      <c r="Y216" s="180"/>
      <c r="Z216" s="180">
        <v>0</v>
      </c>
      <c r="AA216" s="180">
        <v>0</v>
      </c>
      <c r="AB216" s="180">
        <v>0</v>
      </c>
      <c r="AC216" s="180">
        <v>0</v>
      </c>
      <c r="AD216" s="195">
        <v>96978.6</v>
      </c>
      <c r="AE216" s="177" t="s">
        <v>147</v>
      </c>
      <c r="AF216" s="182">
        <v>44592</v>
      </c>
      <c r="AG216" s="177">
        <v>7.6821002483819196</v>
      </c>
      <c r="AH216" s="177" t="s">
        <v>167</v>
      </c>
      <c r="AI216" s="196"/>
      <c r="AJ216" s="196"/>
      <c r="AK216" s="177"/>
      <c r="AL216" s="177"/>
      <c r="AM216" s="177"/>
      <c r="AN216" s="177" t="s">
        <v>246</v>
      </c>
      <c r="AO216" s="177"/>
      <c r="AP216" s="196">
        <f>AG216/O216-1</f>
        <v>2.2970387332111244</v>
      </c>
      <c r="AQ216" s="196"/>
      <c r="AR216" s="177" t="str">
        <f t="shared" si="161"/>
        <v>Renewal</v>
      </c>
      <c r="AS216" s="182" t="str">
        <f t="shared" si="162"/>
        <v>Q1 2022</v>
      </c>
      <c r="AT216" s="182" t="str">
        <f t="shared" si="163"/>
        <v>1H2022</v>
      </c>
      <c r="AU216" s="184" t="str">
        <f t="shared" si="164"/>
        <v>&lt; 20K</v>
      </c>
      <c r="AV216" s="179">
        <f t="shared" si="159"/>
        <v>8060</v>
      </c>
      <c r="AW216" s="233">
        <f t="shared" si="165"/>
        <v>14911</v>
      </c>
      <c r="AX216" s="233">
        <f t="shared" si="166"/>
        <v>18779.8</v>
      </c>
      <c r="AY216" s="198" t="str">
        <f t="shared" si="181"/>
        <v/>
      </c>
      <c r="AZ216" s="233">
        <f t="shared" si="180"/>
        <v>18779.8</v>
      </c>
      <c r="BA216" s="233">
        <f t="shared" si="167"/>
        <v>18779.8</v>
      </c>
      <c r="BB216" s="233">
        <f t="shared" si="168"/>
        <v>18779.8</v>
      </c>
      <c r="BC216" s="233"/>
      <c r="BD216" s="233"/>
      <c r="BE216" s="233">
        <f t="shared" si="169"/>
        <v>0</v>
      </c>
      <c r="BF216" s="233">
        <f t="shared" si="170"/>
        <v>0</v>
      </c>
      <c r="BG216" s="233">
        <f t="shared" si="171"/>
        <v>0</v>
      </c>
      <c r="BH216" s="186" t="str">
        <f t="shared" si="172"/>
        <v/>
      </c>
      <c r="BI216" s="233">
        <f t="shared" si="173"/>
        <v>0</v>
      </c>
      <c r="BJ216" s="233">
        <f t="shared" si="174"/>
        <v>0</v>
      </c>
      <c r="BK216" s="233">
        <f t="shared" si="175"/>
        <v>0</v>
      </c>
      <c r="BL216" s="233">
        <f t="shared" si="176"/>
        <v>91078</v>
      </c>
      <c r="BM216" s="233">
        <f t="shared" si="177"/>
        <v>0</v>
      </c>
      <c r="BN216" s="233">
        <f t="shared" si="178"/>
        <v>0</v>
      </c>
    </row>
    <row r="217" spans="1:66" s="198" customFormat="1" hidden="1" outlineLevel="1">
      <c r="A217" s="199" t="s">
        <v>721</v>
      </c>
      <c r="B217" s="176" t="s">
        <v>157</v>
      </c>
      <c r="C217" s="176" t="s">
        <v>157</v>
      </c>
      <c r="D217" s="192" t="s">
        <v>291</v>
      </c>
      <c r="E217" s="192">
        <f>O217/N217-1</f>
        <v>-2.2346368715083775E-2</v>
      </c>
      <c r="F217" s="176" t="s">
        <v>214</v>
      </c>
      <c r="G217" s="176">
        <f>_xlfn.XLOOKUP(AN217,[2]ySQL_0_24102024094604!$B:$B,[2]ySQL_0_24102024094604!$D:$D,0)</f>
        <v>0</v>
      </c>
      <c r="H217" s="199" t="s">
        <v>722</v>
      </c>
      <c r="I217" s="200">
        <v>24</v>
      </c>
      <c r="J217" s="194">
        <v>39200</v>
      </c>
      <c r="K217" s="194"/>
      <c r="L217" s="194"/>
      <c r="M217" s="194"/>
      <c r="N217" s="177">
        <v>5.37</v>
      </c>
      <c r="O217" s="177">
        <v>5.25</v>
      </c>
      <c r="P217" s="177">
        <v>6.03</v>
      </c>
      <c r="Q217" s="177">
        <v>7.7</v>
      </c>
      <c r="R217" s="177">
        <v>0</v>
      </c>
      <c r="S217" s="177">
        <v>3</v>
      </c>
      <c r="T217" s="179">
        <v>4.6987012986999996</v>
      </c>
      <c r="U217" s="177">
        <v>10.95</v>
      </c>
      <c r="V217" s="177">
        <v>0</v>
      </c>
      <c r="W217" s="177">
        <v>0</v>
      </c>
      <c r="X217" s="180">
        <v>14182.56</v>
      </c>
      <c r="Y217" s="180"/>
      <c r="Z217" s="180">
        <v>0</v>
      </c>
      <c r="AA217" s="180">
        <v>0</v>
      </c>
      <c r="AB217" s="180">
        <v>0</v>
      </c>
      <c r="AC217" s="180">
        <v>14182.56</v>
      </c>
      <c r="AD217" s="181">
        <v>472752</v>
      </c>
      <c r="AE217" s="177" t="s">
        <v>161</v>
      </c>
      <c r="AF217" s="201">
        <v>45090</v>
      </c>
      <c r="AG217" s="177"/>
      <c r="AH217" s="177"/>
      <c r="AI217" s="196"/>
      <c r="AJ217" s="196"/>
      <c r="AK217" s="200"/>
      <c r="AL217" s="200"/>
      <c r="AM217" s="200"/>
      <c r="AN217" s="200" t="s">
        <v>236</v>
      </c>
      <c r="AO217" s="177"/>
      <c r="AP217" s="196"/>
      <c r="AQ217" s="196"/>
      <c r="AR217" s="177" t="str">
        <f t="shared" si="161"/>
        <v>Renewal</v>
      </c>
      <c r="AS217" s="182" t="str">
        <f t="shared" si="162"/>
        <v>Q2 2023</v>
      </c>
      <c r="AT217" s="182" t="str">
        <f t="shared" si="163"/>
        <v>1H2023</v>
      </c>
      <c r="AU217" s="184" t="str">
        <f t="shared" si="164"/>
        <v>20-50K</v>
      </c>
      <c r="AV217" s="179">
        <f t="shared" si="159"/>
        <v>39200</v>
      </c>
      <c r="AW217" s="233">
        <f t="shared" si="165"/>
        <v>210504</v>
      </c>
      <c r="AX217" s="233">
        <f t="shared" si="166"/>
        <v>205800</v>
      </c>
      <c r="AY217" s="198">
        <f t="shared" si="181"/>
        <v>236376</v>
      </c>
      <c r="AZ217" s="233">
        <f t="shared" si="180"/>
        <v>301840</v>
      </c>
      <c r="BA217" s="233">
        <f t="shared" si="167"/>
        <v>301840</v>
      </c>
      <c r="BB217" s="233">
        <f t="shared" si="168"/>
        <v>301840</v>
      </c>
      <c r="BC217" s="233">
        <f>AG217*J217</f>
        <v>0</v>
      </c>
      <c r="BD217" s="233">
        <f>AH217*J217</f>
        <v>0</v>
      </c>
      <c r="BE217" s="233">
        <f t="shared" si="169"/>
        <v>0</v>
      </c>
      <c r="BF217" s="233">
        <f t="shared" si="170"/>
        <v>0</v>
      </c>
      <c r="BG217" s="233">
        <f t="shared" si="171"/>
        <v>0</v>
      </c>
      <c r="BH217" s="198" t="str">
        <f t="shared" si="172"/>
        <v/>
      </c>
      <c r="BI217" s="233">
        <f t="shared" si="173"/>
        <v>0</v>
      </c>
      <c r="BJ217" s="233">
        <f t="shared" si="174"/>
        <v>0</v>
      </c>
      <c r="BK217" s="233">
        <f t="shared" si="175"/>
        <v>184189.09090903998</v>
      </c>
      <c r="BL217" s="233">
        <f t="shared" si="176"/>
        <v>429240</v>
      </c>
      <c r="BM217" s="233">
        <f t="shared" si="177"/>
        <v>0</v>
      </c>
      <c r="BN217" s="233">
        <f t="shared" si="178"/>
        <v>117600</v>
      </c>
    </row>
    <row r="218" spans="1:66" s="198" customFormat="1" hidden="1" outlineLevel="1">
      <c r="A218" s="176" t="s">
        <v>723</v>
      </c>
      <c r="B218" s="176" t="s">
        <v>252</v>
      </c>
      <c r="C218" s="176"/>
      <c r="D218" s="176"/>
      <c r="E218" s="176"/>
      <c r="F218" s="176" t="s">
        <v>173</v>
      </c>
      <c r="G218" s="176">
        <f>_xlfn.XLOOKUP(AN218,[2]ySQL_0_24102024094604!$B:$B,[2]ySQL_0_24102024094604!$D:$D,0)</f>
        <v>0</v>
      </c>
      <c r="H218" s="176" t="s">
        <v>724</v>
      </c>
      <c r="I218" s="177">
        <v>60</v>
      </c>
      <c r="J218" s="194">
        <v>60994</v>
      </c>
      <c r="K218" s="194"/>
      <c r="L218" s="194"/>
      <c r="M218" s="194"/>
      <c r="N218" s="177">
        <v>8.2200000000000006</v>
      </c>
      <c r="O218" s="177">
        <v>17.5</v>
      </c>
      <c r="P218" s="177" t="s">
        <v>167</v>
      </c>
      <c r="Q218" s="177">
        <v>17.5</v>
      </c>
      <c r="R218" s="177">
        <v>0</v>
      </c>
      <c r="S218" s="177">
        <v>0</v>
      </c>
      <c r="T218" s="179">
        <v>5</v>
      </c>
      <c r="U218" s="177">
        <v>4</v>
      </c>
      <c r="V218" s="177">
        <v>0</v>
      </c>
      <c r="W218" s="177">
        <v>0</v>
      </c>
      <c r="X218" s="180">
        <v>266848.74</v>
      </c>
      <c r="Y218" s="180"/>
      <c r="Z218" s="180">
        <v>0</v>
      </c>
      <c r="AA218" s="180">
        <v>0</v>
      </c>
      <c r="AB218" s="180">
        <v>0</v>
      </c>
      <c r="AC218" s="180">
        <v>266848.74</v>
      </c>
      <c r="AD218" s="195">
        <v>5336974.8</v>
      </c>
      <c r="AE218" s="177" t="s">
        <v>147</v>
      </c>
      <c r="AF218" s="182">
        <v>44694</v>
      </c>
      <c r="AG218" s="177">
        <v>15.824798298543556</v>
      </c>
      <c r="AH218" s="177">
        <v>14.357301017304549</v>
      </c>
      <c r="AI218" s="196">
        <f>AG218/Q218-1</f>
        <v>-9.5725811511796821E-2</v>
      </c>
      <c r="AJ218" s="196">
        <f>AH218/Q218-1</f>
        <v>-0.17958279901116869</v>
      </c>
      <c r="AK218" s="177"/>
      <c r="AL218" s="177"/>
      <c r="AM218" s="177"/>
      <c r="AN218" s="177" t="s">
        <v>725</v>
      </c>
      <c r="AO218" s="177"/>
      <c r="AP218" s="196">
        <f>AG218/O218-1</f>
        <v>-9.5725811511796821E-2</v>
      </c>
      <c r="AQ218" s="196">
        <f>AH218/O218-1</f>
        <v>-0.17958279901116869</v>
      </c>
      <c r="AR218" s="177" t="str">
        <f t="shared" si="161"/>
        <v>Renewal</v>
      </c>
      <c r="AS218" s="182" t="str">
        <f t="shared" si="162"/>
        <v>Q2 2022</v>
      </c>
      <c r="AT218" s="182" t="str">
        <f t="shared" si="163"/>
        <v>1H2022</v>
      </c>
      <c r="AU218" s="184" t="str">
        <f t="shared" si="164"/>
        <v>50-100K</v>
      </c>
      <c r="AV218" s="179">
        <f t="shared" si="159"/>
        <v>60994</v>
      </c>
      <c r="AW218" s="233">
        <f t="shared" si="165"/>
        <v>501370.68000000005</v>
      </c>
      <c r="AX218" s="233">
        <f t="shared" si="166"/>
        <v>1067395</v>
      </c>
      <c r="AY218" s="198" t="str">
        <f t="shared" si="181"/>
        <v/>
      </c>
      <c r="AZ218" s="233">
        <f t="shared" si="180"/>
        <v>1067395</v>
      </c>
      <c r="BA218" s="233">
        <f t="shared" si="167"/>
        <v>1067395</v>
      </c>
      <c r="BB218" s="233">
        <f t="shared" si="168"/>
        <v>1067395</v>
      </c>
      <c r="BC218" s="233">
        <f>AG218*J218</f>
        <v>965217.74742136558</v>
      </c>
      <c r="BD218" s="233">
        <f>AH218*J218</f>
        <v>875709.2182494736</v>
      </c>
      <c r="BE218" s="233">
        <f t="shared" si="169"/>
        <v>0</v>
      </c>
      <c r="BF218" s="233">
        <f t="shared" si="170"/>
        <v>0</v>
      </c>
      <c r="BG218" s="233">
        <f t="shared" si="171"/>
        <v>0</v>
      </c>
      <c r="BH218" s="186" t="str">
        <f t="shared" si="172"/>
        <v/>
      </c>
      <c r="BI218" s="233">
        <f t="shared" si="173"/>
        <v>0</v>
      </c>
      <c r="BJ218" s="233">
        <f t="shared" si="174"/>
        <v>0</v>
      </c>
      <c r="BK218" s="233">
        <f t="shared" si="175"/>
        <v>304970</v>
      </c>
      <c r="BL218" s="233">
        <f t="shared" si="176"/>
        <v>243976</v>
      </c>
      <c r="BM218" s="233">
        <f t="shared" si="177"/>
        <v>0</v>
      </c>
      <c r="BN218" s="233">
        <f t="shared" si="178"/>
        <v>0</v>
      </c>
    </row>
    <row r="219" spans="1:66" s="198" customFormat="1" ht="20.100000000000001" hidden="1" customHeight="1" outlineLevel="1">
      <c r="A219" s="176" t="s">
        <v>726</v>
      </c>
      <c r="B219" s="176" t="s">
        <v>252</v>
      </c>
      <c r="C219" s="176"/>
      <c r="D219" s="176"/>
      <c r="E219" s="176"/>
      <c r="F219" s="176" t="s">
        <v>244</v>
      </c>
      <c r="G219" s="176">
        <f>_xlfn.XLOOKUP(AN219,[2]ySQL_0_24102024094604!$B:$B,[2]ySQL_0_24102024094604!$D:$D,0)</f>
        <v>0</v>
      </c>
      <c r="H219" s="176" t="s">
        <v>362</v>
      </c>
      <c r="I219" s="177">
        <v>24</v>
      </c>
      <c r="J219" s="194">
        <v>5000</v>
      </c>
      <c r="K219" s="194"/>
      <c r="L219" s="194"/>
      <c r="M219" s="194"/>
      <c r="N219" s="177">
        <v>4.63</v>
      </c>
      <c r="O219" s="177">
        <v>5.1100000000000003</v>
      </c>
      <c r="P219" s="177" t="s">
        <v>167</v>
      </c>
      <c r="Q219" s="177">
        <v>5.1100000000000003</v>
      </c>
      <c r="R219" s="177">
        <v>0</v>
      </c>
      <c r="S219" s="177">
        <v>0</v>
      </c>
      <c r="T219" s="179">
        <v>0</v>
      </c>
      <c r="U219" s="177">
        <v>4.5</v>
      </c>
      <c r="V219" s="177">
        <v>0</v>
      </c>
      <c r="W219" s="177">
        <v>0</v>
      </c>
      <c r="X219" s="180">
        <v>0</v>
      </c>
      <c r="Y219" s="180"/>
      <c r="Z219" s="180">
        <v>0</v>
      </c>
      <c r="AA219" s="180">
        <v>0</v>
      </c>
      <c r="AB219" s="180">
        <v>0</v>
      </c>
      <c r="AC219" s="180">
        <v>0</v>
      </c>
      <c r="AD219" s="195">
        <v>69600</v>
      </c>
      <c r="AE219" s="177" t="s">
        <v>147</v>
      </c>
      <c r="AF219" s="182">
        <v>44775</v>
      </c>
      <c r="AG219" s="177">
        <v>8.4331614613199157</v>
      </c>
      <c r="AH219" s="177">
        <v>8.4061726710569928</v>
      </c>
      <c r="AI219" s="196">
        <f>AG219/Q219-1</f>
        <v>0.650325139201549</v>
      </c>
      <c r="AJ219" s="196">
        <f>AH219/Q219-1</f>
        <v>0.64504357554931357</v>
      </c>
      <c r="AK219" s="177"/>
      <c r="AL219" s="177"/>
      <c r="AM219" s="177"/>
      <c r="AN219" s="177" t="s">
        <v>285</v>
      </c>
      <c r="AO219" s="177"/>
      <c r="AP219" s="196">
        <f>AG219/O219-1</f>
        <v>0.650325139201549</v>
      </c>
      <c r="AQ219" s="196">
        <f>AH219/O219-1</f>
        <v>0.64504357554931357</v>
      </c>
      <c r="AR219" s="177" t="str">
        <f t="shared" si="161"/>
        <v>Renewal</v>
      </c>
      <c r="AS219" s="182" t="str">
        <f t="shared" si="162"/>
        <v>Q3 2022</v>
      </c>
      <c r="AT219" s="182" t="str">
        <f t="shared" si="163"/>
        <v>2H2022</v>
      </c>
      <c r="AU219" s="184" t="str">
        <f t="shared" si="164"/>
        <v>&lt; 20K</v>
      </c>
      <c r="AV219" s="179">
        <f t="shared" si="159"/>
        <v>5000</v>
      </c>
      <c r="AW219" s="233">
        <f t="shared" si="165"/>
        <v>23150</v>
      </c>
      <c r="AX219" s="233">
        <f t="shared" si="166"/>
        <v>25550</v>
      </c>
      <c r="AY219" s="198" t="str">
        <f t="shared" si="181"/>
        <v/>
      </c>
      <c r="AZ219" s="233">
        <f t="shared" si="180"/>
        <v>25550</v>
      </c>
      <c r="BA219" s="233">
        <f t="shared" si="167"/>
        <v>25550</v>
      </c>
      <c r="BB219" s="233">
        <f t="shared" si="168"/>
        <v>25550</v>
      </c>
      <c r="BC219" s="233">
        <f>AG219*J219</f>
        <v>42165.807306599578</v>
      </c>
      <c r="BD219" s="233">
        <f>AH219*J219</f>
        <v>42030.863355284964</v>
      </c>
      <c r="BE219" s="233">
        <f t="shared" si="169"/>
        <v>0</v>
      </c>
      <c r="BF219" s="233">
        <f t="shared" si="170"/>
        <v>0</v>
      </c>
      <c r="BG219" s="233">
        <f t="shared" si="171"/>
        <v>0</v>
      </c>
      <c r="BH219" s="186" t="str">
        <f t="shared" si="172"/>
        <v/>
      </c>
      <c r="BI219" s="233">
        <f t="shared" si="173"/>
        <v>0</v>
      </c>
      <c r="BJ219" s="233">
        <f t="shared" si="174"/>
        <v>0</v>
      </c>
      <c r="BK219" s="233">
        <f t="shared" si="175"/>
        <v>0</v>
      </c>
      <c r="BL219" s="233">
        <f t="shared" si="176"/>
        <v>22500</v>
      </c>
      <c r="BM219" s="233">
        <f t="shared" si="177"/>
        <v>0</v>
      </c>
      <c r="BN219" s="233">
        <f t="shared" si="178"/>
        <v>0</v>
      </c>
    </row>
    <row r="220" spans="1:66" s="198" customFormat="1" ht="13.5" hidden="1" customHeight="1" outlineLevel="1">
      <c r="A220" s="176" t="s">
        <v>727</v>
      </c>
      <c r="B220" s="176" t="s">
        <v>157</v>
      </c>
      <c r="C220" s="176"/>
      <c r="D220" s="176"/>
      <c r="E220" s="176"/>
      <c r="F220" s="176" t="s">
        <v>177</v>
      </c>
      <c r="G220" s="176">
        <f>_xlfn.XLOOKUP(AN220,[2]ySQL_0_24102024094604!$B:$B,[2]ySQL_0_24102024094604!$D:$D,0)</f>
        <v>0</v>
      </c>
      <c r="H220" s="176" t="s">
        <v>728</v>
      </c>
      <c r="I220" s="177">
        <v>36</v>
      </c>
      <c r="J220" s="194">
        <v>9070</v>
      </c>
      <c r="K220" s="194"/>
      <c r="L220" s="194"/>
      <c r="M220" s="194"/>
      <c r="N220" s="177">
        <v>4.3899999999999997</v>
      </c>
      <c r="O220" s="177">
        <v>4.3899999999999997</v>
      </c>
      <c r="P220" s="177" t="s">
        <v>167</v>
      </c>
      <c r="Q220" s="177">
        <v>4.7300000000000004</v>
      </c>
      <c r="R220" s="177">
        <v>0</v>
      </c>
      <c r="S220" s="177">
        <v>0</v>
      </c>
      <c r="T220" s="179">
        <v>0</v>
      </c>
      <c r="U220" s="177">
        <v>4</v>
      </c>
      <c r="V220" s="177">
        <v>0</v>
      </c>
      <c r="W220" s="177">
        <v>0</v>
      </c>
      <c r="X220" s="180">
        <v>0</v>
      </c>
      <c r="Y220" s="180"/>
      <c r="Z220" s="180">
        <v>0</v>
      </c>
      <c r="AA220" s="180">
        <v>0</v>
      </c>
      <c r="AB220" s="180">
        <v>0</v>
      </c>
      <c r="AC220" s="180">
        <v>0</v>
      </c>
      <c r="AD220" s="195">
        <v>128703.3</v>
      </c>
      <c r="AE220" s="177" t="s">
        <v>147</v>
      </c>
      <c r="AF220" s="182">
        <v>44833</v>
      </c>
      <c r="AG220" s="177">
        <v>8.4421798988581376</v>
      </c>
      <c r="AH220" s="177">
        <v>8.5115710208421955</v>
      </c>
      <c r="AI220" s="196">
        <f>AG220/Q220-1</f>
        <v>0.78481604627021917</v>
      </c>
      <c r="AJ220" s="196">
        <f>AH220/Q220-1</f>
        <v>0.79948647375099258</v>
      </c>
      <c r="AK220" s="177"/>
      <c r="AL220" s="177"/>
      <c r="AM220" s="177"/>
      <c r="AN220" s="177" t="s">
        <v>179</v>
      </c>
      <c r="AO220" s="177"/>
      <c r="AP220" s="196">
        <f>AG220/O220-1</f>
        <v>0.92304781295173988</v>
      </c>
      <c r="AQ220" s="196">
        <f>AH220/O220-1</f>
        <v>0.93885444666109241</v>
      </c>
      <c r="AR220" s="177" t="str">
        <f t="shared" si="161"/>
        <v>Renewal</v>
      </c>
      <c r="AS220" s="182" t="str">
        <f t="shared" si="162"/>
        <v>Q3 2022</v>
      </c>
      <c r="AT220" s="182" t="str">
        <f t="shared" si="163"/>
        <v>2H2022</v>
      </c>
      <c r="AU220" s="184" t="str">
        <f t="shared" si="164"/>
        <v>&lt; 20K</v>
      </c>
      <c r="AV220" s="179">
        <f t="shared" si="159"/>
        <v>9070</v>
      </c>
      <c r="AW220" s="233">
        <f t="shared" si="165"/>
        <v>39817.299999999996</v>
      </c>
      <c r="AX220" s="233">
        <f t="shared" si="166"/>
        <v>39817.299999999996</v>
      </c>
      <c r="AY220" s="198" t="str">
        <f t="shared" si="181"/>
        <v/>
      </c>
      <c r="AZ220" s="233">
        <f t="shared" si="180"/>
        <v>42901.100000000006</v>
      </c>
      <c r="BA220" s="233">
        <f t="shared" si="167"/>
        <v>42901.100000000006</v>
      </c>
      <c r="BB220" s="233">
        <f t="shared" si="168"/>
        <v>42901.100000000006</v>
      </c>
      <c r="BC220" s="233">
        <f>AG220*J220</f>
        <v>76570.571682643305</v>
      </c>
      <c r="BD220" s="233">
        <f>AH220*J220</f>
        <v>77199.949159038719</v>
      </c>
      <c r="BE220" s="233">
        <f t="shared" si="169"/>
        <v>0</v>
      </c>
      <c r="BF220" s="233">
        <f t="shared" si="170"/>
        <v>0</v>
      </c>
      <c r="BG220" s="233">
        <f t="shared" si="171"/>
        <v>0</v>
      </c>
      <c r="BH220" s="186" t="str">
        <f t="shared" si="172"/>
        <v/>
      </c>
      <c r="BI220" s="233">
        <f t="shared" si="173"/>
        <v>0</v>
      </c>
      <c r="BJ220" s="233">
        <f t="shared" si="174"/>
        <v>0</v>
      </c>
      <c r="BK220" s="233">
        <f t="shared" si="175"/>
        <v>0</v>
      </c>
      <c r="BL220" s="233">
        <f t="shared" si="176"/>
        <v>36280</v>
      </c>
      <c r="BM220" s="233">
        <f t="shared" si="177"/>
        <v>0</v>
      </c>
      <c r="BN220" s="233">
        <f t="shared" si="178"/>
        <v>0</v>
      </c>
    </row>
    <row r="221" spans="1:66" hidden="1">
      <c r="I221" s="234"/>
      <c r="J221" s="234"/>
      <c r="K221" s="234"/>
      <c r="L221" s="234"/>
      <c r="M221" s="234"/>
      <c r="N221" s="234"/>
      <c r="O221" s="235"/>
      <c r="P221" s="234"/>
      <c r="Q221" s="234"/>
      <c r="X221" s="236">
        <f>SUM(X5:X220)</f>
        <v>14194663.370400002</v>
      </c>
      <c r="Y221" s="236"/>
      <c r="Z221" s="236">
        <f>SUM(Z5:Z220)</f>
        <v>8018169.0700000012</v>
      </c>
      <c r="AA221" s="236">
        <f>SUM(AA5:AA220)</f>
        <v>1672456.12</v>
      </c>
      <c r="AB221" s="236">
        <f>SUM(AB5:AB220)</f>
        <v>4044842.8099999991</v>
      </c>
      <c r="AC221" s="236">
        <f>SUM(AC5:AC220)</f>
        <v>27906582.340360444</v>
      </c>
      <c r="AD221" s="236">
        <f>SUM(AD5:AD220)</f>
        <v>279205355.83000004</v>
      </c>
    </row>
    <row r="222" spans="1:66" ht="14.45" thickBot="1">
      <c r="J222" s="237"/>
      <c r="K222" s="237"/>
      <c r="L222" s="237"/>
      <c r="M222" s="237"/>
      <c r="Q222" s="206"/>
    </row>
    <row r="223" spans="1:66" s="246" customFormat="1">
      <c r="A223" s="239">
        <v>20000</v>
      </c>
      <c r="B223" s="240" t="s">
        <v>729</v>
      </c>
      <c r="C223" s="240"/>
      <c r="D223" s="240"/>
      <c r="E223" s="240"/>
      <c r="F223" s="240" t="s">
        <v>86</v>
      </c>
      <c r="G223" s="364"/>
      <c r="H223" s="241" t="s">
        <v>730</v>
      </c>
      <c r="I223" s="242" t="s">
        <v>731</v>
      </c>
      <c r="J223" s="243" t="s">
        <v>732</v>
      </c>
      <c r="K223" s="243"/>
      <c r="L223" s="243"/>
      <c r="M223" s="243"/>
      <c r="N223" s="243" t="s">
        <v>94</v>
      </c>
      <c r="O223" s="243" t="s">
        <v>95</v>
      </c>
      <c r="P223" s="244" t="s">
        <v>58</v>
      </c>
      <c r="Q223" s="243" t="s">
        <v>733</v>
      </c>
      <c r="R223" s="243" t="s">
        <v>734</v>
      </c>
      <c r="S223" s="243" t="s">
        <v>735</v>
      </c>
      <c r="T223" s="243" t="s">
        <v>736</v>
      </c>
      <c r="U223" s="243" t="s">
        <v>737</v>
      </c>
      <c r="V223" s="243" t="s">
        <v>64</v>
      </c>
      <c r="W223" s="243" t="s">
        <v>738</v>
      </c>
      <c r="X223" s="243" t="s">
        <v>739</v>
      </c>
      <c r="Y223" s="243"/>
      <c r="Z223" s="245" t="s">
        <v>740</v>
      </c>
      <c r="AD223" s="247" t="s">
        <v>108</v>
      </c>
      <c r="AG223" s="248" t="s">
        <v>741</v>
      </c>
      <c r="AH223" s="248" t="s">
        <v>742</v>
      </c>
      <c r="AS223" s="249"/>
      <c r="AT223" s="249"/>
      <c r="AU223" s="250"/>
    </row>
    <row r="224" spans="1:66">
      <c r="A224" s="239">
        <v>50000</v>
      </c>
      <c r="B224" s="251" t="s">
        <v>743</v>
      </c>
      <c r="C224" s="251"/>
      <c r="D224" s="251"/>
      <c r="E224" s="251"/>
      <c r="F224" s="251" t="s">
        <v>153</v>
      </c>
      <c r="H224" s="184">
        <f t="shared" ref="H224:H238" si="182">COUNTIF($F$5:$F$220,F224)</f>
        <v>36</v>
      </c>
      <c r="I224" s="252" cm="1">
        <f t="array" ref="I224">IFERROR(SUMPRODUCT(--($F$5:$F$220=F224),$J$5:$J$220,$I$5:$I$220)/SUMIFS($J$5:$J$220,$F$5:$F$220,F224),"")/12</f>
        <v>5.6458151410931157</v>
      </c>
      <c r="J224" s="253">
        <f t="shared" ref="J224:J238" si="183">SUMIF($F$5:$F$220,F224,$J$5:$J$220)</f>
        <v>932174</v>
      </c>
      <c r="K224" s="253"/>
      <c r="L224" s="253"/>
      <c r="M224" s="253"/>
      <c r="N224" s="254" cm="1">
        <f t="array" ref="N224">IFERROR(SUMPRODUCT(--($F$5:$F$220=F224),$J$5:$J$220,$N$5:$N$220)/SUMIFS($J$5:$J$220,$F$5:$F$220,F224,$N$5:$N$220,"&gt;0"),"NA")</f>
        <v>6.1953583074778908</v>
      </c>
      <c r="O224" s="254" cm="1">
        <f t="array" ref="O224">IFERROR(SUMPRODUCT(--($F$5:$F$220=F224),$J$5:$J$220,$O$5:$O$220)/SUMIFS($J$5:$J$220,$F$5:$F$220,F224),"")</f>
        <v>7.0700147504650408</v>
      </c>
      <c r="P224" s="255" cm="1">
        <f t="array" ref="P224">IFERROR(SUMPRODUCT(--($F$5:$F$220=F224),$J$5:$J$220,$P$5:$P$220)/SUMIFS($J$5:$J$220,$F$5:$F$220,F224,$P$5:$P$220,"&gt;0"),"")</f>
        <v>7.3519519512174059</v>
      </c>
      <c r="Q224" s="254" cm="1">
        <f t="array" ref="Q224">IFERROR(SUMPRODUCT(--($F$5:$F$220=F224),$J$5:$J$220,$Q$5:$Q$220)/SUMIFS($J$5:$J$220,$F$5:$F$220,F224),"")</f>
        <v>7.5535865514378218</v>
      </c>
      <c r="R224" s="254" cm="1">
        <f t="array" ref="R224">SUMPRODUCT(--($F$5:$F$220=F224),--($I$5:$I$220&gt;12),$R$5:$R$220,$J$5:$J$220)/SUMIFS($J$5:$J$220,$I$5:$I$220,"&gt;12",$F$5:$F$220,F224)</f>
        <v>3.9680456652942477</v>
      </c>
      <c r="S224" s="254" cm="1">
        <f t="array" ref="S224">SUMPRODUCT(--($F$5:$F$220=F224),--($I$5:$I$220&gt;12),$S$5:$S$220,$J$5:$J$220)/SUMIFS($J$5:$J$220,$I$5:$I$220,"&gt;12",$F$5:$F$220,F224)</f>
        <v>3.2478386545859466</v>
      </c>
      <c r="T224" s="254" cm="1">
        <f t="array" ref="T224">SUMPRODUCT(--($F$5:$F$220=F224),$T$5:$T$220,$J$5:$J$220)/SUMIFS($J$5:$J$220,$F$5:$F$220,F224)</f>
        <v>9.5264028589309611</v>
      </c>
      <c r="U224" s="254" cm="1">
        <f t="array" ref="U224">SUMPRODUCT(--($F$5:$F$220=F224),$U$5:$U$220,$J$5:$J$220)/SUMIFS($J$5:$J$220,$F$5:$F$220,F224)</f>
        <v>10.996218715604597</v>
      </c>
      <c r="V224" s="254" cm="1">
        <f t="array" ref="V224">SUMPRODUCT(--($F$5:$F$220=F224),--($AR$5:$AR$220=$B$330),$V$5:$V$220,$J$5:$J$220)/SUMIFS($J$5:$J$220,$F$5:$F$220,F224,$AR$5:$AR$220,$B$330)</f>
        <v>3.9654490310955923</v>
      </c>
      <c r="W224" s="254" cm="1">
        <f t="array" ref="W224">SUMPRODUCT(--($F$5:$F$220=F224),--($AR$5:$AR$220=$B$330),$W$5:$W$220,$J$5:$J$220)/SUMIFS($J$5:$J$220,$F$5:$F$220,F224,$AR$5:$AR$220,$B$330)</f>
        <v>4.3607273171541499</v>
      </c>
      <c r="X224" s="256" cm="1">
        <f t="array" ref="X224">IFERROR((IFERROR(SUMPRODUCT(--($F$5:$F$220=F224),--($N$5:$N$220&gt;0),$J$5:$J$220,$Q$5:$Q$220)/SUMIFS($J$5:$J$220,$F$5:$F$220,F224,$N$5:$N$220,"&gt;0"),""))/N224-1,"NA")</f>
        <v>0.20714735490371705</v>
      </c>
      <c r="Y224" s="256"/>
      <c r="Z224" s="257">
        <f t="shared" ref="Z224:Z239" si="184">IFERROR(Q224/O224-1,"NA")</f>
        <v>6.839756606462144E-2</v>
      </c>
      <c r="AD224" s="258">
        <f>SUMIF($F$5:$F$220,F224,$AD$5:$AD$220)</f>
        <v>49803933.359999999</v>
      </c>
      <c r="AG224" s="254" cm="1">
        <f t="array" ref="AG224">IFERROR(SUMPRODUCT(--($F$5:$F$220=F224),$J$5:$J$220,$AG$5:$AG$220)/SUMIFS($J$5:$J$220,$F$5:$F$220,F224),"")</f>
        <v>3.8014108077875957</v>
      </c>
      <c r="AH224" s="254" cm="1">
        <f t="array" ref="AH224">IFERROR(SUMPRODUCT(--($F$5:$F$220=F224),$J$5:$J$220,$AH$5:$AH$220)/SUMIFS($J$5:$J$220,$F$5:$F$220,F224),"")</f>
        <v>3.0412451680594677</v>
      </c>
      <c r="AS224" s="249"/>
      <c r="AT224" s="249"/>
      <c r="AU224" s="250"/>
    </row>
    <row r="225" spans="1:47">
      <c r="A225" s="239">
        <v>100000</v>
      </c>
      <c r="B225" s="251"/>
      <c r="C225" s="251"/>
      <c r="D225" s="251"/>
      <c r="E225" s="251"/>
      <c r="F225" s="251" t="s">
        <v>207</v>
      </c>
      <c r="H225" s="184">
        <f t="shared" si="182"/>
        <v>9</v>
      </c>
      <c r="I225" s="254" cm="1">
        <f t="array" ref="I225">IFERROR(SUMPRODUCT(--($F$5:$F$220=F225),$J$5:$J$220,$I$5:$I$220)/SUMIFS($J$5:$J$220,$F$5:$F$220,F225),"")/12</f>
        <v>5.7134467248045055</v>
      </c>
      <c r="J225" s="253">
        <f t="shared" si="183"/>
        <v>102859</v>
      </c>
      <c r="K225" s="253"/>
      <c r="L225" s="253"/>
      <c r="M225" s="253"/>
      <c r="N225" s="254" cm="1">
        <f t="array" ref="N225">IFERROR(SUMPRODUCT(--($F$5:$F$220=F225),$J$5:$J$220,$N$5:$N$220)/SUMIFS($J$5:$J$220,$F$5:$F$220,F225,$N$5:$N$220,"&gt;0"),"NA")</f>
        <v>8.8393177504573988</v>
      </c>
      <c r="O225" s="254" cm="1">
        <f t="array" ref="O225">IFERROR(SUMPRODUCT(--($F$5:$F$220=F225),$J$5:$J$220,$O$5:$O$220)/SUMIFS($J$5:$J$220,$F$5:$F$220,F225),"")</f>
        <v>10.570096549645632</v>
      </c>
      <c r="P225" s="255" cm="1">
        <f t="array" ref="P225">IFERROR(SUMPRODUCT(--($F$5:$F$220=F225),$J$5:$J$220,$P$5:$P$220)/SUMIFS($J$5:$J$220,$F$5:$F$220,F225,$P$5:$P$220,"&gt;0"),"")</f>
        <v>10.325290240741252</v>
      </c>
      <c r="Q225" s="254" cm="1">
        <f t="array" ref="Q225">IFERROR(SUMPRODUCT(--($F$5:$F$220=F225),$J$5:$J$220,$Q$5:$Q$220)/SUMIFS($J$5:$J$220,$F$5:$F$220,F225),"")</f>
        <v>10.938760827929496</v>
      </c>
      <c r="R225" s="254" cm="1">
        <f t="array" ref="R225">SUMPRODUCT(--($F$5:$F$220=F225),--($I$5:$I$220&gt;12),$R$5:$R$220,$J$5:$J$220)/SUMIFS($J$5:$J$220,$I$5:$I$220,"&gt;12",$F$5:$F$220,F225)</f>
        <v>3.6837175162115128</v>
      </c>
      <c r="S225" s="254" cm="1">
        <f t="array" ref="S225">SUMPRODUCT(--($F$5:$F$220=F225),--($I$5:$I$220&gt;12),$S$5:$S$220,$J$5:$J$220)/SUMIFS($J$5:$J$220,$I$5:$I$220,"&gt;12",$F$5:$F$220,F225)</f>
        <v>4</v>
      </c>
      <c r="T225" s="254" cm="1">
        <f t="array" ref="T225">SUMPRODUCT(--($F$5:$F$220=F225),$T$5:$T$220,$J$5:$J$220)/SUMIFS($J$5:$J$220,$F$5:$F$220,F225)</f>
        <v>11.469086027989023</v>
      </c>
      <c r="U225" s="254" cm="1">
        <f t="array" ref="U225">SUMPRODUCT(--($F$5:$F$220=F225),$U$5:$U$220,$J$5:$J$220)/SUMIFS($J$5:$J$220,$F$5:$F$220,F225)</f>
        <v>6.4063407188481323</v>
      </c>
      <c r="V225" s="254" cm="1">
        <f t="array" ref="V225">SUMPRODUCT(--($F$5:$F$220=F225),--($AR$5:$AR$220=$B$330),$V$5:$V$220,$J$5:$J$220)/SUMIFS($J$5:$J$220,$F$5:$F$220,F225,$AR$5:$AR$220,$B$330)</f>
        <v>8.3789039786016097</v>
      </c>
      <c r="W225" s="254" cm="1">
        <f t="array" ref="W225">SUMPRODUCT(--($F$5:$F$220=F225),--($AR$5:$AR$220=$B$330),$W$5:$W$220,$J$5:$J$220)/SUMIFS($J$5:$J$220,$F$5:$F$220,F225,$AR$5:$AR$220,$B$330)</f>
        <v>4.6622388194704678</v>
      </c>
      <c r="X225" s="256" cm="1">
        <f t="array" ref="X225">IFERROR((IFERROR(SUMPRODUCT(--($F$5:$F$220=F225),--($N$5:$N$220&gt;0),$J$5:$J$220,$Q$5:$Q$220)/SUMIFS($J$5:$J$220,$F$5:$F$220,F225,$N$5:$N$220,"&gt;0"),""))/N225-1,"NA")</f>
        <v>0.31662005414761518</v>
      </c>
      <c r="Y225" s="256"/>
      <c r="Z225" s="257">
        <f t="shared" si="184"/>
        <v>3.4878042651012908E-2</v>
      </c>
      <c r="AD225" s="258">
        <f>SUMIF($F$5:$F$220,F225,$AD$5:$AD$220)</f>
        <v>6842304.04</v>
      </c>
      <c r="AG225" s="254" cm="1">
        <f t="array" ref="AG225">IFERROR(SUMPRODUCT(--($F$5:$F$220=F225),$J$5:$J$220,$AG$5:$AG$220)/SUMIFS($J$5:$J$220,$F$5:$F$220,F225),"")</f>
        <v>2.9018369416465237</v>
      </c>
      <c r="AH225" s="254" cm="1">
        <f t="array" ref="AH225">IFERROR(SUMPRODUCT(--($F$5:$F$220=F225),$J$5:$J$220,$AH$5:$AH$220)/SUMIFS($J$5:$J$220,$F$5:$F$220,F225),"")</f>
        <v>2.6272096222681736</v>
      </c>
      <c r="AS225" s="249"/>
      <c r="AT225" s="249"/>
      <c r="AU225" s="250"/>
    </row>
    <row r="226" spans="1:47">
      <c r="A226" s="239"/>
      <c r="B226" s="251"/>
      <c r="C226" s="251"/>
      <c r="D226" s="251"/>
      <c r="E226" s="251"/>
      <c r="F226" s="251" t="s">
        <v>201</v>
      </c>
      <c r="H226" s="184">
        <f t="shared" si="182"/>
        <v>2</v>
      </c>
      <c r="I226" s="254" cm="1">
        <f t="array" ref="I226">IFERROR(SUMPRODUCT(--($F$5:$F$220=F226),$J$5:$J$220,$I$5:$I$220)/SUMIFS($J$5:$J$220,$F$5:$F$220,F226),"")/12</f>
        <v>3.460306977075462</v>
      </c>
      <c r="J226" s="253">
        <f t="shared" si="183"/>
        <v>102961</v>
      </c>
      <c r="K226" s="253"/>
      <c r="L226" s="253"/>
      <c r="M226" s="253"/>
      <c r="N226" s="254" cm="1">
        <f t="array" ref="N226">IFERROR(SUMPRODUCT(--($F$5:$F$220=F226),$J$5:$J$220,$N$5:$N$220)/SUMIFS($J$5:$J$220,$F$5:$F$220,F226,$N$5:$N$220,"&gt;0"),"NA")</f>
        <v>6.7581612455201485</v>
      </c>
      <c r="O226" s="254" cm="1">
        <f t="array" ref="O226">IFERROR(SUMPRODUCT(--($F$5:$F$220=F226),$J$5:$J$220,$O$5:$O$220)/SUMIFS($J$5:$J$220,$F$5:$F$220,F226),"")</f>
        <v>9.0426625615524312</v>
      </c>
      <c r="P226" s="255" cm="1">
        <f t="array" ref="P226">IFERROR(SUMPRODUCT(--($F$5:$F$220=F226),$J$5:$J$220,$P$5:$P$220)/SUMIFS($J$5:$J$220,$F$5:$F$220,F226,$P$5:$P$220,"&gt;0"),"")</f>
        <v>10.048364235001603</v>
      </c>
      <c r="Q226" s="254" cm="1">
        <f t="array" ref="Q226">IFERROR(SUMPRODUCT(--($F$5:$F$220=F226),$J$5:$J$220,$Q$5:$Q$220)/SUMIFS($J$5:$J$220,$F$5:$F$220,F226),"")</f>
        <v>10.47477200104894</v>
      </c>
      <c r="R226" s="254" cm="1">
        <f t="array" ref="R226">SUMPRODUCT(--($F$5:$F$220=F226),--($I$5:$I$220&gt;12),$R$5:$R$220,$J$5:$J$220)/SUMIFS($J$5:$J$220,$I$5:$I$220,"&gt;12",$F$5:$F$220,F226)</f>
        <v>3.7769932304464797</v>
      </c>
      <c r="S226" s="254" cm="1">
        <f t="array" ref="S226">SUMPRODUCT(--($F$5:$F$220=F226),--($I$5:$I$220&gt;12),$S$5:$S$220,$J$5:$J$220)/SUMIFS($J$5:$J$220,$I$5:$I$220,"&gt;12",$F$5:$F$220,F226)</f>
        <v>4</v>
      </c>
      <c r="T226" s="254" cm="1">
        <f t="array" ref="T226">SUMPRODUCT(--($F$5:$F$220=F226),$T$5:$T$220,$J$5:$J$220)/SUMIFS($J$5:$J$220,$F$5:$F$220,F226)</f>
        <v>1.5610473992571081</v>
      </c>
      <c r="U226" s="254" cm="1">
        <f t="array" ref="U226">SUMPRODUCT(--($F$5:$F$220=F226),$U$5:$U$220,$J$5:$J$220)/SUMIFS($J$5:$J$220,$F$5:$F$220,F226)</f>
        <v>0</v>
      </c>
      <c r="V226" s="254" cm="1">
        <f t="array" ref="V226">SUMPRODUCT(--($F$5:$F$220=F226),--($AR$5:$AR$220=$B$330),$V$5:$V$220,$J$5:$J$220)/SUMIFS($J$5:$J$220,$F$5:$F$220,F226,$AR$5:$AR$220,$B$330)</f>
        <v>1</v>
      </c>
      <c r="W226" s="254" cm="1">
        <f t="array" ref="W226">SUMPRODUCT(--($F$5:$F$220=F226),--($AR$5:$AR$220=$B$330),$W$5:$W$220,$J$5:$J$220)/SUMIFS($J$5:$J$220,$F$5:$F$220,F226,$AR$5:$AR$220,$B$330)</f>
        <v>9</v>
      </c>
      <c r="X226" s="256" cm="1">
        <f t="array" ref="X226">IFERROR((IFERROR(SUMPRODUCT(--($F$5:$F$220=F226),--($N$5:$N$220&gt;0),$J$5:$J$220,$Q$5:$Q$220)/SUMIFS($J$5:$J$220,$F$5:$F$220,F226,$N$5:$N$220,"&gt;0"),""))/N226-1,"NA")</f>
        <v>0.54994407805709877</v>
      </c>
      <c r="Y226" s="256"/>
      <c r="Z226" s="257">
        <f t="shared" si="184"/>
        <v>0.15837254013939961</v>
      </c>
      <c r="AD226" s="258"/>
      <c r="AG226" s="254"/>
      <c r="AH226" s="254"/>
      <c r="AS226" s="249"/>
      <c r="AT226" s="249"/>
      <c r="AU226" s="250"/>
    </row>
    <row r="227" spans="1:47">
      <c r="A227" s="184" t="s">
        <v>744</v>
      </c>
      <c r="B227" s="251"/>
      <c r="C227" s="251"/>
      <c r="D227" s="251"/>
      <c r="E227" s="251"/>
      <c r="F227" s="251" t="s">
        <v>144</v>
      </c>
      <c r="H227" s="184">
        <f t="shared" si="182"/>
        <v>33</v>
      </c>
      <c r="I227" s="254" cm="1">
        <f t="array" ref="I227">IFERROR(SUMPRODUCT(--($F$5:$F$220=F227),$J$5:$J$220,$I$5:$I$220)/SUMIFS($J$5:$J$220,$F$5:$F$220,F227),"")/12</f>
        <v>4.5195010991855034</v>
      </c>
      <c r="J227" s="253">
        <f t="shared" si="183"/>
        <v>891266</v>
      </c>
      <c r="K227" s="253"/>
      <c r="L227" s="253"/>
      <c r="M227" s="253"/>
      <c r="N227" s="254" cm="1">
        <f t="array" ref="N227">IFERROR(SUMPRODUCT(--($F$5:$F$220=F227),$J$5:$J$220,$N$5:$N$220)/SUMIFS($J$5:$J$220,$F$5:$F$220,F227,$N$5:$N$220,"&gt;0"),"NA")</f>
        <v>6.2471508659487629</v>
      </c>
      <c r="O227" s="254" cm="1">
        <f t="array" ref="O227">IFERROR(SUMPRODUCT(--($F$5:$F$220=F227),$J$5:$J$220,$O$5:$O$220)/SUMIFS($J$5:$J$220,$F$5:$F$220,F227),"")</f>
        <v>6.6142039637998096</v>
      </c>
      <c r="P227" s="255" cm="1">
        <f t="array" ref="P227">IFERROR(SUMPRODUCT(--($F$5:$F$220=F227),$J$5:$J$220,$P$5:$P$220)/SUMIFS($J$5:$J$220,$F$5:$F$220,F227,$P$5:$P$220,"&gt;0"),"")</f>
        <v>6.9639217901804065</v>
      </c>
      <c r="Q227" s="254" cm="1">
        <f t="array" ref="Q227">IFERROR(SUMPRODUCT(--($F$5:$F$220=F227),$J$5:$J$220,$Q$5:$Q$220)/SUMIFS($J$5:$J$220,$F$5:$F$220,F227),"")</f>
        <v>7.3060652925164886</v>
      </c>
      <c r="R227" s="254" cm="1">
        <f t="array" ref="R227">SUMPRODUCT(--($F$5:$F$220=F227),--($I$5:$I$220&gt;12),$R$5:$R$220,$J$5:$J$220)/SUMIFS($J$5:$J$220,$I$5:$I$220,"&gt;12",$F$5:$F$220,F227)</f>
        <v>3.3483387675508771</v>
      </c>
      <c r="S227" s="254" cm="1">
        <f t="array" ref="S227">SUMPRODUCT(--($F$5:$F$220=F227),--($I$5:$I$220&gt;12),$S$5:$S$220,$J$5:$J$220)/SUMIFS($J$5:$J$220,$I$5:$I$220,"&gt;12",$F$5:$F$220,F227)</f>
        <v>2.6751833908171072</v>
      </c>
      <c r="T227" s="254" cm="1">
        <f t="array" ref="T227">SUMPRODUCT(--($F$5:$F$220=F227),$T$5:$T$220,$J$5:$J$220)/SUMIFS($J$5:$J$220,$F$5:$F$220,F227)</f>
        <v>9.7086078173789172</v>
      </c>
      <c r="U227" s="254" cm="1">
        <f t="array" ref="U227">SUMPRODUCT(--($F$5:$F$220=F227),$U$5:$U$220,$J$5:$J$220)/SUMIFS($J$5:$J$220,$F$5:$F$220,F227)</f>
        <v>13.423051255180834</v>
      </c>
      <c r="V227" s="254" cm="1">
        <f t="array" ref="V227">SUMPRODUCT(--($F$5:$F$220=F227),--($AR$5:$AR$220=$B$330),$V$5:$V$220,$J$5:$J$220)/SUMIFS($J$5:$J$220,$F$5:$F$220,F227,$AR$5:$AR$220,$B$330)</f>
        <v>3.1711541728188579</v>
      </c>
      <c r="W227" s="254" cm="1">
        <f t="array" ref="W227">SUMPRODUCT(--($F$5:$F$220=F227),--($AR$5:$AR$220=$B$330),$W$5:$W$220,$J$5:$J$220)/SUMIFS($J$5:$J$220,$F$5:$F$220,F227,$AR$5:$AR$220,$B$330)</f>
        <v>7.3166563876076358</v>
      </c>
      <c r="X227" s="256" cm="1">
        <f t="array" ref="X227">IFERROR((IFERROR(SUMPRODUCT(--($F$5:$F$220=F227),--($N$5:$N$220&gt;0),$J$5:$J$220,$Q$5:$Q$220)/SUMIFS($J$5:$J$220,$F$5:$F$220,F227,$N$5:$N$220,"&gt;0"),""))/N227-1,"NA")</f>
        <v>0.15844469778558867</v>
      </c>
      <c r="Y227" s="256"/>
      <c r="Z227" s="257">
        <f t="shared" si="184"/>
        <v>0.10460235766893566</v>
      </c>
      <c r="AD227" s="258">
        <f t="shared" ref="AD227:AD238" si="185">SUMIF($F$5:$F$220,F227,$AD$5:$AD$220)</f>
        <v>29021310.890000001</v>
      </c>
      <c r="AG227" s="254" cm="1">
        <f t="array" ref="AG227">IFERROR(SUMPRODUCT(--($F$5:$F$220=F227),$J$5:$J$220,$AG$5:$AG$220)/SUMIFS($J$5:$J$220,$F$5:$F$220,F227),"")</f>
        <v>3.7816763743186259</v>
      </c>
      <c r="AH227" s="254" cm="1">
        <f t="array" ref="AH227">IFERROR(SUMPRODUCT(--($F$5:$F$220=F227),$J$5:$J$220,$AH$5:$AH$220)/SUMIFS($J$5:$J$220,$F$5:$F$220,F227),"")</f>
        <v>3.4427436848835633</v>
      </c>
      <c r="AS227" s="249"/>
      <c r="AT227" s="249"/>
      <c r="AU227" s="250"/>
    </row>
    <row r="228" spans="1:47">
      <c r="A228" s="184" t="s">
        <v>611</v>
      </c>
      <c r="B228" s="251"/>
      <c r="C228" s="251"/>
      <c r="D228" s="251"/>
      <c r="E228" s="251"/>
      <c r="F228" s="251" t="s">
        <v>185</v>
      </c>
      <c r="H228" s="184">
        <f t="shared" si="182"/>
        <v>7</v>
      </c>
      <c r="I228" s="254" cm="1">
        <f t="array" ref="I228">IFERROR(SUMPRODUCT(--($F$5:$F$220=F228),$J$5:$J$220,$I$5:$I$220)/SUMIFS($J$5:$J$220,$F$5:$F$220,F228),"")/12</f>
        <v>4.2459407759161367</v>
      </c>
      <c r="J228" s="253">
        <f t="shared" si="183"/>
        <v>558050</v>
      </c>
      <c r="K228" s="253"/>
      <c r="L228" s="253"/>
      <c r="M228" s="253"/>
      <c r="N228" s="254" cm="1">
        <f t="array" ref="N228">IFERROR(SUMPRODUCT(--($F$5:$F$220=F228),$J$5:$J$220,$N$5:$N$220)/SUMIFS($J$5:$J$220,$F$5:$F$220,F228,$N$5:$N$220,"&gt;0"),"NA")</f>
        <v>4.0541443169541038</v>
      </c>
      <c r="O228" s="254" cm="1">
        <f t="array" ref="O228">IFERROR(SUMPRODUCT(--($F$5:$F$220=F228),$J$5:$J$220,$O$5:$O$220)/SUMIFS($J$5:$J$220,$F$5:$F$220,F228),"")</f>
        <v>3.6429128572708538</v>
      </c>
      <c r="P228" s="255" cm="1">
        <f t="array" ref="P228">IFERROR(SUMPRODUCT(--($F$5:$F$220=F228),$J$5:$J$220,$P$5:$P$220)/SUMIFS($J$5:$J$220,$F$5:$F$220,F228,$P$5:$P$220,"&gt;0"),"")</f>
        <v>4.9755257033751317</v>
      </c>
      <c r="Q228" s="254" cm="1">
        <f t="array" ref="Q228">IFERROR(SUMPRODUCT(--($F$5:$F$220=F228),$J$5:$J$220,$Q$5:$Q$220)/SUMIFS($J$5:$J$220,$F$5:$F$220,F228),"")</f>
        <v>4.1773568318251053</v>
      </c>
      <c r="R228" s="254" cm="1">
        <f t="array" ref="R228">SUMPRODUCT(--($F$5:$F$220=F228),--($I$5:$I$220&gt;12),$R$5:$R$220,$J$5:$J$220)/SUMIFS($J$5:$J$220,$I$5:$I$220,"&gt;12",$F$5:$F$220,F228)</f>
        <v>3.6434075799659529</v>
      </c>
      <c r="S228" s="254" cm="1">
        <f t="array" ref="S228">SUMPRODUCT(--($F$5:$F$220=F228),--($I$5:$I$220&gt;12),$S$5:$S$220,$J$5:$J$220)/SUMIFS($J$5:$J$220,$I$5:$I$220,"&gt;12",$F$5:$F$220,F228)</f>
        <v>3.1051670997222471</v>
      </c>
      <c r="T228" s="254" cm="1">
        <f t="array" ref="T228">SUMPRODUCT(--($F$5:$F$220=F228),$T$5:$T$220,$J$5:$J$220)/SUMIFS($J$5:$J$220,$F$5:$F$220,F228)</f>
        <v>13.030920213192809</v>
      </c>
      <c r="U228" s="254" cm="1">
        <f t="array" ref="U228">SUMPRODUCT(--($F$5:$F$220=F228),$U$5:$U$220,$J$5:$J$220)/SUMIFS($J$5:$J$220,$F$5:$F$220,F228)</f>
        <v>10.386638276140131</v>
      </c>
      <c r="V228" s="254" cm="1">
        <f t="array" ref="V228">SUMPRODUCT(--($F$5:$F$220=F228),--($AR$5:$AR$220=$B$330),$V$5:$V$220,$J$5:$J$220)/SUMIFS($J$5:$J$220,$F$5:$F$220,F228,$AR$5:$AR$220,$B$330)</f>
        <v>0</v>
      </c>
      <c r="W228" s="254" cm="1">
        <f t="array" ref="W228">SUMPRODUCT(--($F$5:$F$220=F228),--($AR$5:$AR$220=$B$330),$W$5:$W$220,$J$5:$J$220)/SUMIFS($J$5:$J$220,$F$5:$F$220,F228,$AR$5:$AR$220,$B$330)</f>
        <v>7.8093054476901482</v>
      </c>
      <c r="X228" s="256" cm="1">
        <f t="array" ref="X228">IFERROR((IFERROR(SUMPRODUCT(--($F$5:$F$220=F228),--($N$5:$N$220&gt;0),$J$5:$J$220,$Q$5:$Q$220)/SUMIFS($J$5:$J$220,$F$5:$F$220,F228,$N$5:$N$220,"&gt;0"),""))/N228-1,"NA")</f>
        <v>0.11403603905961268</v>
      </c>
      <c r="Y228" s="256"/>
      <c r="Z228" s="257">
        <f t="shared" si="184"/>
        <v>0.14670786688942061</v>
      </c>
      <c r="AD228" s="258">
        <f t="shared" si="185"/>
        <v>8983929.1600000001</v>
      </c>
      <c r="AG228" s="254" cm="1">
        <f t="array" ref="AG228">IFERROR(SUMPRODUCT(--($F$5:$F$220=F228),$J$5:$J$220,$AG$5:$AG$220)/SUMIFS($J$5:$J$220,$F$5:$F$220,F228),"")</f>
        <v>2.735494010664949</v>
      </c>
      <c r="AH228" s="254" cm="1">
        <f t="array" ref="AH228">IFERROR(SUMPRODUCT(--($F$5:$F$220=F228),$J$5:$J$220,$AH$5:$AH$220)/SUMIFS($J$5:$J$220,$F$5:$F$220,F228),"")</f>
        <v>1.8068392755361418</v>
      </c>
      <c r="AU228" s="184"/>
    </row>
    <row r="229" spans="1:47">
      <c r="A229" s="184" t="s">
        <v>745</v>
      </c>
      <c r="B229" s="251"/>
      <c r="C229" s="251"/>
      <c r="D229" s="251"/>
      <c r="E229" s="251"/>
      <c r="F229" s="251" t="s">
        <v>214</v>
      </c>
      <c r="H229" s="184">
        <f t="shared" si="182"/>
        <v>11</v>
      </c>
      <c r="I229" s="254" cm="1">
        <f t="array" ref="I229">IFERROR(SUMPRODUCT(--($F$5:$F$220=F229),$J$5:$J$220,$I$5:$I$220)/SUMIFS($J$5:$J$220,$F$5:$F$220,F229),"")/12</f>
        <v>3.5576283165521314</v>
      </c>
      <c r="J229" s="253">
        <f t="shared" si="183"/>
        <v>185823</v>
      </c>
      <c r="K229" s="253"/>
      <c r="L229" s="253"/>
      <c r="M229" s="253"/>
      <c r="N229" s="254" cm="1">
        <f t="array" ref="N229">IFERROR(SUMPRODUCT(--($F$5:$F$220=F229),$J$5:$J$220,$N$5:$N$220)/SUMIFS($J$5:$J$220,$F$5:$F$220,F229,$N$5:$N$220,"&gt;0"),"NA")</f>
        <v>4.773772084187641</v>
      </c>
      <c r="O229" s="254" cm="1">
        <f t="array" ref="O229">IFERROR(SUMPRODUCT(--($F$5:$F$220=F229),$J$5:$J$220,$O$5:$O$220)/SUMIFS($J$5:$J$220,$F$5:$F$220,F229),"")</f>
        <v>5.5846012065244883</v>
      </c>
      <c r="P229" s="255" cm="1">
        <f t="array" ref="P229">IFERROR(SUMPRODUCT(--($F$5:$F$220=F229),$J$5:$J$220,$P$5:$P$220)/SUMIFS($J$5:$J$220,$F$5:$F$220,F229,$P$5:$P$220,"&gt;0"),"")</f>
        <v>6.8649511891502328</v>
      </c>
      <c r="Q229" s="254" cm="1">
        <f t="array" ref="Q229">IFERROR(SUMPRODUCT(--($F$5:$F$220=F229),$J$5:$J$220,$Q$5:$Q$220)/SUMIFS($J$5:$J$220,$F$5:$F$220,F229),"")</f>
        <v>7.5256991868606145</v>
      </c>
      <c r="R229" s="254" cm="1">
        <f t="array" ref="R229">SUMPRODUCT(--($F$5:$F$220=F229),--($I$5:$I$220&gt;12),$R$5:$R$220,$J$5:$J$220)/SUMIFS($J$5:$J$220,$I$5:$I$220,"&gt;12",$F$5:$F$220,F229)</f>
        <v>2.0916705682289058</v>
      </c>
      <c r="S229" s="254" cm="1">
        <f t="array" ref="S229">SUMPRODUCT(--($F$5:$F$220=F229),--($I$5:$I$220&gt;12),$S$5:$S$220,$J$5:$J$220)/SUMIFS($J$5:$J$220,$I$5:$I$220,"&gt;12",$F$5:$F$220,F229)</f>
        <v>2.9841435129128255</v>
      </c>
      <c r="T229" s="254" cm="1">
        <f t="array" ref="T229">SUMPRODUCT(--($F$5:$F$220=F229),$T$5:$T$220,$J$5:$J$220)/SUMIFS($J$5:$J$220,$F$5:$F$220,F229)</f>
        <v>6.6218679933919784</v>
      </c>
      <c r="U229" s="254" cm="1">
        <f t="array" ref="U229">SUMPRODUCT(--($F$5:$F$220=F229),$U$5:$U$220,$J$5:$J$220)/SUMIFS($J$5:$J$220,$F$5:$F$220,F229)</f>
        <v>9.408879417510212</v>
      </c>
      <c r="V229" s="254" cm="1">
        <f t="array" ref="V229">SUMPRODUCT(--($F$5:$F$220=F229),--($AR$5:$AR$220=$B$330),$V$5:$V$220,$J$5:$J$220)/SUMIFS($J$5:$J$220,$F$5:$F$220,F229,$AR$5:$AR$220,$B$330)</f>
        <v>5.6732309100188303</v>
      </c>
      <c r="W229" s="254" cm="1">
        <f t="array" ref="W229">SUMPRODUCT(--($F$5:$F$220=F229),--($AR$5:$AR$220=$B$330),$W$5:$W$220,$J$5:$J$220)/SUMIFS($J$5:$J$220,$F$5:$F$220,F229,$AR$5:$AR$220,$B$330)</f>
        <v>8.7128574696865702</v>
      </c>
      <c r="X229" s="256" cm="1">
        <f t="array" ref="X229">IFERROR((IFERROR(SUMPRODUCT(--($F$5:$F$220=F229),--($N$5:$N$220&gt;0),$J$5:$J$220,$Q$5:$Q$220)/SUMIFS($J$5:$J$220,$F$5:$F$220,F229,$N$5:$N$220,"&gt;0"),""))/N229-1,"NA")</f>
        <v>0.57646805380346766</v>
      </c>
      <c r="Y229" s="256"/>
      <c r="Z229" s="257">
        <f t="shared" si="184"/>
        <v>0.34758041058837685</v>
      </c>
      <c r="AD229" s="258">
        <f t="shared" si="185"/>
        <v>5261953.4000000004</v>
      </c>
      <c r="AG229" s="254" cm="1">
        <f t="array" ref="AG229">IFERROR(SUMPRODUCT(--($F$5:$F$220=F229),$J$5:$J$220,$AG$5:$AG$220)/SUMIFS($J$5:$J$220,$F$5:$F$220,F229),"")</f>
        <v>1.6439172717405472</v>
      </c>
      <c r="AH229" s="254" cm="1">
        <f t="array" ref="AH229">IFERROR(SUMPRODUCT(--($F$5:$F$220=F229),$J$5:$J$220,$AH$5:$AH$220)/SUMIFS($J$5:$J$220,$F$5:$F$220,F229),"")</f>
        <v>1.5610712351011047</v>
      </c>
    </row>
    <row r="230" spans="1:47">
      <c r="A230" s="184" t="s">
        <v>746</v>
      </c>
      <c r="B230" s="251"/>
      <c r="C230" s="251"/>
      <c r="D230" s="251"/>
      <c r="E230" s="251"/>
      <c r="F230" s="251" t="s">
        <v>244</v>
      </c>
      <c r="H230" s="184">
        <f t="shared" si="182"/>
        <v>24</v>
      </c>
      <c r="I230" s="254" cm="1">
        <f t="array" ref="I230">IFERROR(SUMPRODUCT(--($F$5:$F$220=F230),$J$5:$J$220,$I$5:$I$220)/SUMIFS($J$5:$J$220,$F$5:$F$220,F230),"")/12</f>
        <v>5.7597923907978164</v>
      </c>
      <c r="J230" s="253">
        <f t="shared" si="183"/>
        <v>779670</v>
      </c>
      <c r="K230" s="253"/>
      <c r="L230" s="253"/>
      <c r="M230" s="253"/>
      <c r="N230" s="254" cm="1">
        <f t="array" ref="N230">IFERROR(SUMPRODUCT(--($F$5:$F$220=F230),$J$5:$J$220,$N$5:$N$220)/SUMIFS($J$5:$J$220,$F$5:$F$220,F230,$N$5:$N$220,"&gt;0"),"NA")</f>
        <v>4.3657175840582054</v>
      </c>
      <c r="O230" s="254" cm="1">
        <f t="array" ref="O230">IFERROR(SUMPRODUCT(--($F$5:$F$220=F230),$J$5:$J$220,$O$5:$O$220)/SUMIFS($J$5:$J$220,$F$5:$F$220,F230),"")</f>
        <v>5.3285618530916921</v>
      </c>
      <c r="P230" s="255" cm="1">
        <f t="array" ref="P230">IFERROR(SUMPRODUCT(--($F$5:$F$220=F230),$J$5:$J$220,$P$5:$P$220)/SUMIFS($J$5:$J$220,$F$5:$F$220,F230,$P$5:$P$220,"&gt;0"),"")</f>
        <v>5.8837031265410786</v>
      </c>
      <c r="Q230" s="254" cm="1">
        <f t="array" ref="Q230">IFERROR(SUMPRODUCT(--($F$5:$F$220=F230),$J$5:$J$220,$Q$5:$Q$220)/SUMIFS($J$5:$J$220,$F$5:$F$220,F230),"")</f>
        <v>6.0963076686290343</v>
      </c>
      <c r="R230" s="254" cm="1">
        <f t="array" ref="R230">SUMPRODUCT(--($F$5:$F$220=F230),--($I$5:$I$220&gt;12),$R$5:$R$220,$J$5:$J$220)/SUMIFS($J$5:$J$220,$I$5:$I$220,"&gt;12",$F$5:$F$220,F230)</f>
        <v>3.3364564110456989</v>
      </c>
      <c r="S230" s="254" cm="1">
        <f t="array" ref="S230">SUMPRODUCT(--($F$5:$F$220=F230),--($I$5:$I$220&gt;12),$S$5:$S$220,$J$5:$J$220)/SUMIFS($J$5:$J$220,$I$5:$I$220,"&gt;12",$F$5:$F$220,F230)</f>
        <v>2.8199022663434534</v>
      </c>
      <c r="T230" s="254" cm="1">
        <f t="array" ref="T230">SUMPRODUCT(--($F$5:$F$220=F230),$T$5:$T$220,$J$5:$J$220)/SUMIFS($J$5:$J$220,$F$5:$F$220,F230)</f>
        <v>8.4499628908083988</v>
      </c>
      <c r="U230" s="254" cm="1">
        <f t="array" ref="U230">SUMPRODUCT(--($F$5:$F$220=F230),$U$5:$U$220,$J$5:$J$220)/SUMIFS($J$5:$J$220,$F$5:$F$220,F230)</f>
        <v>8.1324003014095716</v>
      </c>
      <c r="V230" s="254" cm="1">
        <f t="array" ref="V230">SUMPRODUCT(--($F$5:$F$220=F230),--($AR$5:$AR$220=$B$330),$V$5:$V$220,$J$5:$J$220)/SUMIFS($J$5:$J$220,$F$5:$F$220,F230,$AR$5:$AR$220,$B$330)</f>
        <v>4.0777198260357741</v>
      </c>
      <c r="W230" s="254" cm="1">
        <f t="array" ref="W230">SUMPRODUCT(--($F$5:$F$220=F230),--($AR$5:$AR$220=$B$330),$W$5:$W$220,$J$5:$J$220)/SUMIFS($J$5:$J$220,$F$5:$F$220,F230,$AR$5:$AR$220,$B$330)</f>
        <v>3.6636982930577808</v>
      </c>
      <c r="X230" s="256" cm="1">
        <f t="array" ref="X230">IFERROR((IFERROR(SUMPRODUCT(--($F$5:$F$220=F230),--($N$5:$N$220&gt;0),$J$5:$J$220,$Q$5:$Q$220)/SUMIFS($J$5:$J$220,$F$5:$F$220,F230,$N$5:$N$220,"&gt;0"),""))/N230-1,"NA")</f>
        <v>0.38436299793208484</v>
      </c>
      <c r="Y230" s="256"/>
      <c r="Z230" s="257">
        <f t="shared" si="184"/>
        <v>0.14408124306409009</v>
      </c>
      <c r="AD230" s="258">
        <f t="shared" si="185"/>
        <v>31891107.66</v>
      </c>
      <c r="AG230" s="254" cm="1">
        <f t="array" ref="AG230">IFERROR(SUMPRODUCT(--($F$5:$F$220=F230),$J$5:$J$220,$AG$5:$AG$220)/SUMIFS($J$5:$J$220,$F$5:$F$220,F230),"")</f>
        <v>6.1440245580308304</v>
      </c>
      <c r="AH230" s="254" cm="1">
        <f t="array" ref="AH230">IFERROR(SUMPRODUCT(--($F$5:$F$220=F230),$J$5:$J$220,$AH$5:$AH$220)/SUMIFS($J$5:$J$220,$F$5:$F$220,F230),"")</f>
        <v>5.4660001064627597</v>
      </c>
    </row>
    <row r="231" spans="1:47">
      <c r="A231" s="184" t="s">
        <v>747</v>
      </c>
      <c r="B231" s="251"/>
      <c r="C231" s="251"/>
      <c r="D231" s="251"/>
      <c r="E231" s="251"/>
      <c r="F231" s="251" t="s">
        <v>181</v>
      </c>
      <c r="H231" s="184">
        <f t="shared" si="182"/>
        <v>30</v>
      </c>
      <c r="I231" s="254" cm="1">
        <f t="array" ref="I231">IFERROR(SUMPRODUCT(--($F$5:$F$220=F231),$J$5:$J$220,$I$5:$I$220)/SUMIFS($J$5:$J$220,$F$5:$F$220,F231),"")/12</f>
        <v>5.3463228319172096</v>
      </c>
      <c r="J231" s="253">
        <f t="shared" si="183"/>
        <v>886928</v>
      </c>
      <c r="K231" s="253"/>
      <c r="L231" s="253"/>
      <c r="M231" s="253"/>
      <c r="N231" s="254" cm="1">
        <f t="array" ref="N231">IFERROR(SUMPRODUCT(--($F$5:$F$220=F231),$J$5:$J$220,$N$5:$N$220)/SUMIFS($J$5:$J$220,$F$5:$F$220,F231,$N$5:$N$220,"&gt;0"),"NA")</f>
        <v>4.9293937407134027</v>
      </c>
      <c r="O231" s="254" cm="1">
        <f t="array" ref="O231">IFERROR(SUMPRODUCT(--($F$5:$F$220=F231),$J$5:$J$220,$O$5:$O$220)/SUMIFS($J$5:$J$220,$F$5:$F$220,F231),"")</f>
        <v>6.8278024033517939</v>
      </c>
      <c r="P231" s="255" cm="1">
        <f t="array" ref="P231">IFERROR(SUMPRODUCT(--($F$5:$F$220=F231),$J$5:$J$220,$P$5:$P$220)/SUMIFS($J$5:$J$220,$F$5:$F$220,F231,$P$5:$P$220,"&gt;0"),"")</f>
        <v>8.9185056178596529</v>
      </c>
      <c r="Q231" s="254" cm="1">
        <f t="array" ref="Q231">IFERROR(SUMPRODUCT(--($F$5:$F$220=F231),$J$5:$J$220,$Q$5:$Q$220)/SUMIFS($J$5:$J$220,$F$5:$F$220,F231),"")</f>
        <v>8.3052362085761189</v>
      </c>
      <c r="R231" s="254" cm="1">
        <f t="array" ref="R231">SUMPRODUCT(--($F$5:$F$220=F231),--($I$5:$I$220&gt;12),$R$5:$R$220,$J$5:$J$220)/SUMIFS($J$5:$J$220,$I$5:$I$220,"&gt;12",$F$5:$F$220,F231)</f>
        <v>3.8213349899879132</v>
      </c>
      <c r="S231" s="254" cm="1">
        <f t="array" ref="S231">SUMPRODUCT(--($F$5:$F$220=F231),--($I$5:$I$220&gt;12),$S$5:$S$220,$J$5:$J$220)/SUMIFS($J$5:$J$220,$I$5:$I$220,"&gt;12",$F$5:$F$220,F231)</f>
        <v>2.8008468556635937</v>
      </c>
      <c r="T231" s="254" cm="1">
        <f t="array" ref="T231">SUMPRODUCT(--($F$5:$F$220=F231),$T$5:$T$220,$J$5:$J$220)/SUMIFS($J$5:$J$220,$F$5:$F$220,F231)</f>
        <v>5.7991083428015049</v>
      </c>
      <c r="U231" s="254" cm="1">
        <f t="array" ref="U231">SUMPRODUCT(--($F$5:$F$220=F231),$U$5:$U$220,$J$5:$J$220)/SUMIFS($J$5:$J$220,$F$5:$F$220,F231)</f>
        <v>23.329193824075912</v>
      </c>
      <c r="V231" s="254" cm="1">
        <f t="array" ref="V231">SUMPRODUCT(--($F$5:$F$220=F231),--($AR$5:$AR$220=$B$330),$V$5:$V$220,$J$5:$J$220)/SUMIFS($J$5:$J$220,$F$5:$F$220,F231,$AR$5:$AR$220,$B$330)</f>
        <v>7.2945799958923807</v>
      </c>
      <c r="W231" s="254" cm="1">
        <f t="array" ref="W231">SUMPRODUCT(--($F$5:$F$220=F231),--($AR$5:$AR$220=$B$330),$W$5:$W$220,$J$5:$J$220)/SUMIFS($J$5:$J$220,$F$5:$F$220,F231,$AR$5:$AR$220,$B$330)</f>
        <v>6.8429143766687206</v>
      </c>
      <c r="X231" s="256" cm="1">
        <f t="array" ref="X231">IFERROR((IFERROR(SUMPRODUCT(--($F$5:$F$220=F231),--($N$5:$N$220&gt;0),$J$5:$J$220,$Q$5:$Q$220)/SUMIFS($J$5:$J$220,$F$5:$F$220,F231,$N$5:$N$220,"&gt;0"),""))/N231-1,"NA")</f>
        <v>0.55444713899498144</v>
      </c>
      <c r="Y231" s="256"/>
      <c r="Z231" s="257">
        <f t="shared" si="184"/>
        <v>0.21638496809735552</v>
      </c>
      <c r="AD231" s="258">
        <f t="shared" si="185"/>
        <v>47635993.399999999</v>
      </c>
      <c r="AG231" s="254" cm="1">
        <f t="array" ref="AG231">IFERROR(SUMPRODUCT(--($F$5:$F$220=F231),$J$5:$J$220,$AG$5:$AG$220)/SUMIFS($J$5:$J$220,$F$5:$F$220,F231),"")</f>
        <v>4.3341459849518129</v>
      </c>
      <c r="AH231" s="254" cm="1">
        <f t="array" ref="AH231">IFERROR(SUMPRODUCT(--($F$5:$F$220=F231),$J$5:$J$220,$AH$5:$AH$220)/SUMIFS($J$5:$J$220,$F$5:$F$220,F231),"")</f>
        <v>3.9430185955502255</v>
      </c>
    </row>
    <row r="232" spans="1:47">
      <c r="B232" s="251"/>
      <c r="C232" s="251"/>
      <c r="D232" s="251"/>
      <c r="E232" s="251"/>
      <c r="F232" s="251" t="s">
        <v>600</v>
      </c>
      <c r="H232" s="184">
        <f t="shared" si="182"/>
        <v>1</v>
      </c>
      <c r="I232" s="254" cm="1">
        <f t="array" ref="I232">IFERROR(SUMPRODUCT(--($F$5:$F$220=F232),$J$5:$J$220,$I$5:$I$220)/SUMIFS($J$5:$J$220,$F$5:$F$220,F232),"")/12</f>
        <v>5</v>
      </c>
      <c r="J232" s="253">
        <f t="shared" si="183"/>
        <v>52896</v>
      </c>
      <c r="K232" s="253"/>
      <c r="L232" s="253"/>
      <c r="M232" s="253"/>
      <c r="N232" s="254" t="str" cm="1">
        <f t="array" ref="N232">IFERROR(SUMPRODUCT(--($F$5:$F$220=F232),$J$5:$J$220,$N$5:$N$220)/SUMIFS($J$5:$J$220,$F$5:$F$220,F232,$N$5:$N$220,"&gt;0"),"NA")</f>
        <v>NA</v>
      </c>
      <c r="O232" s="254" cm="1">
        <f t="array" ref="O232">IFERROR(SUMPRODUCT(--($F$5:$F$220=F232),$J$5:$J$220,$O$5:$O$220)/SUMIFS($J$5:$J$220,$F$5:$F$220,F232),"")</f>
        <v>7.8</v>
      </c>
      <c r="P232" s="255" t="str" cm="1">
        <f t="array" ref="P232">IFERROR(SUMPRODUCT(--($F$5:$F$220=F232),$J$5:$J$220,$P$5:$P$220)/SUMIFS($J$5:$J$220,$F$5:$F$220,F232,$P$5:$P$220,"&gt;0"),"")</f>
        <v/>
      </c>
      <c r="Q232" s="254" cm="1">
        <f t="array" ref="Q232">IFERROR(SUMPRODUCT(--($F$5:$F$220=F232),$J$5:$J$220,$Q$5:$Q$220)/SUMIFS($J$5:$J$220,$F$5:$F$220,F232),"")</f>
        <v>8.2799999999999994</v>
      </c>
      <c r="R232" s="254" cm="1">
        <f t="array" ref="R232">SUMPRODUCT(--($F$5:$F$220=F232),--($I$5:$I$220&gt;12),$R$5:$R$220,$J$5:$J$220)/SUMIFS($J$5:$J$220,$I$5:$I$220,"&gt;12",$F$5:$F$220,F232)</f>
        <v>3</v>
      </c>
      <c r="S232" s="254" cm="1">
        <f t="array" ref="S232">SUMPRODUCT(--($F$5:$F$220=F232),--($I$5:$I$220&gt;12),$S$5:$S$220,$J$5:$J$220)/SUMIFS($J$5:$J$220,$I$5:$I$220,"&gt;12",$F$5:$F$220,F232)</f>
        <v>2.5</v>
      </c>
      <c r="T232" s="254" cm="1">
        <f t="array" ref="T232">SUMPRODUCT(--($F$5:$F$220=F232),$T$5:$T$220,$J$5:$J$220)/SUMIFS($J$5:$J$220,$F$5:$F$220,F232)</f>
        <v>11.2768542788</v>
      </c>
      <c r="U232" s="254" cm="1">
        <f t="array" ref="U232">SUMPRODUCT(--($F$5:$F$220=F232),$U$5:$U$220,$J$5:$J$220)/SUMIFS($J$5:$J$220,$F$5:$F$220,F232)</f>
        <v>31.6</v>
      </c>
      <c r="V232" s="254" cm="1">
        <f t="array" ref="V232">SUMPRODUCT(--($F$5:$F$220=F232),--($AR$5:$AR$220=$B$330),$V$5:$V$220,$J$5:$J$220)/SUMIFS($J$5:$J$220,$F$5:$F$220,F232,$AR$5:$AR$220,$B$330)</f>
        <v>6</v>
      </c>
      <c r="W232" s="254" cm="1">
        <f t="array" ref="W232">SUMPRODUCT(--($F$5:$F$220=F232),--($AR$5:$AR$220=$B$330),$W$5:$W$220,$J$5:$J$220)/SUMIFS($J$5:$J$220,$F$5:$F$220,F232,$AR$5:$AR$220,$B$330)</f>
        <v>11.09</v>
      </c>
      <c r="X232" s="256" t="str" cm="1">
        <f t="array" ref="X232">IFERROR((IFERROR(SUMPRODUCT(--($F$5:$F$220=F232),--($N$5:$N$220&gt;0),$J$5:$J$220,$Q$5:$Q$220)/SUMIFS($J$5:$J$220,$F$5:$F$220,F232,$N$5:$N$220,"&gt;0"),""))/N232-1,"NA")</f>
        <v>NA</v>
      </c>
      <c r="Y232" s="256"/>
      <c r="Z232" s="257">
        <f t="shared" si="184"/>
        <v>6.1538461538461542E-2</v>
      </c>
      <c r="AD232" s="258">
        <f t="shared" si="185"/>
        <v>1416513.56</v>
      </c>
      <c r="AG232" s="254" cm="1">
        <f t="array" ref="AG232">IFERROR(SUMPRODUCT(--($F$5:$F$220=F232),$J$5:$J$220,$AG$5:$AG$220)/SUMIFS($J$5:$J$220,$F$5:$F$220,F232),"")</f>
        <v>6.3362077767197658</v>
      </c>
      <c r="AH232" s="254" cm="1">
        <f t="array" ref="AH232">IFERROR(SUMPRODUCT(--($F$5:$F$220=F232),$J$5:$J$220,$AH$5:$AH$220)/SUMIFS($J$5:$J$220,$F$5:$F$220,F232),"")</f>
        <v>5.7604604651902189</v>
      </c>
    </row>
    <row r="233" spans="1:47">
      <c r="B233" s="251"/>
      <c r="C233" s="251"/>
      <c r="D233" s="251"/>
      <c r="E233" s="251"/>
      <c r="F233" s="251" t="s">
        <v>221</v>
      </c>
      <c r="H233" s="184">
        <f t="shared" si="182"/>
        <v>1</v>
      </c>
      <c r="I233" s="254" cm="1">
        <f t="array" ref="I233">IFERROR(SUMPRODUCT(--($F$5:$F$220=F233),$J$5:$J$220,$I$5:$I$220)/SUMIFS($J$5:$J$220,$F$5:$F$220,F233),"")/12</f>
        <v>3</v>
      </c>
      <c r="J233" s="253">
        <f t="shared" si="183"/>
        <v>39000</v>
      </c>
      <c r="K233" s="253"/>
      <c r="L233" s="253"/>
      <c r="M233" s="253"/>
      <c r="N233" s="254" cm="1">
        <f t="array" ref="N233">IFERROR(SUMPRODUCT(--($F$5:$F$220=F233),$J$5:$J$220,$N$5:$N$220)/SUMIFS($J$5:$J$220,$F$5:$F$220,F233,$N$5:$N$220,"&gt;0"),"NA")</f>
        <v>4.25</v>
      </c>
      <c r="O233" s="254" cm="1">
        <f t="array" ref="O233">IFERROR(SUMPRODUCT(--($F$5:$F$220=F233),$J$5:$J$220,$O$5:$O$220)/SUMIFS($J$5:$J$220,$F$5:$F$220,F233),"")</f>
        <v>4.6349999999999998</v>
      </c>
      <c r="P233" s="255" cm="1">
        <f t="array" ref="P233">IFERROR(SUMPRODUCT(--($F$5:$F$220=F233),$J$5:$J$220,$P$5:$P$220)/SUMIFS($J$5:$J$220,$F$5:$F$220,F233,$P$5:$P$220,"&gt;0"),"")</f>
        <v>4.43</v>
      </c>
      <c r="Q233" s="254" cm="1">
        <f t="array" ref="Q233">IFERROR(SUMPRODUCT(--($F$5:$F$220=F233),$J$5:$J$220,$Q$5:$Q$220)/SUMIFS($J$5:$J$220,$F$5:$F$220,F233),"")</f>
        <v>5.75</v>
      </c>
      <c r="R233" s="254" cm="1">
        <f t="array" ref="R233">SUMPRODUCT(--($F$5:$F$220=F233),--($I$5:$I$220&gt;12),$R$5:$R$220,$J$5:$J$220)/SUMIFS($J$5:$J$220,$I$5:$I$220,"&gt;12",$F$5:$F$220,F233)</f>
        <v>6</v>
      </c>
      <c r="S233" s="254" cm="1">
        <f t="array" ref="S233">SUMPRODUCT(--($F$5:$F$220=F233),--($I$5:$I$220&gt;12),$S$5:$S$220,$J$5:$J$220)/SUMIFS($J$5:$J$220,$I$5:$I$220,"&gt;12",$F$5:$F$220,F233)</f>
        <v>3</v>
      </c>
      <c r="T233" s="254" cm="1">
        <f t="array" ref="T233">SUMPRODUCT(--($F$5:$F$220=F233),$T$5:$T$220,$J$5:$J$220)/SUMIFS($J$5:$J$220,$F$5:$F$220,F233)</f>
        <v>10.650318669100001</v>
      </c>
      <c r="U233" s="254" cm="1">
        <f t="array" ref="U233">SUMPRODUCT(--($F$5:$F$220=F233),$U$5:$U$220,$J$5:$J$220)/SUMIFS($J$5:$J$220,$F$5:$F$220,F233)</f>
        <v>13.09</v>
      </c>
      <c r="V233" s="254" cm="1">
        <f t="array" ref="V233">SUMPRODUCT(--($F$5:$F$220=F233),--($AR$5:$AR$220=$B$330),$V$5:$V$220,$J$5:$J$220)/SUMIFS($J$5:$J$220,$F$5:$F$220,F233,$AR$5:$AR$220,$B$330)</f>
        <v>0</v>
      </c>
      <c r="W233" s="254" cm="1">
        <f t="array" ref="W233">SUMPRODUCT(--($F$5:$F$220=F233),--($AR$5:$AR$220=$B$330),$W$5:$W$220,$J$5:$J$220)/SUMIFS($J$5:$J$220,$F$5:$F$220,F233,$AR$5:$AR$220,$B$330)</f>
        <v>8.09</v>
      </c>
      <c r="X233" s="256" cm="1">
        <f t="array" ref="X233">IFERROR((IFERROR(SUMPRODUCT(--($F$5:$F$220=F233),--($N$5:$N$220&gt;0),$J$5:$J$220,$Q$5:$Q$220)/SUMIFS($J$5:$J$220,$F$5:$F$220,F233,$N$5:$N$220,"&gt;0"),""))/N233-1,"NA")</f>
        <v>0.35294117647058831</v>
      </c>
      <c r="Y233" s="256"/>
      <c r="Z233" s="257">
        <f t="shared" si="184"/>
        <v>0.24056094929881344</v>
      </c>
      <c r="AD233" s="258">
        <f t="shared" si="185"/>
        <v>713922.3</v>
      </c>
      <c r="AG233" s="254" cm="1">
        <f t="array" ref="AG233">IFERROR(SUMPRODUCT(--($F$5:$F$220=F233),$J$5:$J$220,$AG$5:$AG$220)/SUMIFS($J$5:$J$220,$F$5:$F$220,F233),"")</f>
        <v>5.7329501913190022</v>
      </c>
      <c r="AH233" s="254" cm="1">
        <f t="array" ref="AH233">IFERROR(SUMPRODUCT(--($F$5:$F$220=F233),$J$5:$J$220,$AH$5:$AH$220)/SUMIFS($J$5:$J$220,$F$5:$F$220,F233),"")</f>
        <v>5.6373491904757769</v>
      </c>
    </row>
    <row r="234" spans="1:47">
      <c r="B234" s="251"/>
      <c r="C234" s="251"/>
      <c r="D234" s="251"/>
      <c r="E234" s="251"/>
      <c r="F234" s="251" t="s">
        <v>158</v>
      </c>
      <c r="H234" s="184">
        <f t="shared" si="182"/>
        <v>23</v>
      </c>
      <c r="I234" s="254" cm="1">
        <f t="array" ref="I234">IFERROR(SUMPRODUCT(--($F$5:$F$220=F234),$J$5:$J$220,$I$5:$I$220)/SUMIFS($J$5:$J$220,$F$5:$F$220,F234),"")/12</f>
        <v>3.9205092060527704</v>
      </c>
      <c r="J234" s="253">
        <f t="shared" si="183"/>
        <v>556880</v>
      </c>
      <c r="K234" s="253"/>
      <c r="L234" s="253"/>
      <c r="M234" s="253"/>
      <c r="N234" s="254" cm="1">
        <f t="array" ref="N234">IFERROR(SUMPRODUCT(--($F$5:$F$220=F234),$J$5:$J$220,$N$5:$N$220)/SUMIFS($J$5:$J$220,$F$5:$F$220,F234,$N$5:$N$220,"&gt;0"),"NA")</f>
        <v>2.9821449128122102</v>
      </c>
      <c r="O234" s="254" cm="1">
        <f t="array" ref="O234">IFERROR(SUMPRODUCT(--($F$5:$F$220=F234),$J$5:$J$220,$O$5:$O$220)/SUMIFS($J$5:$J$220,$F$5:$F$220,F234),"")</f>
        <v>3.7831874551070253</v>
      </c>
      <c r="P234" s="255" cm="1">
        <f t="array" ref="P234">IFERROR(SUMPRODUCT(--($F$5:$F$220=F234),$J$5:$J$220,$P$5:$P$220)/SUMIFS($J$5:$J$220,$F$5:$F$220,F234,$P$5:$P$220,"&gt;0"),"")</f>
        <v>4.1919750683226304</v>
      </c>
      <c r="Q234" s="254" cm="1">
        <f t="array" ref="Q234">IFERROR(SUMPRODUCT(--($F$5:$F$220=F234),$J$5:$J$220,$Q$5:$Q$220)/SUMIFS($J$5:$J$220,$F$5:$F$220,F234),"")</f>
        <v>4.2553624658813387</v>
      </c>
      <c r="R234" s="254" cm="1">
        <f t="array" ref="R234">SUMPRODUCT(--($F$5:$F$220=F234),--($I$5:$I$220&gt;12),$R$5:$R$220,$J$5:$J$220)/SUMIFS($J$5:$J$220,$I$5:$I$220,"&gt;12",$F$5:$F$220,F234)</f>
        <v>3.371628986496193</v>
      </c>
      <c r="S234" s="254" cm="1">
        <f t="array" ref="S234">SUMPRODUCT(--($F$5:$F$220=F234),--($I$5:$I$220&gt;12),$S$5:$S$220,$J$5:$J$220)/SUMIFS($J$5:$J$220,$I$5:$I$220,"&gt;12",$F$5:$F$220,F234)</f>
        <v>2.6397608102284154</v>
      </c>
      <c r="T234" s="254" cm="1">
        <f t="array" ref="T234">SUMPRODUCT(--($F$5:$F$220=F234),$T$5:$T$220,$J$5:$J$220)/SUMIFS($J$5:$J$220,$F$5:$F$220,F234)</f>
        <v>7.839441305787811</v>
      </c>
      <c r="U234" s="254" cm="1">
        <f t="array" ref="U234">SUMPRODUCT(--($F$5:$F$220=F234),$U$5:$U$220,$J$5:$J$220)/SUMIFS($J$5:$J$220,$F$5:$F$220,F234)</f>
        <v>11.658107886797874</v>
      </c>
      <c r="V234" s="254" cm="1">
        <f t="array" ref="V234">SUMPRODUCT(--($F$5:$F$220=F234),--($AR$5:$AR$220=$B$330),$V$5:$V$220,$J$5:$J$220)/SUMIFS($J$5:$J$220,$F$5:$F$220,F234,$AR$5:$AR$220,$B$330)</f>
        <v>3.0778665675524994</v>
      </c>
      <c r="W234" s="254" cm="1">
        <f t="array" ref="W234">SUMPRODUCT(--($F$5:$F$220=F234),--($AR$5:$AR$220=$B$330),$W$5:$W$220,$J$5:$J$220)/SUMIFS($J$5:$J$220,$F$5:$F$220,F234,$AR$5:$AR$220,$B$330)</f>
        <v>5.757883543236173</v>
      </c>
      <c r="X234" s="256" cm="1">
        <f t="array" ref="X234">IFERROR((IFERROR(SUMPRODUCT(--($F$5:$F$220=F234),--($N$5:$N$220&gt;0),$J$5:$J$220,$Q$5:$Q$220)/SUMIFS($J$5:$J$220,$F$5:$F$220,F234,$N$5:$N$220,"&gt;0"),""))/N234-1,"NA")</f>
        <v>0.41902670876966419</v>
      </c>
      <c r="Y234" s="256"/>
      <c r="Z234" s="257">
        <f t="shared" si="184"/>
        <v>0.12480877999764761</v>
      </c>
      <c r="AD234" s="258">
        <f t="shared" si="185"/>
        <v>9075206.9000000004</v>
      </c>
      <c r="AG234" s="254" cm="1">
        <f t="array" ref="AG234">IFERROR(SUMPRODUCT(--($F$5:$F$220=F234),$J$5:$J$220,$AG$5:$AG$220)/SUMIFS($J$5:$J$220,$F$5:$F$220,F234),"")</f>
        <v>1.9599965478464658</v>
      </c>
      <c r="AH234" s="254" cm="1">
        <f t="array" ref="AH234">IFERROR(SUMPRODUCT(--($F$5:$F$220=F234),$J$5:$J$220,$AH$5:$AH$220)/SUMIFS($J$5:$J$220,$F$5:$F$220,F234),"")</f>
        <v>1.9060609852704522</v>
      </c>
    </row>
    <row r="235" spans="1:47">
      <c r="B235" s="251"/>
      <c r="C235" s="251"/>
      <c r="D235" s="251"/>
      <c r="E235" s="251"/>
      <c r="F235" s="251" t="s">
        <v>474</v>
      </c>
      <c r="H235" s="184">
        <f t="shared" si="182"/>
        <v>3</v>
      </c>
      <c r="I235" s="254" cm="1">
        <f t="array" ref="I235">IFERROR(SUMPRODUCT(--($F$5:$F$220=F235),$J$5:$J$220,$I$5:$I$220)/SUMIFS($J$5:$J$220,$F$5:$F$220,F235),"")/12</f>
        <v>9.1632556658896505</v>
      </c>
      <c r="J235" s="253">
        <f t="shared" si="183"/>
        <v>97381</v>
      </c>
      <c r="K235" s="253"/>
      <c r="L235" s="253"/>
      <c r="M235" s="253"/>
      <c r="N235" s="254" cm="1">
        <f t="array" ref="N235">IFERROR(SUMPRODUCT(--($F$5:$F$220=F235),$J$5:$J$220,$N$5:$N$220)/SUMIFS($J$5:$J$220,$F$5:$F$220,F235,$N$5:$N$220,"&gt;0"),"NA")</f>
        <v>8.5</v>
      </c>
      <c r="O235" s="254" cm="1">
        <f t="array" ref="O235">IFERROR(SUMPRODUCT(--($F$5:$F$220=F235),$J$5:$J$220,$O$5:$O$220)/SUMIFS($J$5:$J$220,$F$5:$F$220,F235),"")</f>
        <v>11.889715858329653</v>
      </c>
      <c r="P235" s="255" cm="1">
        <f t="array" ref="P235">IFERROR(SUMPRODUCT(--($F$5:$F$220=F235),$J$5:$J$220,$P$5:$P$220)/SUMIFS($J$5:$J$220,$F$5:$F$220,F235,$P$5:$P$220,"&gt;0"),"")</f>
        <v>12.84</v>
      </c>
      <c r="Q235" s="254" cm="1">
        <f t="array" ref="Q235">IFERROR(SUMPRODUCT(--($F$5:$F$220=F235),$J$5:$J$220,$Q$5:$Q$220)/SUMIFS($J$5:$J$220,$F$5:$F$220,F235),"")</f>
        <v>12.865647816309135</v>
      </c>
      <c r="R235" s="254" cm="1">
        <f t="array" ref="R235">SUMPRODUCT(--($F$5:$F$220=F235),--($I$5:$I$220&gt;12),$R$5:$R$220,$J$5:$J$220)/SUMIFS($J$5:$J$220,$I$5:$I$220,"&gt;12",$F$5:$F$220,F235)</f>
        <v>3.835275875170721</v>
      </c>
      <c r="S235" s="254" cm="1">
        <f t="array" ref="S235">SUMPRODUCT(--($F$5:$F$220=F235),--($I$5:$I$220&gt;12),$S$5:$S$220,$J$5:$J$220)/SUMIFS($J$5:$J$220,$I$5:$I$220,"&gt;12",$F$5:$F$220,F235)</f>
        <v>3.7399184645875478</v>
      </c>
      <c r="T235" s="254" cm="1">
        <f t="array" ref="T235">SUMPRODUCT(--($F$5:$F$220=F235),$T$5:$T$220,$J$5:$J$220)/SUMIFS($J$5:$J$220,$F$5:$F$220,F235)</f>
        <v>7.3046099586643454</v>
      </c>
      <c r="U235" s="254" cm="1">
        <f t="array" ref="U235">SUMPRODUCT(--($F$5:$F$220=F235),$U$5:$U$220,$J$5:$J$220)/SUMIFS($J$5:$J$220,$F$5:$F$220,F235)</f>
        <v>10.959156817038231</v>
      </c>
      <c r="V235" s="254" cm="1">
        <f t="array" ref="V235">SUMPRODUCT(--($F$5:$F$220=F235),--($AR$5:$AR$220=$B$330),$V$5:$V$220,$J$5:$J$220)/SUMIFS($J$5:$J$220,$F$5:$F$220,F235,$AR$5:$AR$220,$B$330)</f>
        <v>7.4524939628611877</v>
      </c>
      <c r="W235" s="254" cm="1">
        <f t="array" ref="W235">SUMPRODUCT(--($F$5:$F$220=F235),--($AR$5:$AR$220=$B$330),$W$5:$W$220,$J$5:$J$220)/SUMIFS($J$5:$J$220,$F$5:$F$220,F235,$AR$5:$AR$220,$B$330)</f>
        <v>7.6642518111416438</v>
      </c>
      <c r="X235" s="256" cm="1">
        <f t="array" ref="X235">IFERROR((IFERROR(SUMPRODUCT(--($F$5:$F$220=F235),--($N$5:$N$220&gt;0),$J$5:$J$220,$Q$5:$Q$220)/SUMIFS($J$5:$J$220,$F$5:$F$220,F235,$N$5:$N$220,"&gt;0"),""))/N235-1,"NA")</f>
        <v>0.17058823529411749</v>
      </c>
      <c r="Y235" s="256"/>
      <c r="Z235" s="257">
        <f t="shared" si="184"/>
        <v>8.2082025307254725E-2</v>
      </c>
      <c r="AD235" s="258">
        <f t="shared" si="185"/>
        <v>14882085.550000001</v>
      </c>
      <c r="AG235" s="254" cm="1">
        <f t="array" ref="AG235">IFERROR(SUMPRODUCT(--($F$5:$F$220=F235),$J$5:$J$220,$AG$5:$AG$220)/SUMIFS($J$5:$J$220,$F$5:$F$220,F235),"")</f>
        <v>9.0664249586764214</v>
      </c>
      <c r="AH235" s="254" cm="1">
        <f t="array" ref="AH235">IFERROR(SUMPRODUCT(--($F$5:$F$220=F235),$J$5:$J$220,$AH$5:$AH$220)/SUMIFS($J$5:$J$220,$F$5:$F$220,F235),"")</f>
        <v>7.5754152272715158</v>
      </c>
    </row>
    <row r="236" spans="1:47">
      <c r="B236" s="251"/>
      <c r="C236" s="251"/>
      <c r="D236" s="251"/>
      <c r="E236" s="251"/>
      <c r="F236" s="251" t="s">
        <v>173</v>
      </c>
      <c r="H236" s="184">
        <f t="shared" si="182"/>
        <v>25</v>
      </c>
      <c r="I236" s="254" cm="1">
        <f t="array" ref="I236">IFERROR(SUMPRODUCT(--($F$5:$F$220=F236),$J$5:$J$220,$I$5:$I$220)/SUMIFS($J$5:$J$220,$F$5:$F$220,F236),"")/12</f>
        <v>5.1692802242793237</v>
      </c>
      <c r="J236" s="253">
        <f t="shared" si="183"/>
        <v>699366</v>
      </c>
      <c r="K236" s="253"/>
      <c r="L236" s="253"/>
      <c r="M236" s="253"/>
      <c r="N236" s="254" cm="1">
        <f t="array" ref="N236">IFERROR(SUMPRODUCT(--($F$5:$F$220=F236),$J$5:$J$220,$N$5:$N$220)/SUMIFS($J$5:$J$220,$F$5:$F$220,F236,$N$5:$N$220,"&gt;0"),"NA")</f>
        <v>10.309521233080751</v>
      </c>
      <c r="O236" s="254" cm="1">
        <f t="array" ref="O236">IFERROR(SUMPRODUCT(--($F$5:$F$220=F236),$J$5:$J$220,$O$5:$O$220)/SUMIFS($J$5:$J$220,$F$5:$F$220,F236),"")</f>
        <v>14.253980691083063</v>
      </c>
      <c r="P236" s="255" cm="1">
        <f t="array" ref="P236">IFERROR(SUMPRODUCT(--($F$5:$F$220=F236),$J$5:$J$220,$P$5:$P$220)/SUMIFS($J$5:$J$220,$F$5:$F$220,F236,$P$5:$P$220,"&gt;0"),"")</f>
        <v>14.297675595368437</v>
      </c>
      <c r="Q236" s="254" cm="1">
        <f t="array" ref="Q236">IFERROR(SUMPRODUCT(--($F$5:$F$220=F236),$J$5:$J$220,$Q$5:$Q$220)/SUMIFS($J$5:$J$220,$F$5:$F$220,F236),"")</f>
        <v>15.115571574826342</v>
      </c>
      <c r="R236" s="254" cm="1">
        <f t="array" ref="R236">SUMPRODUCT(--($F$5:$F$220=F236),--($I$5:$I$220&gt;12),$R$5:$R$220,$J$5:$J$220)/SUMIFS($J$5:$J$220,$I$5:$I$220,"&gt;12",$F$5:$F$220,F236)</f>
        <v>3.4576570064887342</v>
      </c>
      <c r="S236" s="254" cm="1">
        <f t="array" ref="S236">SUMPRODUCT(--($F$5:$F$220=F236),--($I$5:$I$220&gt;12),$S$5:$S$220,$J$5:$J$220)/SUMIFS($J$5:$J$220,$I$5:$I$220,"&gt;12",$F$5:$F$220,F236)</f>
        <v>2.845631743607782</v>
      </c>
      <c r="T236" s="254" cm="1">
        <f t="array" ref="T236">SUMPRODUCT(--($F$5:$F$220=F236),$T$5:$T$220,$J$5:$J$220)/SUMIFS($J$5:$J$220,$F$5:$F$220,F236)</f>
        <v>9.1801905496081595</v>
      </c>
      <c r="U236" s="254" cm="1">
        <f t="array" ref="U236">SUMPRODUCT(--($F$5:$F$220=F236),$U$5:$U$220,$J$5:$J$220)/SUMIFS($J$5:$J$220,$F$5:$F$220,F236)</f>
        <v>6.294485661298947</v>
      </c>
      <c r="V236" s="254" cm="1">
        <f t="array" ref="V236">SUMPRODUCT(--($F$5:$F$220=F236),--($AR$5:$AR$220=$B$330),$V$5:$V$220,$J$5:$J$220)/SUMIFS($J$5:$J$220,$F$5:$F$220,F236,$AR$5:$AR$220,$B$330)</f>
        <v>4.6990859203388631</v>
      </c>
      <c r="W236" s="254" cm="1">
        <f t="array" ref="W236">SUMPRODUCT(--($F$5:$F$220=F236),--($AR$5:$AR$220=$B$330),$W$5:$W$220,$J$5:$J$220)/SUMIFS($J$5:$J$220,$F$5:$F$220,F236,$AR$5:$AR$220,$B$330)</f>
        <v>5.1155847826600427</v>
      </c>
      <c r="X236" s="256" cm="1">
        <f t="array" ref="X236">IFERROR((IFERROR(SUMPRODUCT(--($F$5:$F$220=F236),--($N$5:$N$220&gt;0),$J$5:$J$220,$Q$5:$Q$220)/SUMIFS($J$5:$J$220,$F$5:$F$220,F236,$N$5:$N$220,"&gt;0"),""))/N236-1,"NA")</f>
        <v>0.47171806618699752</v>
      </c>
      <c r="Y236" s="256"/>
      <c r="Z236" s="257">
        <f t="shared" si="184"/>
        <v>6.0445632866773069E-2</v>
      </c>
      <c r="AD236" s="258">
        <f t="shared" si="185"/>
        <v>57077677.430000007</v>
      </c>
      <c r="AG236" s="254" cm="1">
        <f t="array" ref="AG236">IFERROR(SUMPRODUCT(--($F$5:$F$220=F236),$J$5:$J$220,$AG$5:$AG$220)/SUMIFS($J$5:$J$220,$F$5:$F$220,F236),"")</f>
        <v>5.0513527157174369</v>
      </c>
      <c r="AH236" s="254" cm="1">
        <f t="array" ref="AH236">IFERROR(SUMPRODUCT(--($F$5:$F$220=F236),$J$5:$J$220,$AH$5:$AH$220)/SUMIFS($J$5:$J$220,$F$5:$F$220,F236),"")</f>
        <v>4.5569942072707521</v>
      </c>
    </row>
    <row r="237" spans="1:47">
      <c r="A237" s="259"/>
      <c r="B237" s="251"/>
      <c r="C237" s="251"/>
      <c r="D237" s="251"/>
      <c r="E237" s="251"/>
      <c r="F237" s="251" t="s">
        <v>274</v>
      </c>
      <c r="H237" s="184">
        <f t="shared" si="182"/>
        <v>6</v>
      </c>
      <c r="I237" s="254" cm="1">
        <f t="array" ref="I237">IFERROR(SUMPRODUCT(--($F$5:$F$220=F237),$J$5:$J$220,$I$5:$I$220)/SUMIFS($J$5:$J$220,$F$5:$F$220,F237),"")/12</f>
        <v>5.2247151636366747</v>
      </c>
      <c r="J237" s="253">
        <f t="shared" si="183"/>
        <v>155996</v>
      </c>
      <c r="K237" s="253"/>
      <c r="L237" s="253"/>
      <c r="M237" s="253"/>
      <c r="N237" s="254" cm="1">
        <f t="array" ref="N237">IFERROR(SUMPRODUCT(--($F$5:$F$220=F237),$J$5:$J$220,$N$5:$N$220)/SUMIFS($J$5:$J$220,$F$5:$F$220,F237,$N$5:$N$220,"&gt;0"),"NA")</f>
        <v>5.7897951229518698</v>
      </c>
      <c r="O237" s="254" cm="1">
        <f t="array" ref="O237">IFERROR(SUMPRODUCT(--($F$5:$F$220=F237),$J$5:$J$220,$O$5:$O$220)/SUMIFS($J$5:$J$220,$F$5:$F$220,F237),"")</f>
        <v>6.5333730352060311</v>
      </c>
      <c r="P237" s="255" cm="1">
        <f t="array" ref="P237">IFERROR(SUMPRODUCT(--($F$5:$F$220=F237),$J$5:$J$220,$P$5:$P$220)/SUMIFS($J$5:$J$220,$F$5:$F$220,F237,$P$5:$P$220,"&gt;0"),"")</f>
        <v>7.9749439789224947</v>
      </c>
      <c r="Q237" s="254" cm="1">
        <f t="array" ref="Q237">IFERROR(SUMPRODUCT(--($F$5:$F$220=F237),$J$5:$J$220,$Q$5:$Q$220)/SUMIFS($J$5:$J$220,$F$5:$F$220,F237),"")</f>
        <v>8.4589380496935824</v>
      </c>
      <c r="R237" s="254" cm="1">
        <f t="array" ref="R237">SUMPRODUCT(--($F$5:$F$220=F237),--($I$5:$I$220&gt;12),$R$5:$R$220,$J$5:$J$220)/SUMIFS($J$5:$J$220,$I$5:$I$220,"&gt;12",$F$5:$F$220,F237)</f>
        <v>3.7831354650119233</v>
      </c>
      <c r="S237" s="254" cm="1">
        <f t="array" ref="S237">SUMPRODUCT(--($F$5:$F$220=F237),--($I$5:$I$220&gt;12),$S$5:$S$220,$J$5:$J$220)/SUMIFS($J$5:$J$220,$I$5:$I$220,"&gt;12",$F$5:$F$220,F237)</f>
        <v>2.9720185132952128</v>
      </c>
      <c r="T237" s="254" cm="1">
        <f t="array" ref="T237">SUMPRODUCT(--($F$5:$F$220=F237),$T$5:$T$220,$J$5:$J$220)/SUMIFS($J$5:$J$220,$F$5:$F$220,F237)</f>
        <v>8.5151077663026076</v>
      </c>
      <c r="U237" s="254" cm="1">
        <f t="array" ref="U237">SUMPRODUCT(--($F$5:$F$220=F237),$U$5:$U$220,$J$5:$J$220)/SUMIFS($J$5:$J$220,$F$5:$F$220,F237)</f>
        <v>11.321696069129978</v>
      </c>
      <c r="V237" s="254" cm="1">
        <f t="array" ref="V237">SUMPRODUCT(--($F$5:$F$220=F237),--($AR$5:$AR$220=$B$330),$V$5:$V$220,$J$5:$J$220)/SUMIFS($J$5:$J$220,$F$5:$F$220,F237,$AR$5:$AR$220,$B$330)</f>
        <v>2.7967673972516587</v>
      </c>
      <c r="W237" s="254" cm="1">
        <f t="array" ref="W237">SUMPRODUCT(--($F$5:$F$220=F237),--($AR$5:$AR$220=$B$330),$W$5:$W$220,$J$5:$J$220)/SUMIFS($J$5:$J$220,$F$5:$F$220,F237,$AR$5:$AR$220,$B$330)</f>
        <v>7.8169739945284737</v>
      </c>
      <c r="X237" s="256" cm="1">
        <f t="array" ref="X237">IFERROR((IFERROR(SUMPRODUCT(--($F$5:$F$220=F237),--($N$5:$N$220&gt;0),$J$5:$J$220,$Q$5:$Q$220)/SUMIFS($J$5:$J$220,$F$5:$F$220,F237,$N$5:$N$220,"&gt;0"),""))/N237-1,"NA")</f>
        <v>0.46100818251076148</v>
      </c>
      <c r="Y237" s="256"/>
      <c r="Z237" s="257">
        <f t="shared" si="184"/>
        <v>0.29472754794672884</v>
      </c>
      <c r="AD237" s="258">
        <f t="shared" si="185"/>
        <v>8151213.9699999997</v>
      </c>
      <c r="AG237" s="254" cm="1">
        <f t="array" ref="AG237">IFERROR(SUMPRODUCT(--($F$5:$F$220=F237),$J$5:$J$220,$AG$5:$AG$220)/SUMIFS($J$5:$J$220,$F$5:$F$220,F237),"")</f>
        <v>3.8452704580553041</v>
      </c>
      <c r="AH237" s="254" cm="1">
        <f t="array" ref="AH237">IFERROR(SUMPRODUCT(--($F$5:$F$220=F237),$J$5:$J$220,$AH$5:$AH$220)/SUMIFS($J$5:$J$220,$F$5:$F$220,F237),"")</f>
        <v>3.1032299718565488</v>
      </c>
    </row>
    <row r="238" spans="1:47">
      <c r="B238" s="251"/>
      <c r="C238" s="251"/>
      <c r="D238" s="251"/>
      <c r="E238" s="251"/>
      <c r="F238" s="251" t="s">
        <v>177</v>
      </c>
      <c r="H238" s="184">
        <f t="shared" si="182"/>
        <v>5</v>
      </c>
      <c r="I238" s="254" cm="1">
        <f t="array" ref="I238">IFERROR(SUMPRODUCT(--($F$5:$F$220=F238),$J$5:$J$220,$I$5:$I$220)/SUMIFS($J$5:$J$220,$F$5:$F$220,F238),"")/12</f>
        <v>3.2860332855465688</v>
      </c>
      <c r="J238" s="253">
        <f t="shared" si="183"/>
        <v>113002</v>
      </c>
      <c r="K238" s="253"/>
      <c r="L238" s="253"/>
      <c r="M238" s="253"/>
      <c r="N238" s="254" cm="1">
        <f t="array" ref="N238">IFERROR(SUMPRODUCT(--($F$5:$F$220=F238),$J$5:$J$220,$N$5:$N$220)/SUMIFS($J$5:$J$220,$F$5:$F$220,F238,$N$5:$N$220,"&gt;0"),"NA")</f>
        <v>8.5337814043788338</v>
      </c>
      <c r="O238" s="254" cm="1">
        <f t="array" ref="O238">IFERROR(SUMPRODUCT(--($F$5:$F$220=F238),$J$5:$J$220,$O$5:$O$220)/SUMIFS($J$5:$J$220,$F$5:$F$220,F238),"")</f>
        <v>7.8208270650077001</v>
      </c>
      <c r="P238" s="255" cm="1">
        <f t="array" ref="P238">IFERROR(SUMPRODUCT(--($F$5:$F$220=F238),$J$5:$J$220,$P$5:$P$220)/SUMIFS($J$5:$J$220,$F$5:$F$220,F238,$P$5:$P$220,"&gt;0"),"")</f>
        <v>9.3466386821564704</v>
      </c>
      <c r="Q238" s="254" cm="1">
        <f t="array" ref="Q238">IFERROR(SUMPRODUCT(--($F$5:$F$220=F238),$J$5:$J$220,$Q$5:$Q$220)/SUMIFS($J$5:$J$220,$F$5:$F$220,F238),"")</f>
        <v>9.4763411267057212</v>
      </c>
      <c r="R238" s="254" cm="1">
        <f t="array" ref="R238">SUMPRODUCT(--($F$5:$F$220=F238),--($I$5:$I$220&gt;12),$R$5:$R$220,$J$5:$J$220)/SUMIFS($J$5:$J$220,$I$5:$I$220,"&gt;12",$F$5:$F$220,F238)</f>
        <v>3.0574326118121804</v>
      </c>
      <c r="S238" s="254" cm="1">
        <f t="array" ref="S238">SUMPRODUCT(--($F$5:$F$220=F238),--($I$5:$I$220&gt;12),$S$5:$S$220,$J$5:$J$220)/SUMIFS($J$5:$J$220,$I$5:$I$220,"&gt;12",$F$5:$F$220,F238)</f>
        <v>2.1189005504327358</v>
      </c>
      <c r="T238" s="254" cm="1">
        <f t="array" ref="T238">SUMPRODUCT(--($F$5:$F$220=F238),$T$5:$T$220,$J$5:$J$220)/SUMIFS($J$5:$J$220,$F$5:$F$220,F238)</f>
        <v>2.2398187054402965</v>
      </c>
      <c r="U238" s="254" cm="1">
        <f t="array" ref="U238">SUMPRODUCT(--($F$5:$F$220=F238),$U$5:$U$220,$J$5:$J$220)/SUMIFS($J$5:$J$220,$F$5:$F$220,F238)</f>
        <v>1.5650229199483194</v>
      </c>
      <c r="V238" s="254" cm="1">
        <f t="array" ref="V238">SUMPRODUCT(--($F$5:$F$220=F238),--($AR$5:$AR$220=$B$330),$V$5:$V$220,$J$5:$J$220)/SUMIFS($J$5:$J$220,$F$5:$F$220,F238,$AR$5:$AR$220,$B$330)</f>
        <v>2.3805366957646297</v>
      </c>
      <c r="W238" s="254" cm="1">
        <f t="array" ref="W238">SUMPRODUCT(--($F$5:$F$220=F238),--($AR$5:$AR$220=$B$330),$W$5:$W$220,$J$5:$J$220)/SUMIFS($J$5:$J$220,$F$5:$F$220,F238,$AR$5:$AR$220,$B$330)</f>
        <v>3.2476931781441967</v>
      </c>
      <c r="X238" s="256" cm="1">
        <f t="array" ref="X238">IFERROR((IFERROR(SUMPRODUCT(--($F$5:$F$220=F238),--($N$5:$N$220&gt;0),$J$5:$J$220,$Q$5:$Q$220)/SUMIFS($J$5:$J$220,$F$5:$F$220,F238,$N$5:$N$220,"&gt;0"),""))/N238-1,"NA")</f>
        <v>9.5586128718020857E-2</v>
      </c>
      <c r="Y238" s="256"/>
      <c r="Z238" s="257">
        <f t="shared" si="184"/>
        <v>0.21168017754863766</v>
      </c>
      <c r="AD238" s="258">
        <f t="shared" si="185"/>
        <v>3773126.38</v>
      </c>
      <c r="AG238" s="254" cm="1">
        <f t="array" ref="AG238">IFERROR(SUMPRODUCT(--($F$5:$F$220=F238),$J$5:$J$220,$AG$5:$AG$220)/SUMIFS($J$5:$J$220,$F$5:$F$220,F238),"")</f>
        <v>1.9092396659661393</v>
      </c>
      <c r="AH238" s="254" cm="1">
        <f t="array" ref="AH238">IFERROR(SUMPRODUCT(--($F$5:$F$220=F238),$J$5:$J$220,$AH$5:$AH$220)/SUMIFS($J$5:$J$220,$F$5:$F$220,F238),"")</f>
        <v>1.8474984694165024</v>
      </c>
    </row>
    <row r="239" spans="1:47" ht="14.45" thickBot="1">
      <c r="B239" s="260"/>
      <c r="C239" s="260"/>
      <c r="D239" s="260"/>
      <c r="E239" s="260"/>
      <c r="F239" s="261" t="s">
        <v>27</v>
      </c>
      <c r="G239" s="262"/>
      <c r="H239" s="262">
        <f>SUM(H224:H238)</f>
        <v>216</v>
      </c>
      <c r="I239" s="263">
        <f>IFERROR(SUMPRODUCT($J$5:$J$220,$I$5:$I$220)/SUM($J$5:$J$220),"")/12</f>
        <v>4.9976235942239606</v>
      </c>
      <c r="J239" s="264">
        <f>SUM(J224:J238)</f>
        <v>6154252</v>
      </c>
      <c r="K239" s="264"/>
      <c r="L239" s="264"/>
      <c r="M239" s="264"/>
      <c r="N239" s="263">
        <f>IFERROR(SUMPRODUCT($J$5:$J$220,$N$5:$N$220)/SUMIFS($J$5:$J$220,$N$5:$N$220,"&gt;0"),"")</f>
        <v>5.821168376124767</v>
      </c>
      <c r="O239" s="263">
        <f>IFERROR(SUMPRODUCT($J$5:$J$220,$O$5:$O$220)/SUM($J$5:$J$220),"")</f>
        <v>7.0706237364020801</v>
      </c>
      <c r="P239" s="265">
        <f>IFERROR(SUMPRODUCT($J$5:$J$220,$P$5:$P$220)/SUMIFS($J$5:$J$220,$P$5:$P$220,"&gt;0"),"")</f>
        <v>8.0118438920358805</v>
      </c>
      <c r="Q239" s="263">
        <f>IFERROR(SUMPRODUCT($J$5:$J$220,$Q$5:$Q$220)/SUM($J$5:$J$220),"")</f>
        <v>7.9379219292612655</v>
      </c>
      <c r="R239" s="263" cm="1">
        <f t="array" ref="R239">SUMPRODUCT(--($I$5:$I$220&gt;12),$R$5:$R$220,$J$5:$J$220)/SUMIF($I$5:$I$220,"&gt;12",$J$5:$J$220)</f>
        <v>3.5521791389107888</v>
      </c>
      <c r="S239" s="263" cm="1">
        <f t="array" ref="S239">SUMPRODUCT(--($I$5:$I$220&gt;12),$S$5:$S$220,$J$5:$J$220)/SUMIF($I$5:$I$220,"&gt;12",$J$5:$J$220)</f>
        <v>2.9218664656565898</v>
      </c>
      <c r="T239" s="263">
        <f>SUMPRODUCT($T$5:$T$220,$J$5:$J$220)/SUM($J$5:$J$220)</f>
        <v>8.6441339198040339</v>
      </c>
      <c r="U239" s="263">
        <f>SUMPRODUCT($U$5:$U$220,$J$5:$J$220)/SUM($J$5:$J$220)</f>
        <v>11.948803085574012</v>
      </c>
      <c r="V239" s="263" cm="1">
        <f t="array" ref="V239">SUMPRODUCT(--($AR$5:$AR$220=$B$330),$V$5:$V$220,$J$5:$J$220)/SUMIF($AR$5:$AR$220,$B$330,$J$5:$J$220)</f>
        <v>4.1293329222965376</v>
      </c>
      <c r="W239" s="263" cm="1">
        <f t="array" ref="W239">SUMPRODUCT(--($AR$5:$AR$220=$B$330),$W$5:$W$220,$J$5:$J$220)/SUMIF($AR$5:$AR$220,$B$330,$J$5:$J$220)</f>
        <v>6.1327876190499078</v>
      </c>
      <c r="X239" s="266" cm="1">
        <f t="array" ref="X239">(IFERROR(SUMPRODUCT(--($N$5:$N$220&gt;0),$J$5:$J$220,$Q$5:$Q$220)/SUMIFS($J$5:$J$220,$N$5:$N$220,"&gt;0"),""))/N239-1</f>
        <v>0.34837248332454496</v>
      </c>
      <c r="Y239" s="266"/>
      <c r="Z239" s="267">
        <f t="shared" si="184"/>
        <v>0.1226621900970386</v>
      </c>
      <c r="AD239" s="268">
        <f>SUM(AD224:AD238)</f>
        <v>274530278.00000006</v>
      </c>
      <c r="AG239" s="269">
        <f>IFERROR(SUMPRODUCT($J$5:$J$220,$AG$5:$AG$220)/SUM($J$5:$J$220),"")</f>
        <v>3.9908030470421911</v>
      </c>
      <c r="AH239" s="269">
        <f>IFERROR(SUMPRODUCT($J$5:$J$220,$AH$5:$AH$220)/SUM($J$5:$J$220),"")</f>
        <v>3.4828638315500502</v>
      </c>
    </row>
    <row r="240" spans="1:47">
      <c r="B240" s="270"/>
      <c r="C240" s="270"/>
      <c r="D240" s="270"/>
      <c r="E240" s="270"/>
      <c r="F240" s="271"/>
      <c r="G240" s="271"/>
      <c r="H240" s="271"/>
      <c r="I240" s="269"/>
      <c r="J240" s="272"/>
      <c r="K240" s="272"/>
      <c r="L240" s="272"/>
      <c r="M240" s="272"/>
      <c r="N240" s="269"/>
      <c r="O240" s="269"/>
      <c r="P240" s="273"/>
      <c r="Q240" s="269"/>
      <c r="R240" s="269"/>
      <c r="S240" s="269"/>
      <c r="T240" s="269"/>
      <c r="U240" s="269"/>
      <c r="V240" s="269"/>
      <c r="W240" s="269"/>
      <c r="X240" s="274"/>
      <c r="Y240" s="274"/>
      <c r="Z240" s="275"/>
      <c r="AD240" s="268"/>
      <c r="AG240" s="269"/>
      <c r="AH240" s="269"/>
    </row>
    <row r="241" spans="1:47" ht="14.45" outlineLevel="2" thickBot="1">
      <c r="N241" s="222"/>
      <c r="O241" s="215"/>
      <c r="P241" s="222"/>
      <c r="Q241" s="222"/>
      <c r="T241" s="222"/>
      <c r="U241" s="222"/>
    </row>
    <row r="242" spans="1:47" s="246" customFormat="1" outlineLevel="2">
      <c r="A242" s="239"/>
      <c r="B242" s="240" t="s">
        <v>729</v>
      </c>
      <c r="C242" s="240"/>
      <c r="D242" s="240"/>
      <c r="E242" s="240"/>
      <c r="F242" s="240" t="s">
        <v>66</v>
      </c>
      <c r="G242" s="364"/>
      <c r="H242" s="241" t="s">
        <v>730</v>
      </c>
      <c r="I242" s="242" t="s">
        <v>731</v>
      </c>
      <c r="J242" s="243" t="s">
        <v>732</v>
      </c>
      <c r="K242" s="243"/>
      <c r="L242" s="243"/>
      <c r="M242" s="243"/>
      <c r="N242" s="243" t="s">
        <v>94</v>
      </c>
      <c r="O242" s="243" t="s">
        <v>95</v>
      </c>
      <c r="P242" s="244" t="s">
        <v>58</v>
      </c>
      <c r="Q242" s="243" t="s">
        <v>733</v>
      </c>
      <c r="R242" s="243" t="s">
        <v>734</v>
      </c>
      <c r="S242" s="243" t="s">
        <v>735</v>
      </c>
      <c r="T242" s="243" t="s">
        <v>736</v>
      </c>
      <c r="U242" s="243" t="s">
        <v>737</v>
      </c>
      <c r="V242" s="243" t="s">
        <v>64</v>
      </c>
      <c r="W242" s="243" t="s">
        <v>738</v>
      </c>
      <c r="X242" s="243" t="s">
        <v>739</v>
      </c>
      <c r="Y242" s="243"/>
      <c r="Z242" s="245" t="s">
        <v>740</v>
      </c>
      <c r="AD242" s="247" t="s">
        <v>108</v>
      </c>
      <c r="AG242" s="248" t="s">
        <v>741</v>
      </c>
      <c r="AH242" s="248" t="s">
        <v>742</v>
      </c>
      <c r="AS242" s="249"/>
      <c r="AT242" s="249"/>
      <c r="AU242" s="250"/>
    </row>
    <row r="243" spans="1:47" outlineLevel="2">
      <c r="A243" s="239"/>
      <c r="B243" s="251" t="s">
        <v>743</v>
      </c>
      <c r="C243" s="251"/>
      <c r="D243" s="251"/>
      <c r="E243" s="251"/>
      <c r="F243" s="251" t="s">
        <v>11</v>
      </c>
      <c r="H243" s="184">
        <f t="shared" ref="H243:H257" si="186">COUNTIF($AS$5:$AS$220,F243)</f>
        <v>2</v>
      </c>
      <c r="I243" s="276" cm="1">
        <f t="array" ref="I243">IFERROR(SUMPRODUCT(--($AS$5:$AS$220=F243),$J$5:$J$220,$I$5:$I$220)/SUMIFS($J$5:$J$220,$AS$5:$AS$220,F243),"")/12</f>
        <v>3.6933317108529189</v>
      </c>
      <c r="J243" s="253">
        <f t="shared" ref="J243:J257" si="187">SUMIF($AS$5:$AS$220,F243,$J$5:$J$220)</f>
        <v>158194</v>
      </c>
      <c r="K243" s="253"/>
      <c r="L243" s="253"/>
      <c r="M243" s="253"/>
      <c r="N243" s="254" t="str" cm="1">
        <f t="array" ref="N243">IFERROR(SUMPRODUCT(--($AS$5:$AS$220=F243),$J$5:$J$220,$N$5:$N$220)/SUMIFS($J$5:$J$220,$AS$5:$AS$220,F243,$N$5:$N$220,"&gt;0"),"NA")</f>
        <v>NA</v>
      </c>
      <c r="O243" s="254" cm="1">
        <f t="array" ref="O243">IFERROR(SUMPRODUCT(--($AS$5:$AS$220=F243),$J$5:$J$220,$O$5:$O$220)/SUMIFS($J$5:$J$220,$AS$5:$AS$220,F243),"")</f>
        <v>3.1755550147287508</v>
      </c>
      <c r="P243" s="255" t="str" cm="1">
        <f t="array" ref="P243">IFERROR(SUMPRODUCT(--($AS$5:$AS$220=F243),$J$5:$J$220,$P$5:$P$220)/SUMIFS($J$5:$J$220,$AS$5:$AS$220,F243,$P$5:$P$220,"&gt;0"),"")</f>
        <v/>
      </c>
      <c r="Q243" s="254" cm="1">
        <f t="array" ref="Q243">IFERROR(SUMPRODUCT(--($AS$5:$AS$220=F243),$J$5:$J$220,$Q$5:$Q$220)/SUMIFS($J$5:$J$220,$AS$5:$AS$220,F243),"")</f>
        <v>3.3202220058915</v>
      </c>
      <c r="R243" s="254" cm="1">
        <f t="array" ref="R243">SUMPRODUCT(--($AS$5:$AS$220=F243),--($I$5:$I$220&gt;12),$R$5:$R$220,$J$5:$J$220)/SUMIFS($J$5:$J$220,$I$5:$I$220,"&gt;12",$AS$5:$AS$220,F243)</f>
        <v>3.7639961060470055</v>
      </c>
      <c r="S243" s="254" cm="1">
        <f t="array" ref="S243">SUMPRODUCT(--($AS$5:$AS$220=F243),--($I$5:$I$220&gt;12),$S$5:$S$220,$J$5:$J$220)/SUMIFS($J$5:$J$220,$I$5:$I$220,"&gt;12",$AS$5:$AS$220,F243)</f>
        <v>3.7022200589150032</v>
      </c>
      <c r="T243" s="254" cm="1">
        <f t="array" ref="T243">SUMPRODUCT(--($AS$5:$AS$220=F243),$T$5:$T$220,$J$5:$J$220)/SUMIFS($J$5:$J$220,$AS$5:$AS$220,F243)</f>
        <v>18.078541642298806</v>
      </c>
      <c r="U243" s="254" cm="1">
        <f t="array" ref="U243">SUMPRODUCT(--($AS$5:$AS$220=F243),$U$5:$U$220,$J$5:$J$220)/SUMIFS($J$5:$J$220,$AS$5:$AS$220,F243)</f>
        <v>13.262287823811269</v>
      </c>
      <c r="V243" s="254" cm="1">
        <f t="array" ref="V243">SUMPRODUCT(--($AS$5:$AS$220=F243),--($AR$5:$AR$220=$B$330),$V$5:$V$220,$J$5:$J$220)/SUMIFS($J$5:$J$220,$AS$5:$AS$220,F243,$AR$5:$AR$220,$B$330)</f>
        <v>0</v>
      </c>
      <c r="W243" s="254" cm="1">
        <f t="array" ref="W243">SUMPRODUCT(--($AS$5:$AS$220=F243),--($AR$5:$AR$220=$B$330),$W$5:$W$220,$J$5:$J$220)/SUMIFS($J$5:$J$220,$AS$5:$AS$220,F243,$AR$5:$AR$220,$B$330)</f>
        <v>5.9833398232549904</v>
      </c>
      <c r="X243" s="256" t="str" cm="1">
        <f t="array" ref="X243">IFERROR((IFERROR(SUMPRODUCT(--($AS$5:$AS$220=F243),--($N$5:$N$220&gt;0),$J$5:$J$220,$Q$5:$Q$220)/SUMIFS($J$5:$J$220,$AS$5:$AS$220,F243,$N$5:$N$220,"&gt;0"),""))/N243-1,"NA")</f>
        <v>NA</v>
      </c>
      <c r="Y243" s="256"/>
      <c r="Z243" s="257">
        <f t="shared" ref="Z243:Z258" si="188">IFERROR(Q243/O243-1,"NA")</f>
        <v>4.5556443044368455E-2</v>
      </c>
      <c r="AA243" s="254"/>
      <c r="AB243" s="254"/>
      <c r="AD243" s="258">
        <f t="shared" ref="AD243:AD257" si="189">SUMIF($AS$5:$AS$220,F243,$AD$5:$AD$220)</f>
        <v>747338.21</v>
      </c>
      <c r="AG243" s="254" t="str" cm="1">
        <f t="array" ref="AG243">IFERROR(SUMPRODUCT(--($F$5:$F$220=F243),$J$5:$J$220,$AG$5:$AG$220)/SUMIFS($J$5:$J$220,$F$5:$F$220,F243),"")</f>
        <v/>
      </c>
      <c r="AH243" s="254" t="str" cm="1">
        <f t="array" ref="AH243">IFERROR(SUMPRODUCT(--($F$5:$F$220=F243),$J$5:$J$220,$AH$5:$AH$220)/SUMIFS($J$5:$J$220,$F$5:$F$220,F243),"")</f>
        <v/>
      </c>
      <c r="AS243" s="249"/>
      <c r="AT243" s="249"/>
      <c r="AU243" s="250"/>
    </row>
    <row r="244" spans="1:47" outlineLevel="2">
      <c r="A244" s="239"/>
      <c r="B244" s="251"/>
      <c r="C244" s="251"/>
      <c r="D244" s="251"/>
      <c r="E244" s="251"/>
      <c r="F244" s="251" t="s">
        <v>12</v>
      </c>
      <c r="H244" s="184">
        <f t="shared" si="186"/>
        <v>2</v>
      </c>
      <c r="I244" s="276" cm="1">
        <f t="array" ref="I244">IFERROR(SUMPRODUCT(--($AS$5:$AS$220=F244),$J$5:$J$220,$I$5:$I$220)/SUMIFS($J$5:$J$220,$AS$5:$AS$220,F244),"")/12</f>
        <v>4.8520710059171597</v>
      </c>
      <c r="J244" s="253">
        <f t="shared" si="187"/>
        <v>135200</v>
      </c>
      <c r="K244" s="253"/>
      <c r="L244" s="253"/>
      <c r="M244" s="253"/>
      <c r="N244" s="254" cm="1">
        <f t="array" ref="N244">IFERROR(SUMPRODUCT(--($AS$5:$AS$220=F244),$J$5:$J$220,$N$5:$N$220)/SUMIFS($J$5:$J$220,$AS$5:$AS$220,F244,$N$5:$N$220,"&gt;0"),"NA")</f>
        <v>3.6172189349112425</v>
      </c>
      <c r="O244" s="254" cm="1">
        <f t="array" ref="O244">IFERROR(SUMPRODUCT(--($AS$5:$AS$220=F244),$J$5:$J$220,$O$5:$O$220)/SUMIFS($J$5:$J$220,$AS$5:$AS$220,F244),"")</f>
        <v>3.8923076923076922</v>
      </c>
      <c r="P244" s="255" t="str" cm="1">
        <f t="array" ref="P244">IFERROR(SUMPRODUCT(--($AS$5:$AS$220=F244),$J$5:$J$220,$P$5:$P$220)/SUMIFS($J$5:$J$220,$AS$5:$AS$220,F244,$P$5:$P$220,"&gt;0"),"")</f>
        <v/>
      </c>
      <c r="Q244" s="254" cm="1">
        <f t="array" ref="Q244">IFERROR(SUMPRODUCT(--($AS$5:$AS$220=F244),$J$5:$J$220,$Q$5:$Q$220)/SUMIFS($J$5:$J$220,$AS$5:$AS$220,F244),"")</f>
        <v>3.9331360946745564</v>
      </c>
      <c r="R244" s="254" cm="1">
        <f t="array" ref="R244">SUMPRODUCT(--($AS$5:$AS$220=F244),--($I$5:$I$220&gt;12),$R$5:$R$220,$J$5:$J$220)/SUMIFS($J$5:$J$220,$I$5:$I$220,"&gt;12",$AS$5:$AS$220,F244)</f>
        <v>3</v>
      </c>
      <c r="S244" s="254" cm="1">
        <f t="array" ref="S244">SUMPRODUCT(--($AS$5:$AS$220=F244),--($I$5:$I$220&gt;12),$S$5:$S$220,$J$5:$J$220)/SUMIFS($J$5:$J$220,$I$5:$I$220,"&gt;12",$AS$5:$AS$220,F244)</f>
        <v>2.9260355029585798</v>
      </c>
      <c r="T244" s="254" cm="1">
        <f t="array" ref="T244">SUMPRODUCT(--($AS$5:$AS$220=F244),$T$5:$T$220,$J$5:$J$220)/SUMIFS($J$5:$J$220,$AS$5:$AS$220,F244)</f>
        <v>12.248640977552663</v>
      </c>
      <c r="U244" s="254" cm="1">
        <f t="array" ref="U244">SUMPRODUCT(--($AS$5:$AS$220=F244),$U$5:$U$220,$J$5:$J$220)/SUMIFS($J$5:$J$220,$AS$5:$AS$220,F244)</f>
        <v>17.319526627218934</v>
      </c>
      <c r="V244" s="254" cm="1">
        <f t="array" ref="V244">SUMPRODUCT(--($AS$5:$AS$220=F244),--($AR$5:$AR$220=$B$330),$V$5:$V$220,$J$5:$J$220)/SUMIFS($J$5:$J$220,$AS$5:$AS$220,F244,$AR$5:$AR$220,$B$330)</f>
        <v>0</v>
      </c>
      <c r="W244" s="254" cm="1">
        <f t="array" ref="W244">SUMPRODUCT(--($AS$5:$AS$220=F244),--($AR$5:$AR$220=$B$330),$W$5:$W$220,$J$5:$J$220)/SUMIFS($J$5:$J$220,$AS$5:$AS$220,F244,$AR$5:$AR$220,$B$330)</f>
        <v>0</v>
      </c>
      <c r="X244" s="256" cm="1">
        <f t="array" ref="X244">IFERROR((IFERROR(SUMPRODUCT(--($AS$5:$AS$220=F244),--($N$5:$N$220&gt;0),$J$5:$J$220,$Q$5:$Q$220)/SUMIFS($J$5:$J$220,$AS$5:$AS$220,F244,$N$5:$N$220,"&gt;0"),""))/N244-1,"NA")</f>
        <v>8.7337030311953168E-2</v>
      </c>
      <c r="Y244" s="256"/>
      <c r="Z244" s="257">
        <f t="shared" si="188"/>
        <v>1.0489510489510634E-2</v>
      </c>
      <c r="AA244" s="254"/>
      <c r="AB244" s="254"/>
      <c r="AD244" s="258">
        <f t="shared" si="189"/>
        <v>3239155</v>
      </c>
      <c r="AG244" s="254" t="str" cm="1">
        <f t="array" ref="AG244">IFERROR(SUMPRODUCT(--($F$5:$F$220=F244),$J$5:$J$220,$AG$5:$AG$220)/SUMIFS($J$5:$J$220,$F$5:$F$220,F244),"")</f>
        <v/>
      </c>
      <c r="AH244" s="254" t="str" cm="1">
        <f t="array" ref="AH244">IFERROR(SUMPRODUCT(--($F$5:$F$220=F244),$J$5:$J$220,$AH$5:$AH$220)/SUMIFS($J$5:$J$220,$F$5:$F$220,F244),"")</f>
        <v/>
      </c>
      <c r="AS244" s="249"/>
      <c r="AT244" s="249"/>
      <c r="AU244" s="250"/>
    </row>
    <row r="245" spans="1:47" outlineLevel="2">
      <c r="B245" s="251"/>
      <c r="C245" s="251"/>
      <c r="D245" s="251"/>
      <c r="E245" s="251"/>
      <c r="F245" s="251" t="s">
        <v>13</v>
      </c>
      <c r="H245" s="184">
        <f t="shared" si="186"/>
        <v>4</v>
      </c>
      <c r="I245" s="276" cm="1">
        <f t="array" ref="I245">IFERROR(SUMPRODUCT(--($AS$5:$AS$220=F245),$J$5:$J$220,$I$5:$I$220)/SUMIFS($J$5:$J$220,$AS$5:$AS$220,F245),"")/12</f>
        <v>4.9408360301325347</v>
      </c>
      <c r="J245" s="253">
        <f t="shared" si="187"/>
        <v>148942</v>
      </c>
      <c r="K245" s="253"/>
      <c r="L245" s="253"/>
      <c r="M245" s="253"/>
      <c r="N245" s="254" cm="1">
        <f t="array" ref="N245">IFERROR(SUMPRODUCT(--($AS$5:$AS$220=F245),$J$5:$J$220,$N$5:$N$220)/SUMIFS($J$5:$J$220,$AS$5:$AS$220,F245,$N$5:$N$220,"&gt;0"),"NA")</f>
        <v>2.7799487745455305</v>
      </c>
      <c r="O245" s="254" cm="1">
        <f t="array" ref="O245">IFERROR(SUMPRODUCT(--($AS$5:$AS$220=F245),$J$5:$J$220,$O$5:$O$220)/SUMIFS($J$5:$J$220,$AS$5:$AS$220,F245),"")</f>
        <v>4.9112621020262921</v>
      </c>
      <c r="P245" s="255" t="str" cm="1">
        <f t="array" ref="P245">IFERROR(SUMPRODUCT(--($AS$5:$AS$220=F245),$J$5:$J$220,$P$5:$P$220)/SUMIFS($J$5:$J$220,$AS$5:$AS$220,F245,$P$5:$P$220,"&gt;0"),"")</f>
        <v/>
      </c>
      <c r="Q245" s="254" cm="1">
        <f t="array" ref="Q245">IFERROR(SUMPRODUCT(--($AS$5:$AS$220=F245),$J$5:$J$220,$Q$5:$Q$220)/SUMIFS($J$5:$J$220,$AS$5:$AS$220,F245),"")</f>
        <v>5.3375534100522346</v>
      </c>
      <c r="R245" s="254" cm="1">
        <f t="array" ref="R245">SUMPRODUCT(--($AS$5:$AS$220=F245),--($I$5:$I$220&gt;12),$R$5:$R$220,$J$5:$J$220)/SUMIFS($J$5:$J$220,$I$5:$I$220,"&gt;12",$AS$5:$AS$220,F245)</f>
        <v>3</v>
      </c>
      <c r="S245" s="254" cm="1">
        <f t="array" ref="S245">SUMPRODUCT(--($AS$5:$AS$220=F245),--($I$5:$I$220&gt;12),$S$5:$S$220,$J$5:$J$220)/SUMIFS($J$5:$J$220,$I$5:$I$220,"&gt;12",$AS$5:$AS$220,F245)</f>
        <v>1.5916061285601106</v>
      </c>
      <c r="T245" s="254" cm="1">
        <f t="array" ref="T245">SUMPRODUCT(--($AS$5:$AS$220=F245),$T$5:$T$220,$J$5:$J$220)/SUMIFS($J$5:$J$220,$AS$5:$AS$220,F245)</f>
        <v>10.842862184643206</v>
      </c>
      <c r="U245" s="254" cm="1">
        <f t="array" ref="U245">SUMPRODUCT(--($AS$5:$AS$220=F245),$U$5:$U$220,$J$5:$J$220)/SUMIFS($J$5:$J$220,$AS$5:$AS$220,F245)</f>
        <v>23.850885579621597</v>
      </c>
      <c r="V245" s="254" cm="1">
        <f t="array" ref="V245">SUMPRODUCT(--($AS$5:$AS$220=F245),--($AR$5:$AR$220=$B$330),$V$5:$V$220,$J$5:$J$220)/SUMIFS($J$5:$J$220,$AS$5:$AS$220,F245,$AR$5:$AR$220,$B$330)</f>
        <v>3.9336385975748951</v>
      </c>
      <c r="W245" s="254" cm="1">
        <f t="array" ref="W245">SUMPRODUCT(--($AS$5:$AS$220=F245),--($AR$5:$AR$220=$B$330),$W$5:$W$220,$J$5:$J$220)/SUMIFS($J$5:$J$220,$AS$5:$AS$220,F245,$AR$5:$AR$220,$B$330)</f>
        <v>7.2208697345275343</v>
      </c>
      <c r="X245" s="256" cm="1">
        <f t="array" ref="X245">IFERROR((IFERROR(SUMPRODUCT(--($AS$5:$AS$220=F245),--($N$5:$N$220&gt;0),$J$5:$J$220,$Q$5:$Q$220)/SUMIFS($J$5:$J$220,$AS$5:$AS$220,F245,$N$5:$N$220,"&gt;0"),""))/N245-1,"NA")</f>
        <v>0.33709004574331303</v>
      </c>
      <c r="Y245" s="256"/>
      <c r="Z245" s="257">
        <f t="shared" si="188"/>
        <v>8.6798728956058557E-2</v>
      </c>
      <c r="AA245" s="254"/>
      <c r="AB245" s="254"/>
      <c r="AD245" s="258">
        <f t="shared" si="189"/>
        <v>3201128.52</v>
      </c>
      <c r="AG245" s="254" t="str" cm="1">
        <f t="array" ref="AG245">IFERROR(SUMPRODUCT(--($F$5:$F$220=F245),$J$5:$J$220,$AG$5:$AG$220)/SUMIFS($J$5:$J$220,$F$5:$F$220,F245),"")</f>
        <v/>
      </c>
      <c r="AH245" s="254" t="str" cm="1">
        <f t="array" ref="AH245">IFERROR(SUMPRODUCT(--($F$5:$F$220=F245),$J$5:$J$220,$AH$5:$AH$220)/SUMIFS($J$5:$J$220,$F$5:$F$220,F245),"")</f>
        <v/>
      </c>
      <c r="AS245" s="249"/>
      <c r="AT245" s="249"/>
      <c r="AU245" s="250"/>
    </row>
    <row r="246" spans="1:47" outlineLevel="2">
      <c r="B246" s="251"/>
      <c r="C246" s="251"/>
      <c r="D246" s="251"/>
      <c r="E246" s="251"/>
      <c r="F246" s="251" t="s">
        <v>14</v>
      </c>
      <c r="H246" s="184">
        <f t="shared" si="186"/>
        <v>8</v>
      </c>
      <c r="I246" s="276" cm="1">
        <f t="array" ref="I246">IFERROR(SUMPRODUCT(--($AS$5:$AS$220=F246),$J$5:$J$220,$I$5:$I$220)/SUMIFS($J$5:$J$220,$AS$5:$AS$220,F246),"")/12</f>
        <v>5.0396453936608827</v>
      </c>
      <c r="J246" s="253">
        <f t="shared" si="187"/>
        <v>276579</v>
      </c>
      <c r="K246" s="253"/>
      <c r="L246" s="253"/>
      <c r="M246" s="253"/>
      <c r="N246" s="254" cm="1">
        <f t="array" ref="N246">IFERROR(SUMPRODUCT(--($AS$5:$AS$220=F246),$J$5:$J$220,$N$5:$N$220)/SUMIFS($J$5:$J$220,$AS$5:$AS$220,F246,$N$5:$N$220,"&gt;0"),"NA")</f>
        <v>4.6488592364234531</v>
      </c>
      <c r="O246" s="254" cm="1">
        <f t="array" ref="O246">IFERROR(SUMPRODUCT(--($AS$5:$AS$220=F246),$J$5:$J$220,$O$5:$O$220)/SUMIFS($J$5:$J$220,$AS$5:$AS$220,F246),"")</f>
        <v>4.3102725803477488</v>
      </c>
      <c r="P246" s="255" t="str" cm="1">
        <f t="array" ref="P246">IFERROR(SUMPRODUCT(--($AS$5:$AS$220=F246),$J$5:$J$220,$P$5:$P$220)/SUMIFS($J$5:$J$220,$AS$5:$AS$220,F246,$P$5:$P$220,"&gt;0"),"")</f>
        <v/>
      </c>
      <c r="Q246" s="254" cm="1">
        <f t="array" ref="Q246">IFERROR(SUMPRODUCT(--($AS$5:$AS$220=F246),$J$5:$J$220,$Q$5:$Q$220)/SUMIFS($J$5:$J$220,$AS$5:$AS$220,F246),"")</f>
        <v>4.8950292683103198</v>
      </c>
      <c r="R246" s="254" cm="1">
        <f t="array" ref="R246">SUMPRODUCT(--($AS$5:$AS$220=F246),--($I$5:$I$220&gt;12),$R$5:$R$220,$J$5:$J$220)/SUMIFS($J$5:$J$220,$I$5:$I$220,"&gt;12",$AS$5:$AS$220,F246)</f>
        <v>3.4159381225617276</v>
      </c>
      <c r="S246" s="254" cm="1">
        <f t="array" ref="S246">SUMPRODUCT(--($AS$5:$AS$220=F246),--($I$5:$I$220&gt;12),$S$5:$S$220,$J$5:$J$220)/SUMIFS($J$5:$J$220,$I$5:$I$220,"&gt;12",$AS$5:$AS$220,F246)</f>
        <v>2.1902639028993525</v>
      </c>
      <c r="T246" s="254" cm="1">
        <f t="array" ref="T246">SUMPRODUCT(--($AS$5:$AS$220=F246),$T$5:$T$220,$J$5:$J$220)/SUMIFS($J$5:$J$220,$AS$5:$AS$220,F246)</f>
        <v>18.166529218791247</v>
      </c>
      <c r="U246" s="254" cm="1">
        <f t="array" ref="U246">SUMPRODUCT(--($AS$5:$AS$220=F246),$U$5:$U$220,$J$5:$J$220)/SUMIFS($J$5:$J$220,$AS$5:$AS$220,F246)</f>
        <v>22.668814262832679</v>
      </c>
      <c r="V246" s="254" cm="1">
        <f t="array" ref="V246">SUMPRODUCT(--($AS$5:$AS$220=F246),--($AR$5:$AR$220=$B$330),$V$5:$V$220,$J$5:$J$220)/SUMIFS($J$5:$J$220,$AS$5:$AS$220,F246,$AR$5:$AR$220,$B$330)</f>
        <v>1.4097126849366377</v>
      </c>
      <c r="W246" s="254" cm="1">
        <f t="array" ref="W246">SUMPRODUCT(--($AS$5:$AS$220=F246),--($AR$5:$AR$220=$B$330),$W$5:$W$220,$J$5:$J$220)/SUMIFS($J$5:$J$220,$AS$5:$AS$220,F246,$AR$5:$AR$220,$B$330)</f>
        <v>9.6554184093888527</v>
      </c>
      <c r="X246" s="256" cm="1">
        <f t="array" ref="X246">IFERROR((IFERROR(SUMPRODUCT(--($AS$5:$AS$220=F246),--($N$5:$N$220&gt;0),$J$5:$J$220,$Q$5:$Q$220)/SUMIFS($J$5:$J$220,$AS$5:$AS$220,F246,$N$5:$N$220,"&gt;0"),""))/N246-1,"NA")</f>
        <v>1.9048268045940286E-2</v>
      </c>
      <c r="Y246" s="256"/>
      <c r="Z246" s="257">
        <f t="shared" si="188"/>
        <v>0.13566582555096618</v>
      </c>
      <c r="AA246" s="254"/>
      <c r="AB246" s="254"/>
      <c r="AD246" s="258">
        <f t="shared" si="189"/>
        <v>6980488.7000000002</v>
      </c>
      <c r="AG246" s="254" t="str" cm="1">
        <f t="array" ref="AG246">IFERROR(SUMPRODUCT(--($F$5:$F$220=F246),$J$5:$J$220,$AG$5:$AG$220)/SUMIFS($J$5:$J$220,$F$5:$F$220,F246),"")</f>
        <v/>
      </c>
      <c r="AH246" s="254" t="str" cm="1">
        <f t="array" ref="AH246">IFERROR(SUMPRODUCT(--($F$5:$F$220=F246),$J$5:$J$220,$AH$5:$AH$220)/SUMIFS($J$5:$J$220,$F$5:$F$220,F246),"")</f>
        <v/>
      </c>
      <c r="AU246" s="184"/>
    </row>
    <row r="247" spans="1:47" outlineLevel="2">
      <c r="B247" s="251"/>
      <c r="C247" s="251"/>
      <c r="D247" s="251"/>
      <c r="E247" s="251"/>
      <c r="F247" s="251" t="s">
        <v>15</v>
      </c>
      <c r="H247" s="184">
        <f t="shared" si="186"/>
        <v>22</v>
      </c>
      <c r="I247" s="276" cm="1">
        <f t="array" ref="I247">IFERROR(SUMPRODUCT(--($AS$5:$AS$220=F247),$J$5:$J$220,$I$5:$I$220)/SUMIFS($J$5:$J$220,$AS$5:$AS$220,F247),"")/12</f>
        <v>4.6449252572835675</v>
      </c>
      <c r="J247" s="253">
        <f t="shared" si="187"/>
        <v>747230</v>
      </c>
      <c r="K247" s="253"/>
      <c r="L247" s="253"/>
      <c r="M247" s="253"/>
      <c r="N247" s="254" cm="1">
        <f t="array" ref="N247">IFERROR(SUMPRODUCT(--($AS$5:$AS$220=F247),$J$5:$J$220,$N$5:$N$220)/SUMIFS($J$5:$J$220,$AS$5:$AS$220,F247,$N$5:$N$220,"&gt;0"),"NA")</f>
        <v>5.3732400918309331</v>
      </c>
      <c r="O247" s="254" cm="1">
        <f t="array" ref="O247">IFERROR(SUMPRODUCT(--($AS$5:$AS$220=F247),$J$5:$J$220,$O$5:$O$220)/SUMIFS($J$5:$J$220,$AS$5:$AS$220,F247),"")</f>
        <v>7.0891806404989097</v>
      </c>
      <c r="P247" s="255" t="str" cm="1">
        <f t="array" ref="P247">IFERROR(SUMPRODUCT(--($AS$5:$AS$220=F247),$J$5:$J$220,$P$5:$P$220)/SUMIFS($J$5:$J$220,$AS$5:$AS$220,F247,$P$5:$P$220,"&gt;0"),"")</f>
        <v/>
      </c>
      <c r="Q247" s="254" cm="1">
        <f t="array" ref="Q247">IFERROR(SUMPRODUCT(--($AS$5:$AS$220=F247),$J$5:$J$220,$Q$5:$Q$220)/SUMIFS($J$5:$J$220,$AS$5:$AS$220,F247),"")</f>
        <v>8.0471251943845932</v>
      </c>
      <c r="R247" s="254" cm="1">
        <f t="array" ref="R247">SUMPRODUCT(--($AS$5:$AS$220=F247),--($I$5:$I$220&gt;12),$R$5:$R$220,$J$5:$J$220)/SUMIFS($J$5:$J$220,$I$5:$I$220,"&gt;12",$AS$5:$AS$220,F247)</f>
        <v>3.5834689453046584</v>
      </c>
      <c r="S247" s="254" cm="1">
        <f t="array" ref="S247">SUMPRODUCT(--($AS$5:$AS$220=F247),--($I$5:$I$220&gt;12),$S$5:$S$220,$J$5:$J$220)/SUMIFS($J$5:$J$220,$I$5:$I$220,"&gt;12",$AS$5:$AS$220,F247)</f>
        <v>2.6445886808613146</v>
      </c>
      <c r="T247" s="254" cm="1">
        <f t="array" ref="T247">SUMPRODUCT(--($AS$5:$AS$220=F247),$T$5:$T$220,$J$5:$J$220)/SUMIFS($J$5:$J$220,$AS$5:$AS$220,F247)</f>
        <v>7.2539018603571623</v>
      </c>
      <c r="U247" s="254" cm="1">
        <f t="array" ref="U247">SUMPRODUCT(--($AS$5:$AS$220=F247),$U$5:$U$220,$J$5:$J$220)/SUMIFS($J$5:$J$220,$AS$5:$AS$220,F247)</f>
        <v>22.182791978373459</v>
      </c>
      <c r="V247" s="254" cm="1">
        <f t="array" ref="V247">SUMPRODUCT(--($AS$5:$AS$220=F247),--($AR$5:$AR$220=$B$330),$V$5:$V$220,$J$5:$J$220)/SUMIFS($J$5:$J$220,$AS$5:$AS$220,F247,$AR$5:$AR$220,$B$330)</f>
        <v>2.2616685579164089</v>
      </c>
      <c r="W247" s="254" cm="1">
        <f t="array" ref="W247">SUMPRODUCT(--($AS$5:$AS$220=F247),--($AR$5:$AR$220=$B$330),$W$5:$W$220,$J$5:$J$220)/SUMIFS($J$5:$J$220,$AS$5:$AS$220,F247,$AR$5:$AR$220,$B$330)</f>
        <v>6.3360946259062709</v>
      </c>
      <c r="X247" s="256" cm="1">
        <f t="array" ref="X247">IFERROR((IFERROR(SUMPRODUCT(--($AS$5:$AS$220=F247),--($N$5:$N$220&gt;0),$J$5:$J$220,$Q$5:$Q$220)/SUMIFS($J$5:$J$220,$AS$5:$AS$220,F247,$N$5:$N$220,"&gt;0"),""))/N247-1,"NA")</f>
        <v>0.50870152309560601</v>
      </c>
      <c r="Y247" s="256"/>
      <c r="Z247" s="257">
        <f t="shared" si="188"/>
        <v>0.1351276829388659</v>
      </c>
      <c r="AA247" s="254"/>
      <c r="AB247" s="254"/>
      <c r="AD247" s="258">
        <f t="shared" si="189"/>
        <v>30611626.84</v>
      </c>
      <c r="AG247" s="254" t="str" cm="1">
        <f t="array" ref="AG247">IFERROR(SUMPRODUCT(--($F$5:$F$220=F247),$J$5:$J$220,$AG$5:$AG$220)/SUMIFS($J$5:$J$220,$F$5:$F$220,F247),"")</f>
        <v/>
      </c>
      <c r="AH247" s="254" t="str" cm="1">
        <f t="array" ref="AH247">IFERROR(SUMPRODUCT(--($F$5:$F$220=F247),$J$5:$J$220,$AH$5:$AH$220)/SUMIFS($J$5:$J$220,$F$5:$F$220,F247),"")</f>
        <v/>
      </c>
    </row>
    <row r="248" spans="1:47" outlineLevel="2">
      <c r="B248" s="251"/>
      <c r="C248" s="251"/>
      <c r="D248" s="251"/>
      <c r="E248" s="251"/>
      <c r="F248" s="251" t="s">
        <v>17</v>
      </c>
      <c r="H248" s="184">
        <f t="shared" si="186"/>
        <v>18</v>
      </c>
      <c r="I248" s="276" cm="1">
        <f t="array" ref="I248">IFERROR(SUMPRODUCT(--($AS$5:$AS$220=F248),$J$5:$J$220,$I$5:$I$220)/SUMIFS($J$5:$J$220,$AS$5:$AS$220,F248),"")/12</f>
        <v>5.0778814364754661</v>
      </c>
      <c r="J248" s="253">
        <f t="shared" si="187"/>
        <v>449981</v>
      </c>
      <c r="K248" s="253"/>
      <c r="L248" s="253"/>
      <c r="M248" s="253"/>
      <c r="N248" s="254" cm="1">
        <f t="array" ref="N248">IFERROR(SUMPRODUCT(--($AS$5:$AS$220=F248),$J$5:$J$220,$N$5:$N$220)/SUMIFS($J$5:$J$220,$AS$5:$AS$220,F248,$N$5:$N$220,"&gt;0"),"NA")</f>
        <v>5.0772616679827358</v>
      </c>
      <c r="O248" s="254" cm="1">
        <f t="array" ref="O248">IFERROR(SUMPRODUCT(--($AS$5:$AS$220=F248),$J$5:$J$220,$O$5:$O$220)/SUMIFS($J$5:$J$220,$AS$5:$AS$220,F248),"")</f>
        <v>6.9334917252061743</v>
      </c>
      <c r="P248" s="255" t="str" cm="1">
        <f t="array" ref="P248">IFERROR(SUMPRODUCT(--($AS$5:$AS$220=F248),$J$5:$J$220,$P$5:$P$220)/SUMIFS($J$5:$J$220,$AS$5:$AS$220,F248,$P$5:$P$220,"&gt;0"),"")</f>
        <v/>
      </c>
      <c r="Q248" s="254" cm="1">
        <f t="array" ref="Q248">IFERROR(SUMPRODUCT(--($AS$5:$AS$220=F248),$J$5:$J$220,$Q$5:$Q$220)/SUMIFS($J$5:$J$220,$AS$5:$AS$220,F248),"")</f>
        <v>7.4879199788435509</v>
      </c>
      <c r="R248" s="254" cm="1">
        <f t="array" ref="R248">SUMPRODUCT(--($AS$5:$AS$220=F248),--($I$5:$I$220&gt;12),$R$5:$R$220,$J$5:$J$220)/SUMIFS($J$5:$J$220,$I$5:$I$220,"&gt;12",$AS$5:$AS$220,F248)</f>
        <v>3.834175220731542</v>
      </c>
      <c r="S248" s="254" cm="1">
        <f t="array" ref="S248">SUMPRODUCT(--($AS$5:$AS$220=F248),--($I$5:$I$220&gt;12),$S$5:$S$220,$J$5:$J$220)/SUMIFS($J$5:$J$220,$I$5:$I$220,"&gt;12",$AS$5:$AS$220,F248)</f>
        <v>3.323300317124501</v>
      </c>
      <c r="T248" s="254" cm="1">
        <f t="array" ref="T248">SUMPRODUCT(--($AS$5:$AS$220=F248),$T$5:$T$220,$J$5:$J$220)/SUMIFS($J$5:$J$220,$AS$5:$AS$220,F248)</f>
        <v>11.91664798239602</v>
      </c>
      <c r="U248" s="254" cm="1">
        <f t="array" ref="U248">SUMPRODUCT(--($AS$5:$AS$220=F248),$U$5:$U$220,$J$5:$J$220)/SUMIFS($J$5:$J$220,$AS$5:$AS$220,F248)</f>
        <v>13.929352150424128</v>
      </c>
      <c r="V248" s="254" cm="1">
        <f t="array" ref="V248">SUMPRODUCT(--($AS$5:$AS$220=F248),--($AR$5:$AR$220=$B$330),$V$5:$V$220,$J$5:$J$220)/SUMIFS($J$5:$J$220,$AS$5:$AS$220,F248,$AR$5:$AR$220,$B$330)</f>
        <v>5.4498411435698744</v>
      </c>
      <c r="W248" s="254" cm="1">
        <f t="array" ref="W248">SUMPRODUCT(--($AS$5:$AS$220=F248),--($AR$5:$AR$220=$B$330),$W$5:$W$220,$J$5:$J$220)/SUMIFS($J$5:$J$220,$AS$5:$AS$220,F248,$AR$5:$AR$220,$B$330)</f>
        <v>6.4517630853994481</v>
      </c>
      <c r="X248" s="256" cm="1">
        <f t="array" ref="X248">IFERROR((IFERROR(SUMPRODUCT(--($AS$5:$AS$220=F248),--($N$5:$N$220&gt;0),$J$5:$J$220,$Q$5:$Q$220)/SUMIFS($J$5:$J$220,$AS$5:$AS$220,F248,$N$5:$N$220,"&gt;0"),""))/N248-1,"NA")</f>
        <v>0.30493881987621929</v>
      </c>
      <c r="Y248" s="256"/>
      <c r="Z248" s="257">
        <f t="shared" si="188"/>
        <v>7.9963786734149389E-2</v>
      </c>
      <c r="AA248" s="254"/>
      <c r="AB248" s="254"/>
      <c r="AD248" s="258">
        <f t="shared" si="189"/>
        <v>20942669.850000001</v>
      </c>
      <c r="AG248" s="254" t="str" cm="1">
        <f t="array" ref="AG248">IFERROR(SUMPRODUCT(--($F$5:$F$220=F248),$J$5:$J$220,$AG$5:$AG$220)/SUMIFS($J$5:$J$220,$F$5:$F$220,F248),"")</f>
        <v/>
      </c>
      <c r="AH248" s="254" t="str" cm="1">
        <f t="array" ref="AH248">IFERROR(SUMPRODUCT(--($F$5:$F$220=F248),$J$5:$J$220,$AH$5:$AH$220)/SUMIFS($J$5:$J$220,$F$5:$F$220,F248),"")</f>
        <v/>
      </c>
    </row>
    <row r="249" spans="1:47" outlineLevel="2">
      <c r="B249" s="251"/>
      <c r="C249" s="251"/>
      <c r="D249" s="251"/>
      <c r="E249" s="251"/>
      <c r="F249" s="251" t="s">
        <v>18</v>
      </c>
      <c r="H249" s="184">
        <f t="shared" si="186"/>
        <v>18</v>
      </c>
      <c r="I249" s="276" cm="1">
        <f t="array" ref="I249">IFERROR(SUMPRODUCT(--($AS$5:$AS$220=F249),$J$5:$J$220,$I$5:$I$220)/SUMIFS($J$5:$J$220,$AS$5:$AS$220,F249),"")/12</f>
        <v>7.112067023958681</v>
      </c>
      <c r="J249" s="253">
        <f t="shared" si="187"/>
        <v>609772</v>
      </c>
      <c r="K249" s="253"/>
      <c r="L249" s="253"/>
      <c r="M249" s="253"/>
      <c r="N249" s="254" cm="1">
        <f t="array" ref="N249">IFERROR(SUMPRODUCT(--($AS$5:$AS$220=F249),$J$5:$J$220,$N$5:$N$220)/SUMIFS($J$5:$J$220,$AS$5:$AS$220,F249,$N$5:$N$220,"&gt;0"),"NA")</f>
        <v>5.1136800578857837</v>
      </c>
      <c r="O249" s="254" cm="1">
        <f t="array" ref="O249">IFERROR(SUMPRODUCT(--($AS$5:$AS$220=F249),$J$5:$J$220,$O$5:$O$220)/SUMIFS($J$5:$J$220,$AS$5:$AS$220,F249),"")</f>
        <v>6.1611779484791045</v>
      </c>
      <c r="P249" s="255" cm="1">
        <f t="array" ref="P249">IFERROR(SUMPRODUCT(--($AS$5:$AS$220=F249),$J$5:$J$220,$P$5:$P$220)/SUMIFS($J$5:$J$220,$AS$5:$AS$220,F249,$P$5:$P$220,"&gt;0"),"")</f>
        <v>6.6389721302936389</v>
      </c>
      <c r="Q249" s="254" cm="1">
        <f t="array" ref="Q249">IFERROR(SUMPRODUCT(--($AS$5:$AS$220=F249),$J$5:$J$220,$Q$5:$Q$220)/SUMIFS($J$5:$J$220,$AS$5:$AS$220,F249),"")</f>
        <v>7.3506378941637198</v>
      </c>
      <c r="R249" s="254" cm="1">
        <f t="array" ref="R249">SUMPRODUCT(--($AS$5:$AS$220=F249),--($I$5:$I$220&gt;12),$R$5:$R$220,$J$5:$J$220)/SUMIFS($J$5:$J$220,$I$5:$I$220,"&gt;12",$AS$5:$AS$220,F249)</f>
        <v>3.7950783243573007</v>
      </c>
      <c r="S249" s="254" cm="1">
        <f t="array" ref="S249">SUMPRODUCT(--($AS$5:$AS$220=F249),--($I$5:$I$220&gt;12),$S$5:$S$220,$J$5:$J$220)/SUMIFS($J$5:$J$220,$I$5:$I$220,"&gt;12",$AS$5:$AS$220,F249)</f>
        <v>3.1366346765676352</v>
      </c>
      <c r="T249" s="254" cm="1">
        <f t="array" ref="T249">SUMPRODUCT(--($AS$5:$AS$220=F249),$T$5:$T$220,$J$5:$J$220)/SUMIFS($J$5:$J$220,$AS$5:$AS$220,F249)</f>
        <v>12.051027028056977</v>
      </c>
      <c r="U249" s="254" cm="1">
        <f t="array" ref="U249">SUMPRODUCT(--($AS$5:$AS$220=F249),$U$5:$U$220,$J$5:$J$220)/SUMIFS($J$5:$J$220,$AS$5:$AS$220,F249)</f>
        <v>13.14521855710003</v>
      </c>
      <c r="V249" s="254" cm="1">
        <f t="array" ref="V249">SUMPRODUCT(--($AS$5:$AS$220=F249),--($AR$5:$AR$220=$B$330),$V$5:$V$220,$J$5:$J$220)/SUMIFS($J$5:$J$220,$AS$5:$AS$220,F249,$AR$5:$AR$220,$B$330)</f>
        <v>3.9284750759645939</v>
      </c>
      <c r="W249" s="254" cm="1">
        <f t="array" ref="W249">SUMPRODUCT(--($AS$5:$AS$220=F249),--($AR$5:$AR$220=$B$330),$W$5:$W$220,$J$5:$J$220)/SUMIFS($J$5:$J$220,$AS$5:$AS$220,F249,$AR$5:$AR$220,$B$330)</f>
        <v>4.9261024426875819</v>
      </c>
      <c r="X249" s="256" cm="1">
        <f t="array" ref="X249">IFERROR((IFERROR(SUMPRODUCT(--($AS$5:$AS$220=F249),--($N$5:$N$220&gt;0),$J$5:$J$220,$Q$5:$Q$220)/SUMIFS($J$5:$J$220,$AS$5:$AS$220,F249,$N$5:$N$220,"&gt;0"),""))/N249-1,"NA")</f>
        <v>0.43444021434202584</v>
      </c>
      <c r="Y249" s="256"/>
      <c r="Z249" s="257">
        <f t="shared" si="188"/>
        <v>0.19305722958030058</v>
      </c>
      <c r="AA249" s="254"/>
      <c r="AB249" s="254"/>
      <c r="AD249" s="258">
        <f t="shared" si="189"/>
        <v>36744384.179999992</v>
      </c>
      <c r="AG249" s="254" t="str" cm="1">
        <f t="array" ref="AG249">IFERROR(SUMPRODUCT(--($F$5:$F$220=F249),$J$5:$J$220,$AG$5:$AG$220)/SUMIFS($J$5:$J$220,$F$5:$F$220,F249),"")</f>
        <v/>
      </c>
      <c r="AH249" s="254" t="str" cm="1">
        <f t="array" ref="AH249">IFERROR(SUMPRODUCT(--($F$5:$F$220=F249),$J$5:$J$220,$AH$5:$AH$220)/SUMIFS($J$5:$J$220,$F$5:$F$220,F249),"")</f>
        <v/>
      </c>
    </row>
    <row r="250" spans="1:47" outlineLevel="2">
      <c r="B250" s="251"/>
      <c r="C250" s="251"/>
      <c r="D250" s="251"/>
      <c r="E250" s="251"/>
      <c r="F250" s="251" t="s">
        <v>19</v>
      </c>
      <c r="H250" s="184">
        <f t="shared" si="186"/>
        <v>19</v>
      </c>
      <c r="I250" s="276" cm="1">
        <f t="array" ref="I250">IFERROR(SUMPRODUCT(--($AS$5:$AS$220=F250),$J$5:$J$220,$I$5:$I$220)/SUMIFS($J$5:$J$220,$AS$5:$AS$220,F250),"")/12</f>
        <v>4.8255984257201998</v>
      </c>
      <c r="J250" s="253">
        <f t="shared" si="187"/>
        <v>702120</v>
      </c>
      <c r="K250" s="253"/>
      <c r="L250" s="253"/>
      <c r="M250" s="253"/>
      <c r="N250" s="254" cm="1">
        <f t="array" ref="N250">IFERROR(SUMPRODUCT(--($AS$5:$AS$220=F250),$J$5:$J$220,$N$5:$N$220)/SUMIFS($J$5:$J$220,$AS$5:$AS$220,F250,$N$5:$N$220,"&gt;0"),"NA")</f>
        <v>5.0457697980256784</v>
      </c>
      <c r="O250" s="254" cm="1">
        <f t="array" ref="O250">IFERROR(SUMPRODUCT(--($AS$5:$AS$220=F250),$J$5:$J$220,$O$5:$O$220)/SUMIFS($J$5:$J$220,$AS$5:$AS$220,F250),"")</f>
        <v>6.6846793568051046</v>
      </c>
      <c r="P250" s="255" cm="1">
        <f t="array" ref="P250">IFERROR(SUMPRODUCT(--($AS$5:$AS$220=F250),$J$5:$J$220,$P$5:$P$220)/SUMIFS($J$5:$J$220,$AS$5:$AS$220,F250,$P$5:$P$220,"&gt;0"),"")</f>
        <v>6.9330134165099979</v>
      </c>
      <c r="Q250" s="254" cm="1">
        <f t="array" ref="Q250">IFERROR(SUMPRODUCT(--($AS$5:$AS$220=F250),$J$5:$J$220,$Q$5:$Q$220)/SUMIFS($J$5:$J$220,$AS$5:$AS$220,F250),"")</f>
        <v>7.2214231897681316</v>
      </c>
      <c r="R250" s="254" cm="1">
        <f t="array" ref="R250">SUMPRODUCT(--($AS$5:$AS$220=F250),--($I$5:$I$220&gt;12),$R$5:$R$220,$J$5:$J$220)/SUMIFS($J$5:$J$220,$I$5:$I$220,"&gt;12",$AS$5:$AS$220,F250)</f>
        <v>3.4833229362502141</v>
      </c>
      <c r="S250" s="254" cm="1">
        <f t="array" ref="S250">SUMPRODUCT(--($AS$5:$AS$220=F250),--($I$5:$I$220&gt;12),$S$5:$S$220,$J$5:$J$220)/SUMIFS($J$5:$J$220,$I$5:$I$220,"&gt;12",$AS$5:$AS$220,F250)</f>
        <v>2.9562862473651226</v>
      </c>
      <c r="T250" s="254" cm="1">
        <f t="array" ref="T250">SUMPRODUCT(--($AS$5:$AS$220=F250),$T$5:$T$220,$J$5:$J$220)/SUMIFS($J$5:$J$220,$AS$5:$AS$220,F250)</f>
        <v>8.0017049595388929</v>
      </c>
      <c r="U250" s="254" cm="1">
        <f t="array" ref="U250">SUMPRODUCT(--($AS$5:$AS$220=F250),$U$5:$U$220,$J$5:$J$220)/SUMIFS($J$5:$J$220,$AS$5:$AS$220,F250)</f>
        <v>10.538267912892382</v>
      </c>
      <c r="V250" s="254" cm="1">
        <f t="array" ref="V250">SUMPRODUCT(--($AS$5:$AS$220=F250),--($AR$5:$AR$220=$B$330),$V$5:$V$220,$J$5:$J$220)/SUMIFS($J$5:$J$220,$AS$5:$AS$220,F250,$AR$5:$AR$220,$B$330)</f>
        <v>4.4781532191994096</v>
      </c>
      <c r="W250" s="254" cm="1">
        <f t="array" ref="W250">SUMPRODUCT(--($AS$5:$AS$220=F250),--($AR$5:$AR$220=$B$330),$W$5:$W$220,$J$5:$J$220)/SUMIFS($J$5:$J$220,$AS$5:$AS$220,F250,$AR$5:$AR$220,$B$330)</f>
        <v>4.7734456332135151</v>
      </c>
      <c r="X250" s="256" cm="1">
        <f t="array" ref="X250">IFERROR((IFERROR(SUMPRODUCT(--($AS$5:$AS$220=F250),--($N$5:$N$220&gt;0),$J$5:$J$220,$Q$5:$Q$220)/SUMIFS($J$5:$J$220,$AS$5:$AS$220,F250,$N$5:$N$220,"&gt;0"),""))/N250-1,"NA")</f>
        <v>0.37490314815713965</v>
      </c>
      <c r="Y250" s="256"/>
      <c r="Z250" s="257">
        <f t="shared" si="188"/>
        <v>8.0294626610117659E-2</v>
      </c>
      <c r="AA250" s="254"/>
      <c r="AB250" s="254"/>
      <c r="AD250" s="258">
        <f t="shared" si="189"/>
        <v>27360460.930000003</v>
      </c>
      <c r="AG250" s="254" t="str" cm="1">
        <f t="array" ref="AG250">IFERROR(SUMPRODUCT(--($F$5:$F$220=F250),$J$5:$J$220,$AG$5:$AG$220)/SUMIFS($J$5:$J$220,$F$5:$F$220,F250),"")</f>
        <v/>
      </c>
      <c r="AH250" s="254" t="str" cm="1">
        <f t="array" ref="AH250">IFERROR(SUMPRODUCT(--($F$5:$F$220=F250),$J$5:$J$220,$AH$5:$AH$220)/SUMIFS($J$5:$J$220,$F$5:$F$220,F250),"")</f>
        <v/>
      </c>
      <c r="AO250" s="206"/>
    </row>
    <row r="251" spans="1:47" outlineLevel="2">
      <c r="B251" s="251"/>
      <c r="C251" s="251"/>
      <c r="D251" s="251"/>
      <c r="E251" s="251"/>
      <c r="F251" s="251" t="s">
        <v>20</v>
      </c>
      <c r="H251" s="184">
        <f t="shared" si="186"/>
        <v>20</v>
      </c>
      <c r="I251" s="276" cm="1">
        <f t="array" ref="I251">IFERROR(SUMPRODUCT(--($AS$5:$AS$220=F251),$J$5:$J$220,$I$5:$I$220)/SUMIFS($J$5:$J$220,$AS$5:$AS$220,F251),"")/12</f>
        <v>4.6929677804060184</v>
      </c>
      <c r="J251" s="253">
        <f t="shared" si="187"/>
        <v>371182</v>
      </c>
      <c r="K251" s="253"/>
      <c r="L251" s="253"/>
      <c r="M251" s="253"/>
      <c r="N251" s="254" cm="1">
        <f t="array" ref="N251">IFERROR(SUMPRODUCT(--($AS$5:$AS$220=F251),$J$5:$J$220,$N$5:$N$220)/SUMIFS($J$5:$J$220,$AS$5:$AS$220,F251,$N$5:$N$220,"&gt;0"),"NA")</f>
        <v>5.8849765456633678</v>
      </c>
      <c r="O251" s="254" cm="1">
        <f t="array" ref="O251">IFERROR(SUMPRODUCT(--($AS$5:$AS$220=F251),$J$5:$J$220,$O$5:$O$220)/SUMIFS($J$5:$J$220,$AS$5:$AS$220,F251),"")</f>
        <v>6.8909747509308099</v>
      </c>
      <c r="P251" s="255" cm="1">
        <f t="array" ref="P251">IFERROR(SUMPRODUCT(--($AS$5:$AS$220=F251),$J$5:$J$220,$P$5:$P$220)/SUMIFS($J$5:$J$220,$AS$5:$AS$220,F251,$P$5:$P$220,"&gt;0"),"")</f>
        <v>7.4283414874643716</v>
      </c>
      <c r="Q251" s="254" cm="1">
        <f t="array" ref="Q251">IFERROR(SUMPRODUCT(--($AS$5:$AS$220=F251),$J$5:$J$220,$Q$5:$Q$220)/SUMIFS($J$5:$J$220,$AS$5:$AS$220,F251),"")</f>
        <v>8.5604407002494725</v>
      </c>
      <c r="R251" s="254" cm="1">
        <f t="array" ref="R251">SUMPRODUCT(--($AS$5:$AS$220=F251),--($I$5:$I$220&gt;12),$R$5:$R$220,$J$5:$J$220)/SUMIFS($J$5:$J$220,$I$5:$I$220,"&gt;12",$AS$5:$AS$220,F251)</f>
        <v>3.0708156645526992</v>
      </c>
      <c r="S251" s="254" cm="1">
        <f t="array" ref="S251">SUMPRODUCT(--($AS$5:$AS$220=F251),--($I$5:$I$220&gt;12),$S$5:$S$220,$J$5:$J$220)/SUMIFS($J$5:$J$220,$I$5:$I$220,"&gt;12",$AS$5:$AS$220,F251)</f>
        <v>3.0494959346088981</v>
      </c>
      <c r="T251" s="254" cm="1">
        <f t="array" ref="T251">SUMPRODUCT(--($AS$5:$AS$220=F251),$T$5:$T$220,$J$5:$J$220)/SUMIFS($J$5:$J$220,$AS$5:$AS$220,F251)</f>
        <v>7.1872716358892319</v>
      </c>
      <c r="U251" s="254" cm="1">
        <f t="array" ref="U251">SUMPRODUCT(--($AS$5:$AS$220=F251),$U$5:$U$220,$J$5:$J$220)/SUMIFS($J$5:$J$220,$AS$5:$AS$220,F251)</f>
        <v>19.026117861318706</v>
      </c>
      <c r="V251" s="254" cm="1">
        <f t="array" ref="V251">SUMPRODUCT(--($AS$5:$AS$220=F251),--($AR$5:$AR$220=$B$330),$V$5:$V$220,$J$5:$J$220)/SUMIFS($J$5:$J$220,$AS$5:$AS$220,F251,$AR$5:$AR$220,$B$330)</f>
        <v>5.1783220177726577</v>
      </c>
      <c r="W251" s="254" cm="1">
        <f t="array" ref="W251">SUMPRODUCT(--($AS$5:$AS$220=F251),--($AR$5:$AR$220=$B$330),$W$5:$W$220,$J$5:$J$220)/SUMIFS($J$5:$J$220,$AS$5:$AS$220,F251,$AR$5:$AR$220,$B$330)</f>
        <v>6.4898665432634113</v>
      </c>
      <c r="X251" s="256" cm="1">
        <f t="array" ref="X251">IFERROR((IFERROR(SUMPRODUCT(--($AS$5:$AS$220=F251),--($N$5:$N$220&gt;0),$J$5:$J$220,$Q$5:$Q$220)/SUMIFS($J$5:$J$220,$AS$5:$AS$220,F251,$N$5:$N$220,"&gt;0"),""))/N251-1,"NA")</f>
        <v>0.28354524256255798</v>
      </c>
      <c r="Y251" s="256"/>
      <c r="Z251" s="257">
        <f t="shared" si="188"/>
        <v>0.24226847574694088</v>
      </c>
      <c r="AA251" s="254"/>
      <c r="AB251" s="254"/>
      <c r="AD251" s="258">
        <f t="shared" si="189"/>
        <v>19332596</v>
      </c>
      <c r="AG251" s="254" t="str" cm="1">
        <f t="array" ref="AG251">IFERROR(SUMPRODUCT(--($F$5:$F$220=F251),$J$5:$J$220,$AG$5:$AG$220)/SUMIFS($J$5:$J$220,$F$5:$F$220,F251),"")</f>
        <v/>
      </c>
      <c r="AH251" s="254" t="str" cm="1">
        <f t="array" ref="AH251">IFERROR(SUMPRODUCT(--($F$5:$F$220=F251),$J$5:$J$220,$AH$5:$AH$220)/SUMIFS($J$5:$J$220,$F$5:$F$220,F251),"")</f>
        <v/>
      </c>
    </row>
    <row r="252" spans="1:47" outlineLevel="2">
      <c r="B252" s="251"/>
      <c r="C252" s="251"/>
      <c r="D252" s="251"/>
      <c r="E252" s="251"/>
      <c r="F252" s="251" t="s">
        <v>21</v>
      </c>
      <c r="H252" s="184">
        <f t="shared" si="186"/>
        <v>21</v>
      </c>
      <c r="I252" s="276" cm="1">
        <f t="array" ref="I252">IFERROR(SUMPRODUCT(--($AS$5:$AS$220=F252),$J$5:$J$220,$I$5:$I$220)/SUMIFS($J$5:$J$220,$AS$5:$AS$220,F252),"")/12</f>
        <v>5.224268525880519</v>
      </c>
      <c r="J252" s="253">
        <f t="shared" si="187"/>
        <v>584835</v>
      </c>
      <c r="K252" s="253"/>
      <c r="L252" s="253"/>
      <c r="M252" s="253"/>
      <c r="N252" s="254" cm="1">
        <f t="array" ref="N252">IFERROR(SUMPRODUCT(--($AS$5:$AS$220=F252),$J$5:$J$220,$N$5:$N$220)/SUMIFS($J$5:$J$220,$AS$5:$AS$220,F252,$N$5:$N$220,"&gt;0"),"NA")</f>
        <v>5.6352153082473349</v>
      </c>
      <c r="O252" s="254" cm="1">
        <f t="array" ref="O252">IFERROR(SUMPRODUCT(--($AS$5:$AS$220=F252),$J$5:$J$220,$O$5:$O$220)/SUMIFS($J$5:$J$220,$AS$5:$AS$220,F252),"")</f>
        <v>6.4994324553079057</v>
      </c>
      <c r="P252" s="255" cm="1">
        <f t="array" ref="P252">IFERROR(SUMPRODUCT(--($AS$5:$AS$220=F252),$J$5:$J$220,$P$5:$P$220)/SUMIFS($J$5:$J$220,$AS$5:$AS$220,F252,$P$5:$P$220,"&gt;0"),"")</f>
        <v>6.6819616814999101</v>
      </c>
      <c r="Q252" s="254" cm="1">
        <f t="array" ref="Q252">IFERROR(SUMPRODUCT(--($AS$5:$AS$220=F252),$J$5:$J$220,$Q$5:$Q$220)/SUMIFS($J$5:$J$220,$AS$5:$AS$220,F252),"")</f>
        <v>7.3875857122094271</v>
      </c>
      <c r="R252" s="254" cm="1">
        <f t="array" ref="R252">SUMPRODUCT(--($AS$5:$AS$220=F252),--($I$5:$I$220&gt;12),$R$5:$R$220,$J$5:$J$220)/SUMIFS($J$5:$J$220,$I$5:$I$220,"&gt;12",$AS$5:$AS$220,F252)</f>
        <v>3.356358631066882</v>
      </c>
      <c r="S252" s="254" cm="1">
        <f t="array" ref="S252">SUMPRODUCT(--($AS$5:$AS$220=F252),--($I$5:$I$220&gt;12),$S$5:$S$220,$J$5:$J$220)/SUMIFS($J$5:$J$220,$I$5:$I$220,"&gt;12",$AS$5:$AS$220,F252)</f>
        <v>2.726877666350338</v>
      </c>
      <c r="T252" s="254" cm="1">
        <f t="array" ref="T252">SUMPRODUCT(--($AS$5:$AS$220=F252),$T$5:$T$220,$J$5:$J$220)/SUMIFS($J$5:$J$220,$AS$5:$AS$220,F252)</f>
        <v>9.897676399881572</v>
      </c>
      <c r="U252" s="254" cm="1">
        <f t="array" ref="U252">SUMPRODUCT(--($AS$5:$AS$220=F252),$U$5:$U$220,$J$5:$J$220)/SUMIFS($J$5:$J$220,$AS$5:$AS$220,F252)</f>
        <v>12.512928569596554</v>
      </c>
      <c r="V252" s="254" cm="1">
        <f t="array" ref="V252">SUMPRODUCT(--($AS$5:$AS$220=F252),--($AR$5:$AR$220=$B$330),$V$5:$V$220,$J$5:$J$220)/SUMIFS($J$5:$J$220,$AS$5:$AS$220,F252,$AR$5:$AR$220,$B$330)</f>
        <v>3.4504896786300727</v>
      </c>
      <c r="W252" s="254" cm="1">
        <f t="array" ref="W252">SUMPRODUCT(--($AS$5:$AS$220=F252),--($AR$5:$AR$220=$B$330),$W$5:$W$220,$J$5:$J$220)/SUMIFS($J$5:$J$220,$AS$5:$AS$220,F252,$AR$5:$AR$220,$B$330)</f>
        <v>6.8008796622097112</v>
      </c>
      <c r="X252" s="256" cm="1">
        <f t="array" ref="X252">IFERROR((IFERROR(SUMPRODUCT(--($AS$5:$AS$220=F252),--($N$5:$N$220&gt;0),$J$5:$J$220,$Q$5:$Q$220)/SUMIFS($J$5:$J$220,$AS$5:$AS$220,F252,$N$5:$N$220,"&gt;0"),""))/N252-1,"NA")</f>
        <v>0.28896994132980458</v>
      </c>
      <c r="Y252" s="256"/>
      <c r="Z252" s="257">
        <f t="shared" si="188"/>
        <v>0.1366508942140312</v>
      </c>
      <c r="AA252" s="254"/>
      <c r="AB252" s="254"/>
      <c r="AD252" s="258">
        <f t="shared" si="189"/>
        <v>24985748</v>
      </c>
      <c r="AG252" s="254"/>
      <c r="AH252" s="254"/>
    </row>
    <row r="253" spans="1:47" outlineLevel="2">
      <c r="B253" s="251"/>
      <c r="C253" s="251"/>
      <c r="D253" s="251"/>
      <c r="E253" s="251"/>
      <c r="F253" s="251" t="s">
        <v>22</v>
      </c>
      <c r="H253" s="184">
        <f t="shared" si="186"/>
        <v>20</v>
      </c>
      <c r="I253" s="276" cm="1">
        <f t="array" ref="I253">IFERROR(SUMPRODUCT(--($AS$5:$AS$220=F253),$J$5:$J$220,$I$5:$I$220)/SUMIFS($J$5:$J$220,$AS$5:$AS$220,F253),"")/12</f>
        <v>5.3982513516021022</v>
      </c>
      <c r="J253" s="253">
        <f t="shared" si="187"/>
        <v>395210</v>
      </c>
      <c r="K253" s="253"/>
      <c r="L253" s="253"/>
      <c r="M253" s="253"/>
      <c r="N253" s="254" cm="1">
        <f t="array" ref="N253">IFERROR(SUMPRODUCT(--($AS$5:$AS$220=F253),$J$5:$J$220,$N$5:$N$220)/SUMIFS($J$5:$J$220,$AS$5:$AS$220,F253,$N$5:$N$220,"&gt;0"),"NA")</f>
        <v>6.6979619883838248</v>
      </c>
      <c r="O253" s="254" cm="1">
        <f t="array" ref="O253">IFERROR(SUMPRODUCT(--($AS$5:$AS$220=F253),$J$5:$J$220,$O$5:$O$220)/SUMIFS($J$5:$J$220,$AS$5:$AS$220,F253),"")</f>
        <v>8.6207669618683749</v>
      </c>
      <c r="P253" s="255" cm="1">
        <f t="array" ref="P253">IFERROR(SUMPRODUCT(--($AS$5:$AS$220=F253),$J$5:$J$220,$P$5:$P$220)/SUMIFS($J$5:$J$220,$AS$5:$AS$220,F253,$P$5:$P$220,"&gt;0"),"")</f>
        <v>8.970810834746084</v>
      </c>
      <c r="Q253" s="254" cm="1">
        <f t="array" ref="Q253">IFERROR(SUMPRODUCT(--($AS$5:$AS$220=F253),$J$5:$J$220,$Q$5:$Q$220)/SUMIFS($J$5:$J$220,$AS$5:$AS$220,F253),"")</f>
        <v>9.473778396295641</v>
      </c>
      <c r="R253" s="254" cm="1">
        <f t="array" ref="R253">SUMPRODUCT(--($AS$5:$AS$220=F253),--($I$5:$I$220&gt;12),$R$5:$R$220,$J$5:$J$220)/SUMIFS($J$5:$J$220,$I$5:$I$220,"&gt;12",$AS$5:$AS$220,F253)</f>
        <v>3.4462140381063233</v>
      </c>
      <c r="S253" s="254" cm="1">
        <f t="array" ref="S253">SUMPRODUCT(--($AS$5:$AS$220=F253),--($I$5:$I$220&gt;12),$S$5:$S$220,$J$5:$J$220)/SUMIFS($J$5:$J$220,$I$5:$I$220,"&gt;12",$AS$5:$AS$220,F253)</f>
        <v>2.759546823207915</v>
      </c>
      <c r="T253" s="254" cm="1">
        <f t="array" ref="T253">SUMPRODUCT(--($AS$5:$AS$220=F253),$T$5:$T$220,$J$5:$J$220)/SUMIFS($J$5:$J$220,$AS$5:$AS$220,F253)</f>
        <v>7.460524295790032</v>
      </c>
      <c r="U253" s="254" cm="1">
        <f t="array" ref="U253">SUMPRODUCT(--($AS$5:$AS$220=F253),$U$5:$U$220,$J$5:$J$220)/SUMIFS($J$5:$J$220,$AS$5:$AS$220,F253)</f>
        <v>16.790458110877761</v>
      </c>
      <c r="V253" s="254" cm="1">
        <f t="array" ref="V253">SUMPRODUCT(--($AS$5:$AS$220=F253),--($AR$5:$AR$220=$B$330),$V$5:$V$220,$J$5:$J$220)/SUMIFS($J$5:$J$220,$AS$5:$AS$220,F253,$AR$5:$AR$220,$B$330)</f>
        <v>9.2913695268767729</v>
      </c>
      <c r="W253" s="254" cm="1">
        <f t="array" ref="W253">SUMPRODUCT(--($AS$5:$AS$220=F253),--($AR$5:$AR$220=$B$330),$W$5:$W$220,$J$5:$J$220)/SUMIFS($J$5:$J$220,$AS$5:$AS$220,F253,$AR$5:$AR$220,$B$330)</f>
        <v>8.1180555555555554</v>
      </c>
      <c r="X253" s="256" cm="1">
        <f t="array" ref="X253">IFERROR((IFERROR(SUMPRODUCT(--($AS$5:$AS$220=F253),--($N$5:$N$220&gt;0),$J$5:$J$220,$Q$5:$Q$220)/SUMIFS($J$5:$J$220,$AS$5:$AS$220,F253,$N$5:$N$220,"&gt;0"),""))/N253-1,"NA")</f>
        <v>0.24405613489904243</v>
      </c>
      <c r="Y253" s="256"/>
      <c r="Z253" s="257">
        <f t="shared" si="188"/>
        <v>9.8948439065843052E-2</v>
      </c>
      <c r="AA253" s="254"/>
      <c r="AB253" s="254"/>
      <c r="AD253" s="258">
        <f t="shared" si="189"/>
        <v>28360635.84</v>
      </c>
      <c r="AG253" s="254"/>
      <c r="AH253" s="254"/>
    </row>
    <row r="254" spans="1:47" outlineLevel="2">
      <c r="B254" s="251"/>
      <c r="C254" s="251"/>
      <c r="D254" s="251"/>
      <c r="E254" s="251"/>
      <c r="F254" s="251" t="s">
        <v>23</v>
      </c>
      <c r="H254" s="184">
        <f t="shared" si="186"/>
        <v>17</v>
      </c>
      <c r="I254" s="276" cm="1">
        <f t="array" ref="I254">IFERROR(SUMPRODUCT(--($AS$5:$AS$220=F254),$J$5:$J$220,$I$5:$I$220)/SUMIFS($J$5:$J$220,$AS$5:$AS$220,F254),"")/12</f>
        <v>4.8287163054863118</v>
      </c>
      <c r="J254" s="253">
        <f t="shared" si="187"/>
        <v>314109</v>
      </c>
      <c r="K254" s="253"/>
      <c r="L254" s="253"/>
      <c r="M254" s="253"/>
      <c r="N254" s="254" cm="1">
        <f t="array" ref="N254">IFERROR(SUMPRODUCT(--($AS$5:$AS$220=F254),$J$5:$J$220,$N$5:$N$220)/SUMIFS($J$5:$J$220,$AS$5:$AS$220,F254,$N$5:$N$220,"&gt;0"),"NA")</f>
        <v>8.5877238589111702</v>
      </c>
      <c r="O254" s="254" cm="1">
        <f t="array" ref="O254">IFERROR(SUMPRODUCT(--($AS$5:$AS$220=F254),$J$5:$J$220,$O$5:$O$220)/SUMIFS($J$5:$J$220,$AS$5:$AS$220,F254),"")</f>
        <v>9.3781436698725624</v>
      </c>
      <c r="P254" s="255" cm="1">
        <f t="array" ref="P254">IFERROR(SUMPRODUCT(--($AS$5:$AS$220=F254),$J$5:$J$220,$P$5:$P$220)/SUMIFS($J$5:$J$220,$AS$5:$AS$220,F254,$P$5:$P$220,"&gt;0"),"")</f>
        <v>10.28005911960498</v>
      </c>
      <c r="Q254" s="254" cm="1">
        <f t="array" ref="Q254">IFERROR(SUMPRODUCT(--($AS$5:$AS$220=F254),$J$5:$J$220,$Q$5:$Q$220)/SUMIFS($J$5:$J$220,$AS$5:$AS$220,F254),"")</f>
        <v>10.686276738329688</v>
      </c>
      <c r="R254" s="254" cm="1">
        <f t="array" ref="R254">SUMPRODUCT(--($AS$5:$AS$220=F254),--($I$5:$I$220&gt;12),$R$5:$R$220,$J$5:$J$220)/SUMIFS($J$5:$J$220,$I$5:$I$220,"&gt;12",$AS$5:$AS$220,F254)</f>
        <v>3.7631697913781523</v>
      </c>
      <c r="S254" s="254" cm="1">
        <f t="array" ref="S254">SUMPRODUCT(--($AS$5:$AS$220=F254),--($I$5:$I$220&gt;12),$S$5:$S$220,$J$5:$J$220)/SUMIFS($J$5:$J$220,$I$5:$I$220,"&gt;12",$AS$5:$AS$220,F254)</f>
        <v>3.2594783976263018</v>
      </c>
      <c r="T254" s="254" cm="1">
        <f t="array" ref="T254">SUMPRODUCT(--($AS$5:$AS$220=F254),$T$5:$T$220,$J$5:$J$220)/SUMIFS($J$5:$J$220,$AS$5:$AS$220,F254)</f>
        <v>8.5738019890142834</v>
      </c>
      <c r="U254" s="254" cm="1">
        <f t="array" ref="U254">SUMPRODUCT(--($AS$5:$AS$220=F254),$U$5:$U$220,$J$5:$J$220)/SUMIFS($J$5:$J$220,$AS$5:$AS$220,F254)</f>
        <v>0</v>
      </c>
      <c r="V254" s="254" cm="1">
        <f t="array" ref="V254">SUMPRODUCT(--($AS$5:$AS$220=F254),--($AR$5:$AR$220=$B$330),$V$5:$V$220,$J$5:$J$220)/SUMIFS($J$5:$J$220,$AS$5:$AS$220,F254,$AR$5:$AR$220,$B$330)</f>
        <v>3.7623622729604018</v>
      </c>
      <c r="W254" s="254" cm="1">
        <f t="array" ref="W254">SUMPRODUCT(--($AS$5:$AS$220=F254),--($AR$5:$AR$220=$B$330),$W$5:$W$220,$J$5:$J$220)/SUMIFS($J$5:$J$220,$AS$5:$AS$220,F254,$AR$5:$AR$220,$B$330)</f>
        <v>5.414489857276763</v>
      </c>
      <c r="X254" s="256" cm="1">
        <f t="array" ref="X254">IFERROR((IFERROR(SUMPRODUCT(--($AS$5:$AS$220=F254),--($N$5:$N$220&gt;0),$J$5:$J$220,$Q$5:$Q$220)/SUMIFS($J$5:$J$220,$AS$5:$AS$220,F254,$N$5:$N$220,"&gt;0"),""))/N254-1,"NA")</f>
        <v>0.24405293727379873</v>
      </c>
      <c r="Y254" s="256"/>
      <c r="Z254" s="257">
        <f t="shared" si="188"/>
        <v>0.13948742037931505</v>
      </c>
      <c r="AA254" s="254"/>
      <c r="AB254" s="254"/>
      <c r="AD254" s="258">
        <f t="shared" si="189"/>
        <v>19676142.890000001</v>
      </c>
      <c r="AG254" s="254"/>
      <c r="AH254" s="254"/>
    </row>
    <row r="255" spans="1:47" outlineLevel="2">
      <c r="B255" s="251"/>
      <c r="C255" s="251"/>
      <c r="D255" s="251"/>
      <c r="E255" s="251"/>
      <c r="F255" s="251" t="s">
        <v>24</v>
      </c>
      <c r="H255" s="184">
        <f t="shared" si="186"/>
        <v>19</v>
      </c>
      <c r="I255" s="276" cm="1">
        <f t="array" ref="I255">IFERROR(SUMPRODUCT(--($AS$5:$AS$220=F255),$J$5:$J$220,$I$5:$I$220)/SUMIFS($J$5:$J$220,$AS$5:$AS$220,F255),"")/12</f>
        <v>4.8986374480263235</v>
      </c>
      <c r="J255" s="253">
        <f t="shared" si="187"/>
        <v>573287</v>
      </c>
      <c r="K255" s="253"/>
      <c r="L255" s="253"/>
      <c r="M255" s="253"/>
      <c r="N255" s="254" cm="1">
        <f t="array" ref="N255">IFERROR(SUMPRODUCT(--($AS$5:$AS$220=F255),$J$5:$J$220,$N$5:$N$220)/SUMIFS($J$5:$J$220,$AS$5:$AS$220,F255,$N$5:$N$220,"&gt;0"),"NA")</f>
        <v>7.8843548693760708</v>
      </c>
      <c r="O255" s="254" cm="1">
        <f t="array" ref="O255">IFERROR(SUMPRODUCT(--($AS$5:$AS$220=F255),$J$5:$J$220,$O$5:$O$220)/SUMIFS($J$5:$J$220,$AS$5:$AS$220,F255),"")</f>
        <v>10.087479953321811</v>
      </c>
      <c r="P255" s="255" cm="1">
        <f t="array" ref="P255">IFERROR(SUMPRODUCT(--($AS$5:$AS$220=F255),$J$5:$J$220,$P$5:$P$220)/SUMIFS($J$5:$J$220,$AS$5:$AS$220,F255,$P$5:$P$220,"&gt;0"),"")</f>
        <v>10.551346934432493</v>
      </c>
      <c r="Q255" s="254" cm="1">
        <f t="array" ref="Q255">IFERROR(SUMPRODUCT(--($AS$5:$AS$220=F255),$J$5:$J$220,$Q$5:$Q$220)/SUMIFS($J$5:$J$220,$AS$5:$AS$220,F255),"")</f>
        <v>11.193829949048208</v>
      </c>
      <c r="R255" s="254" cm="1">
        <f t="array" ref="R255">SUMPRODUCT(--($AS$5:$AS$220=F255),--($I$5:$I$220&gt;12),$R$5:$R$220,$J$5:$J$220)/SUMIFS($J$5:$J$220,$I$5:$I$220,"&gt;12",$AS$5:$AS$220,F255)</f>
        <v>3.4952986026196302</v>
      </c>
      <c r="S255" s="254" cm="1">
        <f t="array" ref="S255">SUMPRODUCT(--($AS$5:$AS$220=F255),--($I$5:$I$220&gt;12),$S$5:$S$220,$J$5:$J$220)/SUMIFS($J$5:$J$220,$I$5:$I$220,"&gt;12",$AS$5:$AS$220,F255)</f>
        <v>2.8592578237427326</v>
      </c>
      <c r="T255" s="254" cm="1">
        <f t="array" ref="T255">SUMPRODUCT(--($AS$5:$AS$220=F255),$T$5:$T$220,$J$5:$J$220)/SUMIFS($J$5:$J$220,$AS$5:$AS$220,F255)</f>
        <v>7.3188429313360013</v>
      </c>
      <c r="U255" s="254" cm="1">
        <f t="array" ref="U255">SUMPRODUCT(--($AS$5:$AS$220=F255),$U$5:$U$220,$J$5:$J$220)/SUMIFS($J$5:$J$220,$AS$5:$AS$220,F255)</f>
        <v>0</v>
      </c>
      <c r="V255" s="254" cm="1">
        <f t="array" ref="V255">SUMPRODUCT(--($AS$5:$AS$220=F255),--($AR$5:$AR$220=$B$330),$V$5:$V$220,$J$5:$J$220)/SUMIFS($J$5:$J$220,$AS$5:$AS$220,F255,$AR$5:$AR$220,$B$330)</f>
        <v>5.1360411543571045</v>
      </c>
      <c r="W255" s="254" cm="1">
        <f t="array" ref="W255">SUMPRODUCT(--($AS$5:$AS$220=F255),--($AR$5:$AR$220=$B$330),$W$5:$W$220,$J$5:$J$220)/SUMIFS($J$5:$J$220,$AS$5:$AS$220,F255,$AR$5:$AR$220,$B$330)</f>
        <v>4.7378727493710961</v>
      </c>
      <c r="X255" s="256" cm="1">
        <f t="array" ref="X255">IFERROR((IFERROR(SUMPRODUCT(--($AS$5:$AS$220=F255),--($N$5:$N$220&gt;0),$J$5:$J$220,$Q$5:$Q$220)/SUMIFS($J$5:$J$220,$AS$5:$AS$220,F255,$N$5:$N$220,"&gt;0"),""))/N255-1,"NA")</f>
        <v>0.41975217180122093</v>
      </c>
      <c r="Y255" s="256"/>
      <c r="Z255" s="257">
        <f t="shared" si="188"/>
        <v>0.10967555830057196</v>
      </c>
      <c r="AA255" s="254"/>
      <c r="AB255" s="254"/>
      <c r="AD255" s="258">
        <f t="shared" si="189"/>
        <v>33945472.369999997</v>
      </c>
      <c r="AG255" s="254"/>
      <c r="AH255" s="254"/>
    </row>
    <row r="256" spans="1:47" outlineLevel="2">
      <c r="B256" s="251"/>
      <c r="C256" s="251"/>
      <c r="D256" s="251"/>
      <c r="E256" s="251"/>
      <c r="F256" s="251" t="s">
        <v>25</v>
      </c>
      <c r="H256" s="184">
        <v>9</v>
      </c>
      <c r="I256" s="276">
        <v>4.0094971110497299</v>
      </c>
      <c r="J256" s="253">
        <v>206361</v>
      </c>
      <c r="K256" s="253"/>
      <c r="L256" s="253"/>
      <c r="M256" s="253"/>
      <c r="N256" s="254">
        <v>6.4463608433764135</v>
      </c>
      <c r="O256" s="254">
        <v>8.8452359215161778</v>
      </c>
      <c r="P256" s="255">
        <v>7.7477336318393499</v>
      </c>
      <c r="Q256" s="254">
        <v>8.6309314744549592</v>
      </c>
      <c r="R256" s="254">
        <v>4.0710721502609504</v>
      </c>
      <c r="S256" s="254">
        <v>3.1547385407126347</v>
      </c>
      <c r="T256" s="254">
        <v>0.82000160784628995</v>
      </c>
      <c r="U256" s="254">
        <v>5.6400032156925795</v>
      </c>
      <c r="V256" s="256">
        <v>0.33888432313297745</v>
      </c>
      <c r="W256" s="254" cm="1">
        <f t="array" ref="W256">SUMPRODUCT(--($AS$5:$AS$220=F256),--($AR$5:$AR$220=$B$330),$W$5:$W$220,$J$5:$J$220)/SUMIFS($J$5:$J$220,$AS$5:$AS$220,F256,$AR$5:$AR$220,$B$330)</f>
        <v>5.6400032156925795</v>
      </c>
      <c r="X256" s="256" cm="1">
        <f t="array" ref="X256">IFERROR((IFERROR(SUMPRODUCT(--($AS$5:$AS$220=F256),--($N$5:$N$220&gt;0),$J$5:$J$220,$Q$5:$Q$220)/SUMIFS($J$5:$J$220,$AS$5:$AS$220,F256,$N$5:$N$220,"&gt;0"),""))/N256-1,"NA")</f>
        <v>0.33888432313297745</v>
      </c>
      <c r="Y256" s="256"/>
      <c r="Z256" s="257">
        <f t="shared" ref="Z256" si="190">IFERROR(Q256/O256-1,"NA")</f>
        <v>-2.4228234154831219E-2</v>
      </c>
      <c r="AA256" s="254"/>
      <c r="AB256" s="254"/>
      <c r="AD256" s="258"/>
      <c r="AG256" s="254"/>
      <c r="AH256" s="254"/>
    </row>
    <row r="257" spans="1:47" outlineLevel="2">
      <c r="B257" s="251"/>
      <c r="C257" s="251"/>
      <c r="D257" s="251"/>
      <c r="E257" s="251"/>
      <c r="F257" s="251" t="s">
        <v>26</v>
      </c>
      <c r="H257" s="184">
        <f t="shared" si="186"/>
        <v>17</v>
      </c>
      <c r="I257" s="276" cm="1">
        <f t="array" ref="I257">IFERROR(SUMPRODUCT(--($AS$5:$AS$220=F257),$J$5:$J$220,$I$5:$I$220)/SUMIFS($J$5:$J$220,$AS$5:$AS$220,F257),"")/12</f>
        <v>3.7875374891774896</v>
      </c>
      <c r="J257" s="253">
        <f t="shared" si="187"/>
        <v>481250</v>
      </c>
      <c r="K257" s="253"/>
      <c r="L257" s="253"/>
      <c r="M257" s="253"/>
      <c r="N257" s="254" cm="1">
        <f t="array" ref="N257">IFERROR(SUMPRODUCT(--($AS$5:$AS$220=F257),$J$5:$J$220,$N$5:$N$220)/SUMIFS($J$5:$J$220,$AS$5:$AS$220,F257,$N$5:$N$220,"&gt;0"),"NA")</f>
        <v>5.6211449744285558</v>
      </c>
      <c r="O257" s="254" cm="1">
        <f t="array" ref="O257">IFERROR(SUMPRODUCT(--($AS$5:$AS$220=F257),$J$5:$J$220,$O$5:$O$220)/SUMIFS($J$5:$J$220,$AS$5:$AS$220,F257),"")</f>
        <v>7.0122113662337666</v>
      </c>
      <c r="P257" s="255" cm="1">
        <f t="array" ref="P257">IFERROR(SUMPRODUCT(--($AS$5:$AS$220=F257),$J$5:$J$220,$P$5:$P$220)/SUMIFS($J$5:$J$220,$AS$5:$AS$220,F257,$P$5:$P$220,"&gt;0"),"")</f>
        <v>8.0986800831168839</v>
      </c>
      <c r="Q257" s="254" cm="1">
        <f t="array" ref="Q257">IFERROR(SUMPRODUCT(--($AS$5:$AS$220=F257),$J$5:$J$220,$Q$5:$Q$220)/SUMIFS($J$5:$J$220,$AS$5:$AS$220,F257),"")</f>
        <v>8.1329411740259747</v>
      </c>
      <c r="R257" s="254" cm="1">
        <f t="array" ref="R257">SUMPRODUCT(--($AS$5:$AS$220=F257),--($I$5:$I$220&gt;12),$R$5:$R$220,$J$5:$J$220)/SUMIFS($J$5:$J$220,$I$5:$I$220,"&gt;12",$AS$5:$AS$220,F257)</f>
        <v>3.7711075324675325</v>
      </c>
      <c r="S257" s="254" cm="1">
        <f t="array" ref="S257">SUMPRODUCT(--($AS$5:$AS$220=F257),--($I$5:$I$220&gt;12),$S$5:$S$220,$J$5:$J$220)/SUMIFS($J$5:$J$220,$I$5:$I$220,"&gt;12",$AS$5:$AS$220,F257)</f>
        <v>3.2553641558441559</v>
      </c>
      <c r="T257" s="254" cm="1">
        <f t="array" ref="T257">SUMPRODUCT(--($AS$5:$AS$220=F257),$T$5:$T$220,$J$5:$J$220)/SUMIFS($J$5:$J$220,$AS$5:$AS$220,F257)</f>
        <v>0</v>
      </c>
      <c r="U257" s="254" cm="1">
        <f t="array" ref="U257">SUMPRODUCT(--($AS$5:$AS$220=F257),$U$5:$U$220,$J$5:$J$220)/SUMIFS($J$5:$J$220,$AS$5:$AS$220,F257)</f>
        <v>0</v>
      </c>
      <c r="V257" s="254" cm="1">
        <f t="array" ref="V257">SUMPRODUCT(--($AS$5:$AS$220=F257),--($AR$5:$AR$220=$B$330),$V$5:$V$220,$J$5:$J$220)/SUMIFS($J$5:$J$220,$AS$5:$AS$220,F257,$AR$5:$AR$220,$B$330)</f>
        <v>11.925131451790865</v>
      </c>
      <c r="W257" s="254" cm="1">
        <f t="array" ref="W257">SUMPRODUCT(--($AS$5:$AS$220=F257),--($AR$5:$AR$220=$B$330),$W$5:$W$220,$J$5:$J$220)/SUMIFS($J$5:$J$220,$AS$5:$AS$220,F257,$AR$5:$AR$220,$B$330)</f>
        <v>7.5598666839145618</v>
      </c>
      <c r="X257" s="256" cm="1">
        <f t="array" ref="X257">IFERROR((IFERROR(SUMPRODUCT(--($AS$5:$AS$220=F257),--($N$5:$N$220&gt;0),$J$5:$J$220,$Q$5:$Q$220)/SUMIFS($J$5:$J$220,$AS$5:$AS$220,F257,$N$5:$N$220,"&gt;0"),""))/N257-1,"NA")</f>
        <v>0.41734626563404853</v>
      </c>
      <c r="Y257" s="256"/>
      <c r="Z257" s="257">
        <f t="shared" si="188"/>
        <v>0.15982544581997504</v>
      </c>
      <c r="AA257" s="254"/>
      <c r="AB257" s="254"/>
      <c r="AD257" s="258">
        <f t="shared" si="189"/>
        <v>14922088.809999999</v>
      </c>
      <c r="AG257" s="254"/>
      <c r="AH257" s="254"/>
    </row>
    <row r="258" spans="1:47" ht="14.45" outlineLevel="2" thickBot="1">
      <c r="B258" s="260"/>
      <c r="C258" s="260"/>
      <c r="D258" s="260"/>
      <c r="E258" s="260"/>
      <c r="F258" s="261" t="s">
        <v>27</v>
      </c>
      <c r="G258" s="262"/>
      <c r="H258" s="262">
        <f>SUM(H243:H257)</f>
        <v>216</v>
      </c>
      <c r="I258" s="277">
        <f>IFERROR(SUMPRODUCT($J$5:$J$220,$I$5:$I$220)/SUM($J$5:$J$220),"")/12</f>
        <v>4.9976235942239606</v>
      </c>
      <c r="J258" s="264">
        <f>SUM(J243:J257)</f>
        <v>6154252</v>
      </c>
      <c r="K258" s="264"/>
      <c r="L258" s="264"/>
      <c r="M258" s="264"/>
      <c r="N258" s="263">
        <f>IFERROR(SUMPRODUCT($J$5:$J$220,$N$5:$N$220)/SUMIFS($J$5:$J$220,$N$5:$N$220,"&gt;0"),"")</f>
        <v>5.821168376124767</v>
      </c>
      <c r="O258" s="263">
        <f>IFERROR(SUMPRODUCT($J$5:$J$220,$O$5:$O$220)/SUM($J$5:$J$220),"")</f>
        <v>7.0706237364020801</v>
      </c>
      <c r="P258" s="265">
        <f>IFERROR(SUMPRODUCT($J$5:$J$220,$P$5:$P$220)/SUMIFS($J$5:$J$220,$P$5:$P$220,"&gt;0"),"")</f>
        <v>8.0118438920358805</v>
      </c>
      <c r="Q258" s="263">
        <f>IFERROR(SUMPRODUCT($J$5:$J$220,$Q$5:$Q$220)/SUM($J$5:$J$220),"")</f>
        <v>7.9379219292612655</v>
      </c>
      <c r="R258" s="263" cm="1">
        <f t="array" ref="R258">SUMPRODUCT(--($I$5:$I$220&gt;12),$R$5:$R$220,$J$5:$J$220)/SUMIF($I$5:$I$220,"&gt;12",$J$5:$J$220)</f>
        <v>3.5521791389107888</v>
      </c>
      <c r="S258" s="263" cm="1">
        <f t="array" ref="S258">SUMPRODUCT(--($I$5:$I$220&gt;12),$S$5:$S$220,$J$5:$J$220)/SUMIF($I$5:$I$220,"&gt;12",$J$5:$J$220)</f>
        <v>2.9218664656565898</v>
      </c>
      <c r="T258" s="263">
        <f>SUMPRODUCT($T$5:$T$220,$J$5:$J$220)/SUM($J$5:$J$220)</f>
        <v>8.6441339198040339</v>
      </c>
      <c r="U258" s="263">
        <f>SUMPRODUCT($U$5:$U$220,$J$5:$J$220)/SUM($J$5:$J$220)</f>
        <v>11.948803085574012</v>
      </c>
      <c r="V258" s="263" cm="1">
        <f t="array" ref="V258">SUMPRODUCT(--($AR$5:$AR$220=$B$330),$V$5:$V$220,$J$5:$J$220)/SUMIF($AR$5:$AR$220,$B$330,$J$5:$J$220)</f>
        <v>4.1293329222965376</v>
      </c>
      <c r="W258" s="263" cm="1">
        <f t="array" ref="W258">SUMPRODUCT(--($AR$5:$AR$220=$B$330),$W$5:$W$220,$J$5:$J$220)/SUMIF($AR$5:$AR$220,$B$330,$J$5:$J$220)</f>
        <v>6.1327876190499078</v>
      </c>
      <c r="X258" s="266" cm="1">
        <f t="array" ref="X258">(IFERROR(SUMPRODUCT(--($N$5:$N$220&gt;0),$J$5:$J$220,$Q$5:$Q$220)/SUMIFS($J$5:$J$220,$N$5:$N$220,"&gt;0"),""))/N258-1</f>
        <v>0.34837248332454496</v>
      </c>
      <c r="Y258" s="266"/>
      <c r="Z258" s="267">
        <f t="shared" si="188"/>
        <v>0.1226621900970386</v>
      </c>
      <c r="AA258" s="254"/>
      <c r="AB258" s="254"/>
      <c r="AD258" s="268">
        <f>SUM(AD243:AD257)</f>
        <v>271049936.13999999</v>
      </c>
      <c r="AG258" s="269">
        <f>IFERROR(SUMPRODUCT($J$5:$J$220,$AG$5:$AG$220)/SUM($J$5:$J$220),"")</f>
        <v>3.9908030470421911</v>
      </c>
      <c r="AH258" s="269">
        <f>IFERROR(SUMPRODUCT($J$5:$J$220,$AH$5:$AH$220)/SUM($J$5:$J$220),"")</f>
        <v>3.4828638315500502</v>
      </c>
    </row>
    <row r="259" spans="1:47" ht="14.45" thickBot="1">
      <c r="A259" s="278"/>
      <c r="N259" s="222"/>
      <c r="O259" s="222"/>
      <c r="P259" s="222"/>
      <c r="Q259" s="222"/>
      <c r="T259" s="222"/>
      <c r="U259" s="222"/>
    </row>
    <row r="260" spans="1:47" s="246" customFormat="1" outlineLevel="2">
      <c r="A260" s="239"/>
      <c r="B260" s="240" t="s">
        <v>729</v>
      </c>
      <c r="C260" s="240"/>
      <c r="D260" s="240"/>
      <c r="E260" s="240"/>
      <c r="F260" s="240" t="s">
        <v>123</v>
      </c>
      <c r="G260" s="364"/>
      <c r="H260" s="241" t="s">
        <v>730</v>
      </c>
      <c r="I260" s="242" t="s">
        <v>731</v>
      </c>
      <c r="J260" s="243" t="s">
        <v>732</v>
      </c>
      <c r="K260" s="243"/>
      <c r="L260" s="243"/>
      <c r="M260" s="243"/>
      <c r="N260" s="243" t="s">
        <v>94</v>
      </c>
      <c r="O260" s="243" t="s">
        <v>95</v>
      </c>
      <c r="P260" s="244" t="s">
        <v>58</v>
      </c>
      <c r="Q260" s="243" t="s">
        <v>733</v>
      </c>
      <c r="R260" s="243" t="s">
        <v>734</v>
      </c>
      <c r="S260" s="243" t="s">
        <v>735</v>
      </c>
      <c r="T260" s="243" t="s">
        <v>736</v>
      </c>
      <c r="U260" s="243" t="s">
        <v>737</v>
      </c>
      <c r="V260" s="243" t="s">
        <v>64</v>
      </c>
      <c r="W260" s="243" t="s">
        <v>738</v>
      </c>
      <c r="X260" s="243" t="s">
        <v>739</v>
      </c>
      <c r="Y260" s="243"/>
      <c r="Z260" s="245" t="s">
        <v>740</v>
      </c>
      <c r="AD260" s="247" t="s">
        <v>108</v>
      </c>
      <c r="AG260" s="248" t="s">
        <v>741</v>
      </c>
      <c r="AH260" s="248" t="s">
        <v>742</v>
      </c>
      <c r="AS260" s="249"/>
      <c r="AT260" s="249"/>
      <c r="AU260" s="250"/>
    </row>
    <row r="261" spans="1:47" outlineLevel="2">
      <c r="A261" s="239"/>
      <c r="B261" s="251" t="s">
        <v>743</v>
      </c>
      <c r="C261" s="251"/>
      <c r="D261" s="251"/>
      <c r="E261" s="251"/>
      <c r="F261" s="251" t="s">
        <v>748</v>
      </c>
      <c r="H261" s="184">
        <f t="shared" ref="H261:H268" si="191">COUNTIF($AT$5:$AT$220,F261)</f>
        <v>2</v>
      </c>
      <c r="I261" s="276" cm="1">
        <f t="array" ref="I261">IFERROR(SUMPRODUCT(--($AT$5:$AT$220=F261),$J$5:$J$220,$I$5:$I$220)/SUMIFS($J$5:$J$220,$AT$5:$AT$220,F261),"")/12</f>
        <v>3.6933317108529189</v>
      </c>
      <c r="J261" s="253">
        <f t="shared" ref="J261:J268" si="192">SUMIF($AT$5:$AT$220,F261,$J$5:$J$220)</f>
        <v>158194</v>
      </c>
      <c r="K261" s="253"/>
      <c r="L261" s="253"/>
      <c r="M261" s="253"/>
      <c r="N261" s="254" t="str" cm="1">
        <f t="array" ref="N261">IFERROR(SUMPRODUCT(--($AT$5:$AT$220=F261),$J$5:$J$220,$N$5:$N$220)/SUMIFS($J$5:$J$220,$AT$5:$AT$220,F261,$N$5:$N$220,"&gt;0"),"NA")</f>
        <v>NA</v>
      </c>
      <c r="O261" s="254" cm="1">
        <f t="array" ref="O261">IFERROR(SUMPRODUCT(--($AT$5:$AT$220=F261),$J$5:$J$220,$O$5:$O$220)/SUMIFS($J$5:$J$220,$AT$5:$AT$220,F261),"")</f>
        <v>3.1755550147287508</v>
      </c>
      <c r="P261" s="255" t="str" cm="1">
        <f t="array" ref="P261">IFERROR(SUMPRODUCT(--($AT$5:$AT$220=F261),$J$5:$J$220,$P$5:$P$220)/SUMIFS($J$5:$J$220,$AT$5:$AT$220,F261,$P$5:$P$220,"&gt;0"),"")</f>
        <v/>
      </c>
      <c r="Q261" s="254" cm="1">
        <f t="array" ref="Q261">IFERROR(SUMPRODUCT(--($AT$5:$AT$220=F261),$J$5:$J$220,$Q$5:$Q$220)/SUMIFS($J$5:$J$220,$AT$5:$AT$220,F261),"")</f>
        <v>3.3202220058915</v>
      </c>
      <c r="R261" s="254" cm="1">
        <f t="array" ref="R261">SUMPRODUCT(--($AT$5:$AT$220=F261),--($I$5:$I$220&gt;12),$R$5:$R$220,$J$5:$J$220)/SUMIFS($J$5:$J$220,$I$5:$I$220,"&gt;12",$AT$5:$AT$220,F261)</f>
        <v>3.7639961060470055</v>
      </c>
      <c r="S261" s="254" cm="1">
        <f t="array" ref="S261">SUMPRODUCT(--($AT$5:$AT$220=F261),--($I$5:$I$220&gt;12),$S$5:$S$220,$J$5:$J$220)/SUMIFS($J$5:$J$220,$I$5:$I$220,"&gt;12",$AT$5:$AT$220,F261)</f>
        <v>3.7022200589150032</v>
      </c>
      <c r="T261" s="254" cm="1">
        <f t="array" ref="T261">SUMPRODUCT(--($AT$5:$AT$220=F261),$T$5:$T$220,$J$5:$J$220)/SUMIFS($J$5:$J$220,$AT$5:$AT$220,F261)</f>
        <v>18.078541642298806</v>
      </c>
      <c r="U261" s="254" cm="1">
        <f t="array" ref="U261">SUMPRODUCT(--($AT$5:$AT$220=F261),$U$5:$U$220,$J$5:$J$220)/SUMIFS($J$5:$J$220,$AT$5:$AT$220,F261)</f>
        <v>13.262287823811269</v>
      </c>
      <c r="V261" s="254" cm="1">
        <f t="array" ref="V261">SUMPRODUCT(--($AT$5:$AT$220=F261),--($AR$5:$AR$220=$B$330),$V$5:$V$220,$J$5:$J$220)/SUMIFS($J$5:$J$220,$AT$5:$AT$220,F261,$AR$5:$AR$220,$B$330)</f>
        <v>0</v>
      </c>
      <c r="W261" s="254" cm="1">
        <f t="array" ref="W261">SUMPRODUCT(--($AT$5:$AT$220=F261),--($AR$5:$AR$220=$B$330),$W$5:$W$220,$J$5:$J$220)/SUMIFS($J$5:$J$220,$AT$5:$AT$220,F261,$AR$5:$AR$220,$B$330)</f>
        <v>5.9833398232549904</v>
      </c>
      <c r="X261" s="256" t="str" cm="1">
        <f t="array" ref="X261">IFERROR((IFERROR(SUMPRODUCT(--($AT$5:$AT$220=F261),--($N$5:$N$220&gt;0),$J$5:$J$220,$Q$5:$Q$220)/SUMIFS($J$5:$J$220,$AT$5:$AT$220,F261,$N$5:$N$220,"&gt;0"),""))/N261-1,"NA")</f>
        <v>NA</v>
      </c>
      <c r="Y261" s="256"/>
      <c r="Z261" s="257">
        <f t="shared" ref="Z261:Z269" si="193">IFERROR(Q261/O261-1,"NA")</f>
        <v>4.5556443044368455E-2</v>
      </c>
      <c r="AA261" s="254"/>
      <c r="AB261" s="254"/>
      <c r="AD261" s="258">
        <f t="shared" ref="AD261:AD268" si="194">SUMIF($AT$5:$AT$220,F261,$AD$5:$AD$220)</f>
        <v>747338.21</v>
      </c>
      <c r="AG261" s="254" t="str" cm="1">
        <f t="array" ref="AG261">IFERROR(SUMPRODUCT(--($F$5:$F$220=F261),$J$5:$J$220,$AG$5:$AG$220)/SUMIFS($J$5:$J$220,$F$5:$F$220,F261),"")</f>
        <v/>
      </c>
      <c r="AH261" s="254" t="str" cm="1">
        <f t="array" ref="AH261">IFERROR(SUMPRODUCT(--($F$5:$F$220=F261),$J$5:$J$220,$AH$5:$AH$220)/SUMIFS($J$5:$J$220,$F$5:$F$220,F261),"")</f>
        <v/>
      </c>
      <c r="AS261" s="249"/>
      <c r="AT261" s="249"/>
      <c r="AU261" s="250"/>
    </row>
    <row r="262" spans="1:47" outlineLevel="2">
      <c r="A262" s="239"/>
      <c r="B262" s="251"/>
      <c r="C262" s="251"/>
      <c r="D262" s="251"/>
      <c r="E262" s="251"/>
      <c r="F262" s="251" t="s">
        <v>749</v>
      </c>
      <c r="H262" s="184">
        <f t="shared" si="191"/>
        <v>6</v>
      </c>
      <c r="I262" s="276" cm="1">
        <f t="array" ref="I262">IFERROR(SUMPRODUCT(--($AT$5:$AT$220=F262),$J$5:$J$220,$I$5:$I$220)/SUMIFS($J$5:$J$220,$AT$5:$AT$220,F262),"")/12</f>
        <v>4.8985999957767596</v>
      </c>
      <c r="J262" s="253">
        <f t="shared" si="192"/>
        <v>284142</v>
      </c>
      <c r="K262" s="253"/>
      <c r="L262" s="253"/>
      <c r="M262" s="253"/>
      <c r="N262" s="254" cm="1">
        <f t="array" ref="N262">IFERROR(SUMPRODUCT(--($AT$5:$AT$220=F262),$J$5:$J$220,$N$5:$N$220)/SUMIFS($J$5:$J$220,$AT$5:$AT$220,F262,$N$5:$N$220,"&gt;0"),"NA")</f>
        <v>3.2694661096840592</v>
      </c>
      <c r="O262" s="254" cm="1">
        <f t="array" ref="O262">IFERROR(SUMPRODUCT(--($AT$5:$AT$220=F262),$J$5:$J$220,$O$5:$O$220)/SUMIFS($J$5:$J$220,$AT$5:$AT$220,F262),"")</f>
        <v>4.4264248157611332</v>
      </c>
      <c r="P262" s="255" t="str" cm="1">
        <f t="array" ref="P262">IFERROR(SUMPRODUCT(--($AT$5:$AT$220=F262),$J$5:$J$220,$P$5:$P$220)/SUMIFS($J$5:$J$220,$AT$5:$AT$220,F262,$P$5:$P$220,"&gt;0"),"")</f>
        <v/>
      </c>
      <c r="Q262" s="254" cm="1">
        <f t="array" ref="Q262">IFERROR(SUMPRODUCT(--($AT$5:$AT$220=F262),$J$5:$J$220,$Q$5:$Q$220)/SUMIFS($J$5:$J$220,$AT$5:$AT$220,F262),"")</f>
        <v>4.6693057696503857</v>
      </c>
      <c r="R262" s="254" cm="1">
        <f t="array" ref="R262">SUMPRODUCT(--($AT$5:$AT$220=F262),--($I$5:$I$220&gt;12),$R$5:$R$220,$J$5:$J$220)/SUMIFS($J$5:$J$220,$I$5:$I$220,"&gt;12",$AT$5:$AT$220,F262)</f>
        <v>3</v>
      </c>
      <c r="S262" s="254" cm="1">
        <f t="array" ref="S262">SUMPRODUCT(--($AT$5:$AT$220=F262),--($I$5:$I$220&gt;12),$S$5:$S$220,$J$5:$J$220)/SUMIFS($J$5:$J$220,$I$5:$I$220,"&gt;12",$AT$5:$AT$220,F262)</f>
        <v>2.2265522168493219</v>
      </c>
      <c r="T262" s="254" cm="1">
        <f t="array" ref="T262">SUMPRODUCT(--($AT$5:$AT$220=F262),$T$5:$T$220,$J$5:$J$220)/SUMIFS($J$5:$J$220,$AT$5:$AT$220,F262)</f>
        <v>11.51175764114509</v>
      </c>
      <c r="U262" s="254" cm="1">
        <f t="array" ref="U262">SUMPRODUCT(--($AT$5:$AT$220=F262),$U$5:$U$220,$J$5:$J$220)/SUMIFS($J$5:$J$220,$AT$5:$AT$220,F262)</f>
        <v>20.743144624870663</v>
      </c>
      <c r="V262" s="254" cm="1">
        <f t="array" ref="V262">SUMPRODUCT(--($AT$5:$AT$220=F262),--($AR$5:$AR$220=$B$330),$V$5:$V$220,$J$5:$J$220)/SUMIFS($J$5:$J$220,$AT$5:$AT$220,F262,$AR$5:$AR$220,$B$330)</f>
        <v>2.2180645258989484</v>
      </c>
      <c r="W262" s="254" cm="1">
        <f t="array" ref="W262">SUMPRODUCT(--($AT$5:$AT$220=F262),--($AR$5:$AR$220=$B$330),$W$5:$W$220,$J$5:$J$220)/SUMIFS($J$5:$J$220,$AT$5:$AT$220,F262,$AR$5:$AR$220,$B$330)</f>
        <v>4.0716386640519113</v>
      </c>
      <c r="X262" s="256" cm="1">
        <f t="array" ref="X262">IFERROR((IFERROR(SUMPRODUCT(--($AT$5:$AT$220=F262),--($N$5:$N$220&gt;0),$J$5:$J$220,$Q$5:$Q$220)/SUMIFS($J$5:$J$220,$AT$5:$AT$220,F262,$N$5:$N$220,"&gt;0"),""))/N262-1,"NA")</f>
        <v>0.17553848486615253</v>
      </c>
      <c r="Y262" s="256"/>
      <c r="Z262" s="257">
        <f t="shared" si="193"/>
        <v>5.4870683225981542E-2</v>
      </c>
      <c r="AA262" s="254"/>
      <c r="AB262" s="254"/>
      <c r="AD262" s="258">
        <f t="shared" si="194"/>
        <v>6440283.5199999996</v>
      </c>
      <c r="AG262" s="254" t="str" cm="1">
        <f t="array" ref="AG262">IFERROR(SUMPRODUCT(--($F$5:$F$220=F262),$J$5:$J$220,$AG$5:$AG$220)/SUMIFS($J$5:$J$220,$F$5:$F$220,F262),"")</f>
        <v/>
      </c>
      <c r="AH262" s="254" t="str" cm="1">
        <f t="array" ref="AH262">IFERROR(SUMPRODUCT(--($F$5:$F$220=F262),$J$5:$J$220,$AH$5:$AH$220)/SUMIFS($J$5:$J$220,$F$5:$F$220,F262),"")</f>
        <v/>
      </c>
      <c r="AS262" s="249"/>
      <c r="AT262" s="249"/>
      <c r="AU262" s="250"/>
    </row>
    <row r="263" spans="1:47" outlineLevel="2">
      <c r="B263" s="251"/>
      <c r="C263" s="251"/>
      <c r="D263" s="251"/>
      <c r="E263" s="251"/>
      <c r="F263" s="251" t="s">
        <v>750</v>
      </c>
      <c r="H263" s="184">
        <f t="shared" si="191"/>
        <v>30</v>
      </c>
      <c r="I263" s="276" cm="1">
        <f t="array" ref="I263">IFERROR(SUMPRODUCT(--($AT$5:$AT$220=F263),$J$5:$J$220,$I$5:$I$220)/SUMIFS($J$5:$J$220,$AT$5:$AT$220,F263),"")/12</f>
        <v>4.7515577449830326</v>
      </c>
      <c r="J263" s="253">
        <f t="shared" si="192"/>
        <v>1023809</v>
      </c>
      <c r="K263" s="253"/>
      <c r="L263" s="253"/>
      <c r="M263" s="253"/>
      <c r="N263" s="254" cm="1">
        <f t="array" ref="N263">IFERROR(SUMPRODUCT(--($AT$5:$AT$220=F263),$J$5:$J$220,$N$5:$N$220)/SUMIFS($J$5:$J$220,$AT$5:$AT$220,F263,$N$5:$N$220,"&gt;0"),"NA")</f>
        <v>5.1755350927315451</v>
      </c>
      <c r="O263" s="254" cm="1">
        <f t="array" ref="O263">IFERROR(SUMPRODUCT(--($AT$5:$AT$220=F263),$J$5:$J$220,$O$5:$O$220)/SUMIFS($J$5:$J$220,$AT$5:$AT$220,F263),"")</f>
        <v>6.338466774564397</v>
      </c>
      <c r="P263" s="255" t="str" cm="1">
        <f t="array" ref="P263">IFERROR(SUMPRODUCT(--($AT$5:$AT$220=F263),$J$5:$J$220,$P$5:$P$220)/SUMIFS($J$5:$J$220,$AT$5:$AT$220,F263,$P$5:$P$220,"&gt;0"),"")</f>
        <v/>
      </c>
      <c r="Q263" s="254" cm="1">
        <f t="array" ref="Q263">IFERROR(SUMPRODUCT(--($AT$5:$AT$220=F263),$J$5:$J$220,$Q$5:$Q$220)/SUMIFS($J$5:$J$220,$AT$5:$AT$220,F263),"")</f>
        <v>7.1955957204908341</v>
      </c>
      <c r="R263" s="254" cm="1">
        <f t="array" ref="R263">SUMPRODUCT(--($AT$5:$AT$220=F263),--($I$5:$I$220&gt;12),$R$5:$R$220,$J$5:$J$220)/SUMIFS($J$5:$J$220,$I$5:$I$220,"&gt;12",$AT$5:$AT$220,F263)</f>
        <v>3.538210984666085</v>
      </c>
      <c r="S263" s="254" cm="1">
        <f t="array" ref="S263">SUMPRODUCT(--($AT$5:$AT$220=F263),--($I$5:$I$220&gt;12),$S$5:$S$220,$J$5:$J$220)/SUMIFS($J$5:$J$220,$I$5:$I$220,"&gt;12",$AT$5:$AT$220,F263)</f>
        <v>2.5218541739719029</v>
      </c>
      <c r="T263" s="254" cm="1">
        <f t="array" ref="T263">SUMPRODUCT(--($AT$5:$AT$220=F263),$T$5:$T$220,$J$5:$J$220)/SUMIFS($J$5:$J$220,$AT$5:$AT$220,F263)</f>
        <v>10.20191615029634</v>
      </c>
      <c r="U263" s="254" cm="1">
        <f t="array" ref="U263">SUMPRODUCT(--($AT$5:$AT$220=F263),$U$5:$U$220,$J$5:$J$220)/SUMIFS($J$5:$J$220,$AT$5:$AT$220,F263)</f>
        <v>22.314089473720195</v>
      </c>
      <c r="V263" s="254" cm="1">
        <f t="array" ref="V263">SUMPRODUCT(--($AT$5:$AT$220=F263),--($AR$5:$AR$220=$B$330),$V$5:$V$220,$J$5:$J$220)/SUMIFS($J$5:$J$220,$AT$5:$AT$220,F263,$AR$5:$AR$220,$B$330)</f>
        <v>1.8651138126041966</v>
      </c>
      <c r="W263" s="254" cm="1">
        <f t="array" ref="W263">SUMPRODUCT(--($AT$5:$AT$220=F263),--($AR$5:$AR$220=$B$330),$W$5:$W$220,$J$5:$J$220)/SUMIFS($J$5:$J$220,$AT$5:$AT$220,F263,$AR$5:$AR$220,$B$330)</f>
        <v>7.8811201833496174</v>
      </c>
      <c r="X263" s="256" cm="1">
        <f t="array" ref="X263">IFERROR((IFERROR(SUMPRODUCT(--($AT$5:$AT$220=F263),--($N$5:$N$220&gt;0),$J$5:$J$220,$Q$5:$Q$220)/SUMIFS($J$5:$J$220,$AT$5:$AT$220,F263,$N$5:$N$220,"&gt;0"),""))/N263-1,"NA")</f>
        <v>0.38866028348346537</v>
      </c>
      <c r="Y263" s="256"/>
      <c r="Z263" s="257">
        <f t="shared" si="193"/>
        <v>0.1352265423818273</v>
      </c>
      <c r="AA263" s="254"/>
      <c r="AB263" s="254"/>
      <c r="AD263" s="258">
        <f t="shared" si="194"/>
        <v>37592115.539999999</v>
      </c>
      <c r="AG263" s="254" t="str" cm="1">
        <f t="array" ref="AG263">IFERROR(SUMPRODUCT(--($F$5:$F$220=F263),$J$5:$J$220,$AG$5:$AG$220)/SUMIFS($J$5:$J$220,$F$5:$F$220,F263),"")</f>
        <v/>
      </c>
      <c r="AH263" s="254" t="str" cm="1">
        <f t="array" ref="AH263">IFERROR(SUMPRODUCT(--($F$5:$F$220=F263),$J$5:$J$220,$AH$5:$AH$220)/SUMIFS($J$5:$J$220,$F$5:$F$220,F263),"")</f>
        <v/>
      </c>
      <c r="AS263" s="249"/>
      <c r="AT263" s="249"/>
      <c r="AU263" s="250"/>
    </row>
    <row r="264" spans="1:47" outlineLevel="2">
      <c r="B264" s="251"/>
      <c r="C264" s="251"/>
      <c r="D264" s="251"/>
      <c r="E264" s="251"/>
      <c r="F264" s="251" t="s">
        <v>751</v>
      </c>
      <c r="H264" s="184">
        <f t="shared" si="191"/>
        <v>36</v>
      </c>
      <c r="I264" s="276" cm="1">
        <f t="array" ref="I264">IFERROR(SUMPRODUCT(--($AT$5:$AT$220=F264),$J$5:$J$220,$I$5:$I$220)/SUMIFS($J$5:$J$220,$AT$5:$AT$220,F264),"")/12</f>
        <v>6.2483328662433602</v>
      </c>
      <c r="J264" s="253">
        <f t="shared" si="192"/>
        <v>1059753</v>
      </c>
      <c r="K264" s="253"/>
      <c r="L264" s="253"/>
      <c r="M264" s="253"/>
      <c r="N264" s="254" cm="1">
        <f t="array" ref="N264">IFERROR(SUMPRODUCT(--($AT$5:$AT$220=F264),$J$5:$J$220,$N$5:$N$220)/SUMIFS($J$5:$J$220,$AT$5:$AT$220,F264,$N$5:$N$220,"&gt;0"),"NA")</f>
        <v>5.0993567820890915</v>
      </c>
      <c r="O264" s="254" cm="1">
        <f t="array" ref="O264">IFERROR(SUMPRODUCT(--($AT$5:$AT$220=F264),$J$5:$J$220,$O$5:$O$220)/SUMIFS($J$5:$J$220,$AT$5:$AT$220,F264),"")</f>
        <v>6.489109575533166</v>
      </c>
      <c r="P264" s="255" cm="1">
        <f t="array" ref="P264">IFERROR(SUMPRODUCT(--($AT$5:$AT$220=F264),$J$5:$J$220,$P$5:$P$220)/SUMIFS($J$5:$J$220,$AT$5:$AT$220,F264,$P$5:$P$220,"&gt;0"),"")</f>
        <v>6.6389721302936389</v>
      </c>
      <c r="Q264" s="254" cm="1">
        <f t="array" ref="Q264">IFERROR(SUMPRODUCT(--($AT$5:$AT$220=F264),$J$5:$J$220,$Q$5:$Q$220)/SUMIFS($J$5:$J$220,$AT$5:$AT$220,F264),"")</f>
        <v>7.4089291466973908</v>
      </c>
      <c r="R264" s="254" cm="1">
        <f t="array" ref="R264">SUMPRODUCT(--($AT$5:$AT$220=F264),--($I$5:$I$220&gt;12),$R$5:$R$220,$J$5:$J$220)/SUMIFS($J$5:$J$220,$I$5:$I$220,"&gt;12",$AT$5:$AT$220,F264)</f>
        <v>3.8116792309151282</v>
      </c>
      <c r="S264" s="254" cm="1">
        <f t="array" ref="S264">SUMPRODUCT(--($AT$5:$AT$220=F264),--($I$5:$I$220&gt;12),$S$5:$S$220,$J$5:$J$220)/SUMIFS($J$5:$J$220,$I$5:$I$220,"&gt;12",$AT$5:$AT$220,F264)</f>
        <v>3.2158946471489109</v>
      </c>
      <c r="T264" s="254" cm="1">
        <f t="array" ref="T264">SUMPRODUCT(--($AT$5:$AT$220=F264),$T$5:$T$220,$J$5:$J$220)/SUMIFS($J$5:$J$220,$AT$5:$AT$220,F264)</f>
        <v>11.993968432945131</v>
      </c>
      <c r="U264" s="254" cm="1">
        <f t="array" ref="U264">SUMPRODUCT(--($AT$5:$AT$220=F264),$U$5:$U$220,$J$5:$J$220)/SUMIFS($J$5:$J$220,$AT$5:$AT$220,F264)</f>
        <v>13.478168988434097</v>
      </c>
      <c r="V264" s="254" cm="1">
        <f t="array" ref="V264">SUMPRODUCT(--($AT$5:$AT$220=F264),--($AR$5:$AR$220=$B$330),$V$5:$V$220,$J$5:$J$220)/SUMIFS($J$5:$J$220,$AT$5:$AT$220,F264,$AR$5:$AR$220,$B$330)</f>
        <v>4.5591082016866249</v>
      </c>
      <c r="W264" s="254" cm="1">
        <f t="array" ref="W264">SUMPRODUCT(--($AT$5:$AT$220=F264),--($AR$5:$AR$220=$B$330),$W$5:$W$220,$J$5:$J$220)/SUMIFS($J$5:$J$220,$AT$5:$AT$220,F264,$AR$5:$AR$220,$B$330)</f>
        <v>5.5585157456994718</v>
      </c>
      <c r="X264" s="256" cm="1">
        <f t="array" ref="X264">IFERROR((IFERROR(SUMPRODUCT(--($AT$5:$AT$220=F264),--($N$5:$N$220&gt;0),$J$5:$J$220,$Q$5:$Q$220)/SUMIFS($J$5:$J$220,$AT$5:$AT$220,F264,$N$5:$N$220,"&gt;0"),""))/N264-1,"NA")</f>
        <v>0.38372827661524633</v>
      </c>
      <c r="Y264" s="256"/>
      <c r="Z264" s="257">
        <f t="shared" si="193"/>
        <v>0.14174819525815296</v>
      </c>
      <c r="AA264" s="254"/>
      <c r="AB264" s="254"/>
      <c r="AD264" s="258">
        <f t="shared" si="194"/>
        <v>57687054.030000001</v>
      </c>
      <c r="AG264" s="254" t="str" cm="1">
        <f t="array" ref="AG264">IFERROR(SUMPRODUCT(--($F$5:$F$220=F264),$J$5:$J$220,$AG$5:$AG$220)/SUMIFS($J$5:$J$220,$F$5:$F$220,F264),"")</f>
        <v/>
      </c>
      <c r="AH264" s="254" t="str" cm="1">
        <f t="array" ref="AH264">IFERROR(SUMPRODUCT(--($F$5:$F$220=F264),$J$5:$J$220,$AH$5:$AH$220)/SUMIFS($J$5:$J$220,$F$5:$F$220,F264),"")</f>
        <v/>
      </c>
      <c r="AU264" s="184"/>
    </row>
    <row r="265" spans="1:47" outlineLevel="2">
      <c r="B265" s="251"/>
      <c r="C265" s="251"/>
      <c r="D265" s="251"/>
      <c r="E265" s="251"/>
      <c r="F265" s="251" t="s">
        <v>752</v>
      </c>
      <c r="H265" s="184">
        <f t="shared" si="191"/>
        <v>39</v>
      </c>
      <c r="I265" s="276" cm="1">
        <f t="array" ref="I265">IFERROR(SUMPRODUCT(--($AT$5:$AT$220=F265),$J$5:$J$220,$I$5:$I$220)/SUMIFS($J$5:$J$220,$AT$5:$AT$220,F265),"")/12</f>
        <v>4.7797305262948671</v>
      </c>
      <c r="J265" s="253">
        <f t="shared" si="192"/>
        <v>1073302</v>
      </c>
      <c r="K265" s="253"/>
      <c r="L265" s="253"/>
      <c r="M265" s="253"/>
      <c r="N265" s="254" cm="1">
        <f t="array" ref="N265">IFERROR(SUMPRODUCT(--($AT$5:$AT$220=F265),$J$5:$J$220,$N$5:$N$220)/SUMIFS($J$5:$J$220,$AT$5:$AT$220,F265,$N$5:$N$220,"&gt;0"),"NA")</f>
        <v>5.3413029874401401</v>
      </c>
      <c r="O265" s="254" cm="1">
        <f t="array" ref="O265">IFERROR(SUMPRODUCT(--($AT$5:$AT$220=F265),$J$5:$J$220,$O$5:$O$220)/SUMIFS($J$5:$J$220,$AT$5:$AT$220,F265),"")</f>
        <v>6.7560228714751291</v>
      </c>
      <c r="P265" s="255" cm="1">
        <f t="array" ref="P265">IFERROR(SUMPRODUCT(--($AT$5:$AT$220=F265),$J$5:$J$220,$P$5:$P$220)/SUMIFS($J$5:$J$220,$AT$5:$AT$220,F265,$P$5:$P$220,"&gt;0"),"")</f>
        <v>7.1043136321370879</v>
      </c>
      <c r="Q265" s="254" cm="1">
        <f t="array" ref="Q265">IFERROR(SUMPRODUCT(--($AT$5:$AT$220=F265),$J$5:$J$220,$Q$5:$Q$220)/SUMIFS($J$5:$J$220,$AT$5:$AT$220,F265),"")</f>
        <v>7.6844980723039749</v>
      </c>
      <c r="R265" s="254" cm="1">
        <f t="array" ref="R265">SUMPRODUCT(--($AT$5:$AT$220=F265),--($I$5:$I$220&gt;12),$R$5:$R$220,$J$5:$J$220)/SUMIFS($J$5:$J$220,$I$5:$I$220,"&gt;12",$AT$5:$AT$220,F265)</f>
        <v>3.3406647895932369</v>
      </c>
      <c r="S265" s="254" cm="1">
        <f t="array" ref="S265">SUMPRODUCT(--($AT$5:$AT$220=F265),--($I$5:$I$220&gt;12),$S$5:$S$220,$J$5:$J$220)/SUMIFS($J$5:$J$220,$I$5:$I$220,"&gt;12",$AT$5:$AT$220,F265)</f>
        <v>2.9885211245297225</v>
      </c>
      <c r="T265" s="254" cm="1">
        <f t="array" ref="T265">SUMPRODUCT(--($AT$5:$AT$220=F265),$T$5:$T$220,$J$5:$J$220)/SUMIFS($J$5:$J$220,$AT$5:$AT$220,F265)</f>
        <v>7.7200479888643487</v>
      </c>
      <c r="U265" s="254" cm="1">
        <f t="array" ref="U265">SUMPRODUCT(--($AT$5:$AT$220=F265),$U$5:$U$220,$J$5:$J$220)/SUMIFS($J$5:$J$220,$AT$5:$AT$220,F265)</f>
        <v>13.473636634423489</v>
      </c>
      <c r="V265" s="254" cm="1">
        <f t="array" ref="V265">SUMPRODUCT(--($AT$5:$AT$220=F265),--($AR$5:$AR$220=$B$330),$V$5:$V$220,$J$5:$J$220)/SUMIFS($J$5:$J$220,$AT$5:$AT$220,F265,$AR$5:$AR$220,$B$330)</f>
        <v>4.7010744135441218</v>
      </c>
      <c r="W265" s="254" cm="1">
        <f t="array" ref="W265">SUMPRODUCT(--($AT$5:$AT$220=F265),--($AR$5:$AR$220=$B$330),$W$5:$W$220,$J$5:$J$220)/SUMIFS($J$5:$J$220,$AT$5:$AT$220,F265,$AR$5:$AR$220,$B$330)</f>
        <v>5.3199232826692597</v>
      </c>
      <c r="X265" s="256" cm="1">
        <f t="array" ref="X265">IFERROR((IFERROR(SUMPRODUCT(--($AT$5:$AT$220=F265),--($N$5:$N$220&gt;0),$J$5:$J$220,$Q$5:$Q$220)/SUMIFS($J$5:$J$220,$AT$5:$AT$220,F265,$N$5:$N$220,"&gt;0"),""))/N265-1,"NA")</f>
        <v>0.33945602856952051</v>
      </c>
      <c r="Y265" s="256"/>
      <c r="Z265" s="257">
        <f t="shared" si="193"/>
        <v>0.1374292566043549</v>
      </c>
      <c r="AA265" s="254"/>
      <c r="AB265" s="254"/>
      <c r="AD265" s="258">
        <f t="shared" si="194"/>
        <v>46693056.93</v>
      </c>
      <c r="AG265" s="254" t="str" cm="1">
        <f t="array" ref="AG265">IFERROR(SUMPRODUCT(--($F$5:$F$220=F265),$J$5:$J$220,$AG$5:$AG$220)/SUMIFS($J$5:$J$220,$F$5:$F$220,F265),"")</f>
        <v/>
      </c>
      <c r="AH265" s="254" t="str" cm="1">
        <f t="array" ref="AH265">IFERROR(SUMPRODUCT(--($F$5:$F$220=F265),$J$5:$J$220,$AH$5:$AH$220)/SUMIFS($J$5:$J$220,$F$5:$F$220,F265),"")</f>
        <v/>
      </c>
    </row>
    <row r="266" spans="1:47" outlineLevel="2">
      <c r="B266" s="251"/>
      <c r="C266" s="251"/>
      <c r="D266" s="251"/>
      <c r="E266" s="251"/>
      <c r="F266" s="251" t="s">
        <v>753</v>
      </c>
      <c r="H266" s="184">
        <f t="shared" si="191"/>
        <v>41</v>
      </c>
      <c r="I266" s="276" cm="1">
        <f t="array" ref="I266">IFERROR(SUMPRODUCT(--($AT$5:$AT$220=F266),$J$5:$J$220,$I$5:$I$220)/SUMIFS($J$5:$J$220,$AT$5:$AT$220,F266),"")/12</f>
        <v>5.2944283170670738</v>
      </c>
      <c r="J266" s="253">
        <f t="shared" si="192"/>
        <v>980045</v>
      </c>
      <c r="K266" s="253"/>
      <c r="L266" s="253"/>
      <c r="M266" s="253"/>
      <c r="N266" s="254" cm="1">
        <f t="array" ref="N266">IFERROR(SUMPRODUCT(--($AT$5:$AT$220=F266),$J$5:$J$220,$N$5:$N$220)/SUMIFS($J$5:$J$220,$AT$5:$AT$220,F266,$N$5:$N$220,"&gt;0"),"NA")</f>
        <v>6.0182814703786525</v>
      </c>
      <c r="O266" s="254" cm="1">
        <f t="array" ref="O266">IFERROR(SUMPRODUCT(--($AT$5:$AT$220=F266),$J$5:$J$220,$O$5:$O$220)/SUMIFS($J$5:$J$220,$AT$5:$AT$220,F266),"")</f>
        <v>7.3548754302098391</v>
      </c>
      <c r="P266" s="255" cm="1">
        <f t="array" ref="P266">IFERROR(SUMPRODUCT(--($AT$5:$AT$220=F266),$J$5:$J$220,$P$5:$P$220)/SUMIFS($J$5:$J$220,$AT$5:$AT$220,F266,$P$5:$P$220,"&gt;0"),"")</f>
        <v>7.6049561091582527</v>
      </c>
      <c r="Q266" s="254" cm="1">
        <f t="array" ref="Q266">IFERROR(SUMPRODUCT(--($AT$5:$AT$220=F266),$J$5:$J$220,$Q$5:$Q$220)/SUMIFS($J$5:$J$220,$AT$5:$AT$220,F266),"")</f>
        <v>8.2288575014412615</v>
      </c>
      <c r="R266" s="254" cm="1">
        <f t="array" ref="R266">SUMPRODUCT(--($AT$5:$AT$220=F266),--($I$5:$I$220&gt;12),$R$5:$R$220,$J$5:$J$220)/SUMIFS($J$5:$J$220,$I$5:$I$220,"&gt;12",$AT$5:$AT$220,F266)</f>
        <v>3.3925934523414742</v>
      </c>
      <c r="S266" s="254" cm="1">
        <f t="array" ref="S266">SUMPRODUCT(--($AT$5:$AT$220=F266),--($I$5:$I$220&gt;12),$S$5:$S$220,$J$5:$J$220)/SUMIFS($J$5:$J$220,$I$5:$I$220,"&gt;12",$AT$5:$AT$220,F266)</f>
        <v>2.7400517323184141</v>
      </c>
      <c r="T266" s="254" cm="1">
        <f t="array" ref="T266">SUMPRODUCT(--($AT$5:$AT$220=F266),$T$5:$T$220,$J$5:$J$220)/SUMIFS($J$5:$J$220,$AT$5:$AT$220,F266)</f>
        <v>8.9148777701676121</v>
      </c>
      <c r="U266" s="254" cm="1">
        <f t="array" ref="U266">SUMPRODUCT(--($AT$5:$AT$220=F266),$U$5:$U$220,$J$5:$J$220)/SUMIFS($J$5:$J$220,$AT$5:$AT$220,F266)</f>
        <v>14.23787227117122</v>
      </c>
      <c r="V266" s="254" cm="1">
        <f t="array" ref="V266">SUMPRODUCT(--($AT$5:$AT$220=F266),--($AR$5:$AR$220=$B$330),$V$5:$V$220,$J$5:$J$220)/SUMIFS($J$5:$J$220,$AT$5:$AT$220,F266,$AR$5:$AR$220,$B$330)</f>
        <v>6.6646557271557274</v>
      </c>
      <c r="W266" s="254" cm="1">
        <f t="array" ref="W266">SUMPRODUCT(--($AT$5:$AT$220=F266),--($AR$5:$AR$220=$B$330),$W$5:$W$220,$J$5:$J$220)/SUMIFS($J$5:$J$220,$AT$5:$AT$220,F266,$AR$5:$AR$220,$B$330)</f>
        <v>7.5257057408696753</v>
      </c>
      <c r="X266" s="256" cm="1">
        <f t="array" ref="X266">IFERROR((IFERROR(SUMPRODUCT(--($AT$5:$AT$220=F266),--($N$5:$N$220&gt;0),$J$5:$J$220,$Q$5:$Q$220)/SUMIFS($J$5:$J$220,$AT$5:$AT$220,F266,$N$5:$N$220,"&gt;0"),""))/N266-1,"NA")</f>
        <v>0.27095246004526885</v>
      </c>
      <c r="Y266" s="256"/>
      <c r="Z266" s="257">
        <f t="shared" si="193"/>
        <v>0.11883030236536407</v>
      </c>
      <c r="AA266" s="254"/>
      <c r="AB266" s="254"/>
      <c r="AD266" s="258">
        <f t="shared" si="194"/>
        <v>53346383.840000004</v>
      </c>
      <c r="AG266" s="254" t="str" cm="1">
        <f t="array" ref="AG266">IFERROR(SUMPRODUCT(--($F$5:$F$220=F266),$J$5:$J$220,$AG$5:$AG$220)/SUMIFS($J$5:$J$220,$F$5:$F$220,F266),"")</f>
        <v/>
      </c>
      <c r="AH266" s="254" t="str" cm="1">
        <f t="array" ref="AH266">IFERROR(SUMPRODUCT(--($F$5:$F$220=F266),$J$5:$J$220,$AH$5:$AH$220)/SUMIFS($J$5:$J$220,$F$5:$F$220,F266),"")</f>
        <v/>
      </c>
    </row>
    <row r="267" spans="1:47" outlineLevel="2">
      <c r="B267" s="251"/>
      <c r="C267" s="251"/>
      <c r="D267" s="251"/>
      <c r="E267" s="251"/>
      <c r="F267" s="251" t="s">
        <v>754</v>
      </c>
      <c r="H267" s="184">
        <f t="shared" si="191"/>
        <v>36</v>
      </c>
      <c r="I267" s="276" cm="1">
        <f t="array" ref="I267">IFERROR(SUMPRODUCT(--($AT$5:$AT$220=F267),$J$5:$J$220,$I$5:$I$220)/SUMIFS($J$5:$J$220,$AT$5:$AT$220,F267),"")/12</f>
        <v>4.8738876630801427</v>
      </c>
      <c r="J267" s="253">
        <f t="shared" si="192"/>
        <v>887396</v>
      </c>
      <c r="K267" s="253"/>
      <c r="L267" s="253"/>
      <c r="M267" s="253"/>
      <c r="N267" s="254" cm="1">
        <f t="array" ref="N267">IFERROR(SUMPRODUCT(--($AT$5:$AT$220=F267),$J$5:$J$220,$N$5:$N$220)/SUMIFS($J$5:$J$220,$AT$5:$AT$220,F267,$N$5:$N$220,"&gt;0"),"NA")</f>
        <v>8.1319509744303868</v>
      </c>
      <c r="O267" s="254" cm="1">
        <f t="array" ref="O267">IFERROR(SUMPRODUCT(--($AT$5:$AT$220=F267),$J$5:$J$220,$O$5:$O$220)/SUMIFS($J$5:$J$220,$AT$5:$AT$220,F267),"")</f>
        <v>9.8363982370891954</v>
      </c>
      <c r="P267" s="255" cm="1">
        <f t="array" ref="P267">IFERROR(SUMPRODUCT(--($AT$5:$AT$220=F267),$J$5:$J$220,$P$5:$P$220)/SUMIFS($J$5:$J$220,$AT$5:$AT$220,F267,$P$5:$P$220,"&gt;0"),"")</f>
        <v>10.455319969889429</v>
      </c>
      <c r="Q267" s="254" cm="1">
        <f t="array" ref="Q267">IFERROR(SUMPRODUCT(--($AT$5:$AT$220=F267),$J$5:$J$220,$Q$5:$Q$220)/SUMIFS($J$5:$J$220,$AT$5:$AT$220,F267),"")</f>
        <v>11.014172804475114</v>
      </c>
      <c r="R267" s="254" cm="1">
        <f t="array" ref="R267">SUMPRODUCT(--($AT$5:$AT$220=F267),--($I$5:$I$220&gt;12),$R$5:$R$220,$J$5:$J$220)/SUMIFS($J$5:$J$220,$I$5:$I$220,"&gt;12",$AT$5:$AT$220,F267)</f>
        <v>3.5901161938976509</v>
      </c>
      <c r="S267" s="254" cm="1">
        <f t="array" ref="S267">SUMPRODUCT(--($AT$5:$AT$220=F267),--($I$5:$I$220&gt;12),$S$5:$S$220,$J$5:$J$220)/SUMIFS($J$5:$J$220,$I$5:$I$220,"&gt;12",$AT$5:$AT$220,F267)</f>
        <v>3.0009227447498072</v>
      </c>
      <c r="T267" s="254" cm="1">
        <f t="array" ref="T267">SUMPRODUCT(--($AT$5:$AT$220=F267),$T$5:$T$220,$J$5:$J$220)/SUMIFS($J$5:$J$220,$AT$5:$AT$220,F267)</f>
        <v>7.7630571656217846</v>
      </c>
      <c r="U267" s="254" cm="1">
        <f t="array" ref="U267">SUMPRODUCT(--($AT$5:$AT$220=F267),$U$5:$U$220,$J$5:$J$220)/SUMIFS($J$5:$J$220,$AT$5:$AT$220,F267)</f>
        <v>0</v>
      </c>
      <c r="V267" s="254" cm="1">
        <f t="array" ref="V267">SUMPRODUCT(--($AT$5:$AT$220=F267),--($AR$5:$AR$220=$B$330),$V$5:$V$220,$J$5:$J$220)/SUMIFS($J$5:$J$220,$AT$5:$AT$220,F267,$AR$5:$AR$220,$B$330)</f>
        <v>4.36523208300357</v>
      </c>
      <c r="W267" s="254" cm="1">
        <f t="array" ref="W267">SUMPRODUCT(--($AT$5:$AT$220=F267),--($AR$5:$AR$220=$B$330),$W$5:$W$220,$J$5:$J$220)/SUMIFS($J$5:$J$220,$AT$5:$AT$220,F267,$AR$5:$AR$220,$B$330)</f>
        <v>5.1175412524468635</v>
      </c>
      <c r="X267" s="256" cm="1">
        <f t="array" ref="X267">IFERROR((IFERROR(SUMPRODUCT(--($AT$5:$AT$220=F267),--($N$5:$N$220&gt;0),$J$5:$J$220,$Q$5:$Q$220)/SUMIFS($J$5:$J$220,$AT$5:$AT$220,F267,$N$5:$N$220,"&gt;0"),""))/N267-1,"NA")</f>
        <v>0.35443704410562038</v>
      </c>
      <c r="Y267" s="256"/>
      <c r="Z267" s="257">
        <f t="shared" si="193"/>
        <v>0.11973636477476002</v>
      </c>
      <c r="AA267" s="254"/>
      <c r="AB267" s="254"/>
      <c r="AD267" s="258">
        <f t="shared" si="194"/>
        <v>53621615.259999998</v>
      </c>
      <c r="AG267" s="254" t="str" cm="1">
        <f t="array" ref="AG267">IFERROR(SUMPRODUCT(--($F$5:$F$220=F267),$J$5:$J$220,$AG$5:$AG$220)/SUMIFS($J$5:$J$220,$F$5:$F$220,F267),"")</f>
        <v/>
      </c>
      <c r="AH267" s="254" t="str" cm="1">
        <f t="array" ref="AH267">IFERROR(SUMPRODUCT(--($F$5:$F$220=F267),$J$5:$J$220,$AH$5:$AH$220)/SUMIFS($J$5:$J$220,$F$5:$F$220,F267),"")</f>
        <v/>
      </c>
    </row>
    <row r="268" spans="1:47" outlineLevel="2">
      <c r="B268" s="251"/>
      <c r="C268" s="251"/>
      <c r="D268" s="251"/>
      <c r="E268" s="251"/>
      <c r="F268" s="251" t="s">
        <v>16</v>
      </c>
      <c r="H268" s="184">
        <f t="shared" si="191"/>
        <v>26</v>
      </c>
      <c r="I268" s="276" cm="1">
        <f t="array" ref="I268">IFERROR(SUMPRODUCT(--($AT$5:$AT$220=F268),$J$5:$J$220,$I$5:$I$220)/SUMIFS($J$5:$J$220,$AT$5:$AT$220,F268),"")/12</f>
        <v>3.8541504571625524</v>
      </c>
      <c r="J268" s="253">
        <f t="shared" si="192"/>
        <v>687611</v>
      </c>
      <c r="K268" s="253"/>
      <c r="L268" s="253"/>
      <c r="M268" s="253"/>
      <c r="N268" s="254" cm="1">
        <f t="array" ref="N268">IFERROR(SUMPRODUCT(--($AT$5:$AT$220=F268),$J$5:$J$220,$N$5:$N$220)/SUMIFS($J$5:$J$220,$AT$5:$AT$220,F268,$N$5:$N$220,"&gt;0"),"NA")</f>
        <v>5.8882677496368654</v>
      </c>
      <c r="O268" s="254" cm="1">
        <f t="array" ref="O268">IFERROR(SUMPRODUCT(--($AT$5:$AT$220=F268),$J$5:$J$220,$O$5:$O$220)/SUMIFS($J$5:$J$220,$AT$5:$AT$220,F268),"")</f>
        <v>7.5623258644786064</v>
      </c>
      <c r="P268" s="255" cm="1">
        <f t="array" ref="P268">IFERROR(SUMPRODUCT(--($AT$5:$AT$220=F268),$J$5:$J$220,$P$5:$P$220)/SUMIFS($J$5:$J$220,$AT$5:$AT$220,F268,$P$5:$P$220,"&gt;0"),"")</f>
        <v>7.9933564908065762</v>
      </c>
      <c r="Q268" s="254" cm="1">
        <f t="array" ref="Q268">IFERROR(SUMPRODUCT(--($AT$5:$AT$220=F268),$J$5:$J$220,$Q$5:$Q$220)/SUMIFS($J$5:$J$220,$AT$5:$AT$220,F268),"")</f>
        <v>8.2823945370274767</v>
      </c>
      <c r="R268" s="254" cm="1">
        <f t="array" ref="R268">SUMPRODUCT(--($AT$5:$AT$220=F268),--($I$5:$I$220&gt;12),$R$5:$R$220,$J$5:$J$220)/SUMIFS($J$5:$J$220,$I$5:$I$220,"&gt;12",$AT$5:$AT$220,F268)</f>
        <v>3.86113081378861</v>
      </c>
      <c r="S268" s="254" cm="1">
        <f t="array" ref="S268">SUMPRODUCT(--($AT$5:$AT$220=F268),--($I$5:$I$220&gt;12),$S$5:$S$220,$J$5:$J$220)/SUMIFS($J$5:$J$220,$I$5:$I$220,"&gt;12",$AT$5:$AT$220,F268)</f>
        <v>3.2251651006164823</v>
      </c>
      <c r="T268" s="254" cm="1">
        <f t="array" ref="T268">SUMPRODUCT(--($AT$5:$AT$220=F268),$T$5:$T$220,$J$5:$J$220)/SUMIFS($J$5:$J$220,$AT$5:$AT$220,F268)</f>
        <v>0</v>
      </c>
      <c r="U268" s="254" cm="1">
        <f t="array" ref="U268">SUMPRODUCT(--($AT$5:$AT$220=F268),$U$5:$U$220,$J$5:$J$220)/SUMIFS($J$5:$J$220,$AT$5:$AT$220,F268)</f>
        <v>0</v>
      </c>
      <c r="V268" s="254" cm="1">
        <f t="array" ref="V268">SUMPRODUCT(--($AT$5:$AT$220=F268),--($AR$5:$AR$220=$B$330),$V$5:$V$220,$J$5:$J$220)/SUMIFS($J$5:$J$220,$AT$5:$AT$220,F268,$AR$5:$AR$220,$B$330)</f>
        <v>8.8753015073990049</v>
      </c>
      <c r="W268" s="254" cm="1">
        <f t="array" ref="W268">SUMPRODUCT(--($AT$5:$AT$220=F268),--($AR$5:$AR$220=$B$330),$W$5:$W$220,$J$5:$J$220)/SUMIFS($J$5:$J$220,$AT$5:$AT$220,F268,$AR$5:$AR$220,$B$330)</f>
        <v>7.0326097155757203</v>
      </c>
      <c r="X268" s="256" cm="1">
        <f t="array" ref="X268">IFERROR((IFERROR(SUMPRODUCT(--($AT$5:$AT$220=F268),--($N$5:$N$220&gt;0),$J$5:$J$220,$Q$5:$Q$220)/SUMIFS($J$5:$J$220,$AT$5:$AT$220,F268,$N$5:$N$220,"&gt;0"),""))/N268-1,"NA")</f>
        <v>0.38954084526722577</v>
      </c>
      <c r="Y268" s="256"/>
      <c r="Z268" s="257">
        <f t="shared" si="193"/>
        <v>9.5217884742462955E-2</v>
      </c>
      <c r="AA268" s="254"/>
      <c r="AB268" s="254"/>
      <c r="AD268" s="258">
        <f t="shared" si="194"/>
        <v>23077508.5</v>
      </c>
      <c r="AG268" s="254" t="str" cm="1">
        <f t="array" ref="AG268">IFERROR(SUMPRODUCT(--($F$5:$F$220=F268),$J$5:$J$220,$AG$5:$AG$220)/SUMIFS($J$5:$J$220,$F$5:$F$220,F268),"")</f>
        <v/>
      </c>
      <c r="AH268" s="254" t="str" cm="1">
        <f t="array" ref="AH268">IFERROR(SUMPRODUCT(--($F$5:$F$220=F268),$J$5:$J$220,$AH$5:$AH$220)/SUMIFS($J$5:$J$220,$F$5:$F$220,F268),"")</f>
        <v/>
      </c>
    </row>
    <row r="269" spans="1:47" ht="14.45" outlineLevel="2" thickBot="1">
      <c r="B269" s="260"/>
      <c r="C269" s="260"/>
      <c r="D269" s="260"/>
      <c r="E269" s="260"/>
      <c r="F269" s="261" t="s">
        <v>27</v>
      </c>
      <c r="G269" s="262"/>
      <c r="H269" s="262">
        <f>SUM(H261:H268)</f>
        <v>216</v>
      </c>
      <c r="I269" s="277">
        <f>IFERROR(SUMPRODUCT($J$5:$J$220,$I$5:$I$220)/SUM($J$5:$J$220),"")/12</f>
        <v>4.9976235942239606</v>
      </c>
      <c r="J269" s="264">
        <f>SUM(J261:J268)</f>
        <v>6154252</v>
      </c>
      <c r="K269" s="264"/>
      <c r="L269" s="264"/>
      <c r="M269" s="264"/>
      <c r="N269" s="263">
        <f>IFERROR(SUMPRODUCT($J$5:$J$220,$N$5:$N$220)/SUMIFS($J$5:$J$220,$N$5:$N$220,"&gt;0"),"")</f>
        <v>5.821168376124767</v>
      </c>
      <c r="O269" s="263">
        <f>IFERROR(SUMPRODUCT($J$5:$J$220,$O$5:$O$220)/SUM($J$5:$J$220),"")</f>
        <v>7.0706237364020801</v>
      </c>
      <c r="P269" s="265">
        <f>IFERROR(SUMPRODUCT($J$5:$J$220,$P$5:$P$220)/SUMIFS($J$5:$J$220,$P$5:$P$220,"&gt;0"),"")</f>
        <v>8.0118438920358805</v>
      </c>
      <c r="Q269" s="263">
        <f>IFERROR(SUMPRODUCT($J$5:$J$220,$Q$5:$Q$220)/SUM($J$5:$J$220),"")</f>
        <v>7.9379219292612655</v>
      </c>
      <c r="R269" s="263" cm="1">
        <f t="array" ref="R269">SUMPRODUCT(--($I$5:$I$220&gt;12),$R$5:$R$220,$J$5:$J$220)/SUMIF($I$5:$I$220,"&gt;12",$J$5:$J$220)</f>
        <v>3.5521791389107888</v>
      </c>
      <c r="S269" s="263" cm="1">
        <f t="array" ref="S269">SUMPRODUCT(--($I$5:$I$220&gt;12),$S$5:$S$220,$J$5:$J$220)/SUMIF($I$5:$I$220,"&gt;12",$J$5:$J$220)</f>
        <v>2.9218664656565898</v>
      </c>
      <c r="T269" s="263">
        <f>SUMPRODUCT($T$5:$T$220,$J$5:$J$220)/SUM($J$5:$J$220)</f>
        <v>8.6441339198040339</v>
      </c>
      <c r="U269" s="263">
        <f>SUMPRODUCT($U$5:$U$220,$J$5:$J$220)/SUM($J$5:$J$220)</f>
        <v>11.948803085574012</v>
      </c>
      <c r="V269" s="263" cm="1">
        <f t="array" ref="V269">SUMPRODUCT(--($AR$5:$AR$220=$B$330),$V$5:$V$220,$J$5:$J$220)/SUMIF($AR$5:$AR$220,$B$330,$J$5:$J$220)</f>
        <v>4.1293329222965376</v>
      </c>
      <c r="W269" s="263" cm="1">
        <f t="array" ref="W269">SUMPRODUCT(--($AR$5:$AR$220=$B$330),$W$5:$W$220,$J$5:$J$220)/SUMIF($AR$5:$AR$220,$B$330,$J$5:$J$220)</f>
        <v>6.1327876190499078</v>
      </c>
      <c r="X269" s="266" cm="1">
        <f t="array" ref="X269">(IFERROR(SUMPRODUCT(--($N$5:$N$220&gt;0),$J$5:$J$220,$Q$5:$Q$220)/SUMIFS($J$5:$J$220,$N$5:$N$220,"&gt;0"),""))/N269-1</f>
        <v>0.34837248332454496</v>
      </c>
      <c r="Y269" s="266"/>
      <c r="Z269" s="267">
        <f t="shared" si="193"/>
        <v>0.1226621900970386</v>
      </c>
      <c r="AA269" s="254"/>
      <c r="AB269" s="254"/>
      <c r="AD269" s="268">
        <f>SUM(AD261:AD268)</f>
        <v>279205355.82999998</v>
      </c>
      <c r="AG269" s="269">
        <f>IFERROR(SUMPRODUCT($J$5:$J$220,$AG$5:$AG$220)/SUM($J$5:$J$220),"")</f>
        <v>3.9908030470421911</v>
      </c>
      <c r="AH269" s="269">
        <f>IFERROR(SUMPRODUCT($J$5:$J$220,$AH$5:$AH$220)/SUM($J$5:$J$220),"")</f>
        <v>3.4828638315500502</v>
      </c>
    </row>
    <row r="270" spans="1:47" ht="14.45" thickBot="1">
      <c r="A270" s="278"/>
      <c r="N270" s="222"/>
      <c r="O270" s="222"/>
      <c r="P270" s="222"/>
      <c r="Q270" s="222"/>
      <c r="T270" s="222"/>
      <c r="U270" s="222"/>
      <c r="X270" s="266" cm="1">
        <f t="array" ref="X270">(IFERROR(SUMPRODUCT(--($N$5:$N$220&gt;0),$J$5:$J$220,$O$5:$O$220)/SUMIFS($J$5:$J$220,$N$5:$N$220,"&gt;0"),""))/N269-1</f>
        <v>0.20376794732101255</v>
      </c>
      <c r="Y270" s="274"/>
    </row>
    <row r="271" spans="1:47" s="246" customFormat="1" outlineLevel="2">
      <c r="A271" s="239"/>
      <c r="B271" s="240" t="s">
        <v>7</v>
      </c>
      <c r="C271" s="240"/>
      <c r="D271" s="240"/>
      <c r="E271" s="240"/>
      <c r="F271" s="240" t="s">
        <v>123</v>
      </c>
      <c r="G271" s="364"/>
      <c r="H271" s="241" t="s">
        <v>730</v>
      </c>
      <c r="I271" s="242" t="s">
        <v>731</v>
      </c>
      <c r="J271" s="243" t="s">
        <v>732</v>
      </c>
      <c r="K271" s="243"/>
      <c r="L271" s="243"/>
      <c r="M271" s="243"/>
      <c r="N271" s="243" t="s">
        <v>94</v>
      </c>
      <c r="O271" s="243" t="s">
        <v>95</v>
      </c>
      <c r="P271" s="244" t="s">
        <v>58</v>
      </c>
      <c r="Q271" s="243" t="s">
        <v>733</v>
      </c>
      <c r="R271" s="243" t="s">
        <v>734</v>
      </c>
      <c r="S271" s="243" t="s">
        <v>735</v>
      </c>
      <c r="T271" s="243" t="s">
        <v>736</v>
      </c>
      <c r="U271" s="243" t="s">
        <v>737</v>
      </c>
      <c r="V271" s="243" t="s">
        <v>64</v>
      </c>
      <c r="W271" s="243" t="s">
        <v>738</v>
      </c>
      <c r="X271" s="243" t="s">
        <v>739</v>
      </c>
      <c r="Y271" s="243"/>
      <c r="Z271" s="245" t="s">
        <v>740</v>
      </c>
      <c r="AD271" s="247" t="s">
        <v>108</v>
      </c>
      <c r="AG271" s="248" t="s">
        <v>741</v>
      </c>
      <c r="AH271" s="248" t="s">
        <v>742</v>
      </c>
      <c r="AS271" s="249"/>
      <c r="AT271" s="249"/>
      <c r="AU271" s="250"/>
    </row>
    <row r="272" spans="1:47" outlineLevel="2">
      <c r="A272" s="239"/>
      <c r="B272" s="251" t="s">
        <v>743</v>
      </c>
      <c r="C272" s="251"/>
      <c r="D272" s="251"/>
      <c r="E272" s="251"/>
      <c r="F272" s="251" t="s">
        <v>748</v>
      </c>
      <c r="H272" s="184">
        <f t="shared" ref="H272:H279" si="195">COUNTIFS($AT$5:$AT$220,F272,$AE$5:$AE$220,$B$294)</f>
        <v>2</v>
      </c>
      <c r="I272" s="254" cm="1">
        <f t="array" ref="I272">IFERROR(SUMPRODUCT(--($AT$5:$AT$220=F272),--($AE$5:$AE$220=$B$294),$J$5:$J$220,$I$5:$I$220)/SUMIFS($J$5:$J$220,$AT$5:$AT$220,F272,$AE$5:$AE$220,$B$294)/12,"")</f>
        <v>3.6933317108529189</v>
      </c>
      <c r="J272" s="253">
        <f t="shared" ref="J272:J279" si="196">SUMIFS($J$5:$J$220,$AT$5:$AT$220,F272,$AE$5:$AE$220,$B$294)</f>
        <v>158194</v>
      </c>
      <c r="K272" s="253"/>
      <c r="L272" s="253"/>
      <c r="M272" s="253"/>
      <c r="N272" s="254" t="str" cm="1">
        <f t="array" ref="N272">IFERROR(SUMPRODUCT(--($AT$5:$AT$220=F272),--($AE$5:$AE$220=$B$294),$J$5:$J$220,$N$5:$N$220)/SUMIFS($J$5:$J$220,$AT$5:$AT$220,F272,$AE$5:$AE$220,$B$294,$N$5:$N$220,"&gt;0"),"NA")</f>
        <v>NA</v>
      </c>
      <c r="O272" s="254"/>
      <c r="P272" s="255"/>
      <c r="Q272" s="254"/>
      <c r="R272" s="254" cm="1">
        <f t="array" ref="R272">IFERROR(SUMPRODUCT(--($AT$5:$AT$220=F272),--($I$5:$I$220&gt;12),--($AE$5:$AE$220=$B$294),$R$5:$R$220,$J$5:$J$220)/SUMIFS($J$5:$J$220,$I$5:$I$220,"&gt;12",$AT$5:$AT$220,F272,$AE$5:$AE$220,$B$294),"")</f>
        <v>3.7639961060470055</v>
      </c>
      <c r="S272" s="254"/>
      <c r="T272" s="254" cm="1">
        <f t="array" ref="T272">SUMPRODUCT(--($AT$5:$AT$220=F272),$T$5:$T$220,$J$5:$J$220)/SUMIFS($J$5:$J$220,$AT$5:$AT$220,F272)</f>
        <v>18.078541642298806</v>
      </c>
      <c r="U272" s="254" cm="1">
        <f t="array" ref="U272">SUMPRODUCT(--($AT$5:$AT$220=F272),$U$5:$U$220,$J$5:$J$220)/SUMIFS($J$5:$J$220,$AT$5:$AT$220,F272)</f>
        <v>13.262287823811269</v>
      </c>
      <c r="V272" s="254" cm="1">
        <f t="array" ref="V272">IFERROR(SUMPRODUCT(--($AT$5:$AT$220=F272),--($AE$5:$AE$220=$B$294),--($AR$5:$AR$220=$B$330),$V$5:$V$220,$J$5:$J$220)/SUMIFS($J$5:$J$220,$AT$5:$AT$220,F272,$AE$5:$AE$220,$B$294,$AR$5:$AR$220,$B$330),"")</f>
        <v>0</v>
      </c>
      <c r="W272" s="254"/>
      <c r="X272" s="256" t="str" cm="1">
        <f t="array" ref="X272">IFERROR((IFERROR(SUMPRODUCT(--($AT$5:$AT$220=F272),--($N$5:$N$220&gt;0),--($AE$5:$AE$220=$B$294),$J$5:$J$220,$Q$5:$Q$220)/SUMIFS($J$5:$J$220,$AT$5:$AT$220,F272,$N$5:$N$220,"&gt;0",$AE$5:$AE$220,$B$294),""))/N272-1,"NA")</f>
        <v>NA</v>
      </c>
      <c r="Y272" s="256"/>
      <c r="Z272" s="257"/>
      <c r="AA272" s="254"/>
      <c r="AB272" s="254"/>
      <c r="AD272" s="258">
        <f t="shared" ref="AD272:AD279" si="197">SUMIF($AT$5:$AT$220,F272,$AD$5:$AD$220)</f>
        <v>747338.21</v>
      </c>
      <c r="AG272" s="254" t="str" cm="1">
        <f t="array" ref="AG272">IFERROR(SUMPRODUCT(--($F$5:$F$220=F272),$J$5:$J$220,$AG$5:$AG$220)/SUMIFS($J$5:$J$220,$F$5:$F$220,F272),"")</f>
        <v/>
      </c>
      <c r="AH272" s="254" t="str" cm="1">
        <f t="array" ref="AH272">IFERROR(SUMPRODUCT(--($F$5:$F$220=F272),$J$5:$J$220,$AH$5:$AH$220)/SUMIFS($J$5:$J$220,$F$5:$F$220,F272),"")</f>
        <v/>
      </c>
      <c r="AS272" s="249"/>
      <c r="AT272" s="249"/>
      <c r="AU272" s="250"/>
    </row>
    <row r="273" spans="1:47" outlineLevel="2">
      <c r="A273" s="239"/>
      <c r="B273" s="251"/>
      <c r="C273" s="251"/>
      <c r="D273" s="251"/>
      <c r="E273" s="251"/>
      <c r="F273" s="251" t="s">
        <v>749</v>
      </c>
      <c r="H273" s="184">
        <f t="shared" si="195"/>
        <v>6</v>
      </c>
      <c r="I273" s="254" cm="1">
        <f t="array" ref="I273">IFERROR(SUMPRODUCT(--($AT$5:$AT$220=F273),--($AE$5:$AE$220=$B$294),$J$5:$J$220,$I$5:$I$220)/SUMIFS($J$5:$J$220,$AT$5:$AT$220,F273,$AE$5:$AE$220,$B$294)/12,"")</f>
        <v>4.8985999957767596</v>
      </c>
      <c r="J273" s="253">
        <f t="shared" si="196"/>
        <v>284142</v>
      </c>
      <c r="K273" s="253"/>
      <c r="L273" s="253"/>
      <c r="M273" s="253"/>
      <c r="N273" s="254" cm="1">
        <f t="array" ref="N273">IFERROR(SUMPRODUCT(--($AT$5:$AT$220=F273),--($AE$5:$AE$220=$B$294),$J$5:$J$220,$N$5:$N$220)/SUMIFS($J$5:$J$220,$AT$5:$AT$220,F273,$AE$5:$AE$220,$B$294,$N$5:$N$220,"&gt;0"),"NA")</f>
        <v>3.2694661096840592</v>
      </c>
      <c r="O273" s="254"/>
      <c r="P273" s="255"/>
      <c r="Q273" s="254"/>
      <c r="R273" s="254" cm="1">
        <f t="array" ref="R273">IFERROR(SUMPRODUCT(--($AT$5:$AT$220=F273),--($I$5:$I$220&gt;12),--($AE$5:$AE$220=$B$294),$R$5:$R$220,$J$5:$J$220)/SUMIFS($J$5:$J$220,$I$5:$I$220,"&gt;12",$AT$5:$AT$220,F273,$AE$5:$AE$220,$B$294),"")</f>
        <v>3</v>
      </c>
      <c r="S273" s="254"/>
      <c r="T273" s="254" cm="1">
        <f t="array" ref="T273">SUMPRODUCT(--($AT$5:$AT$220=F273),$T$5:$T$220,$J$5:$J$220)/SUMIFS($J$5:$J$220,$AT$5:$AT$220,F273)</f>
        <v>11.51175764114509</v>
      </c>
      <c r="U273" s="254" cm="1">
        <f t="array" ref="U273">SUMPRODUCT(--($AT$5:$AT$220=F273),$U$5:$U$220,$J$5:$J$220)/SUMIFS($J$5:$J$220,$AT$5:$AT$220,F273)</f>
        <v>20.743144624870663</v>
      </c>
      <c r="V273" s="254" cm="1">
        <f t="array" ref="V273">IFERROR(SUMPRODUCT(--($AT$5:$AT$220=F273),--($AE$5:$AE$220=$B$294),--($AR$5:$AR$220=$B$330),$V$5:$V$220,$J$5:$J$220)/SUMIFS($J$5:$J$220,$AT$5:$AT$220,F273,$AE$5:$AE$220,$B$294,$AR$5:$AR$220,$B$330),"")</f>
        <v>2.2180645258989484</v>
      </c>
      <c r="W273" s="254"/>
      <c r="X273" s="256" cm="1">
        <f t="array" ref="X273">IFERROR((IFERROR(SUMPRODUCT(--($AT$5:$AT$220=F273),--($N$5:$N$220&gt;0),--($AE$5:$AE$220=$B$294),$J$5:$J$220,$Q$5:$Q$220)/SUMIFS($J$5:$J$220,$AT$5:$AT$220,F273,$N$5:$N$220,"&gt;0",$AE$5:$AE$220,$B$294),""))/N273-1,"NA")</f>
        <v>0.17553848486615253</v>
      </c>
      <c r="Y273" s="256"/>
      <c r="Z273" s="257"/>
      <c r="AA273" s="254"/>
      <c r="AB273" s="254"/>
      <c r="AD273" s="258">
        <f t="shared" si="197"/>
        <v>6440283.5199999996</v>
      </c>
      <c r="AG273" s="254" t="str" cm="1">
        <f t="array" ref="AG273">IFERROR(SUMPRODUCT(--($F$5:$F$220=F273),$J$5:$J$220,$AG$5:$AG$220)/SUMIFS($J$5:$J$220,$F$5:$F$220,F273),"")</f>
        <v/>
      </c>
      <c r="AH273" s="254" t="str" cm="1">
        <f t="array" ref="AH273">IFERROR(SUMPRODUCT(--($F$5:$F$220=F273),$J$5:$J$220,$AH$5:$AH$220)/SUMIFS($J$5:$J$220,$F$5:$F$220,F273),"")</f>
        <v/>
      </c>
      <c r="AS273" s="249"/>
      <c r="AT273" s="249"/>
      <c r="AU273" s="250"/>
    </row>
    <row r="274" spans="1:47" outlineLevel="2">
      <c r="B274" s="251"/>
      <c r="C274" s="251"/>
      <c r="D274" s="251"/>
      <c r="E274" s="251"/>
      <c r="F274" s="251" t="s">
        <v>750</v>
      </c>
      <c r="H274" s="184">
        <f t="shared" si="195"/>
        <v>30</v>
      </c>
      <c r="I274" s="254" cm="1">
        <f t="array" ref="I274">IFERROR(SUMPRODUCT(--($AT$5:$AT$220=F274),--($AE$5:$AE$220=$B$294),$J$5:$J$220,$I$5:$I$220)/SUMIFS($J$5:$J$220,$AT$5:$AT$220,F274,$AE$5:$AE$220,$B$294)/12,"")</f>
        <v>4.7515577449830326</v>
      </c>
      <c r="J274" s="253">
        <f t="shared" si="196"/>
        <v>1023809</v>
      </c>
      <c r="K274" s="253"/>
      <c r="L274" s="253"/>
      <c r="M274" s="253"/>
      <c r="N274" s="254" cm="1">
        <f t="array" ref="N274">IFERROR(SUMPRODUCT(--($AT$5:$AT$220=F274),--($AE$5:$AE$220=$B$294),$J$5:$J$220,$N$5:$N$220)/SUMIFS($J$5:$J$220,$AT$5:$AT$220,F274,$AE$5:$AE$220,$B$294,$N$5:$N$220,"&gt;0"),"NA")</f>
        <v>5.1755350927315451</v>
      </c>
      <c r="O274" s="254"/>
      <c r="P274" s="255"/>
      <c r="Q274" s="254"/>
      <c r="R274" s="254" cm="1">
        <f t="array" ref="R274">IFERROR(SUMPRODUCT(--($AT$5:$AT$220=F274),--($I$5:$I$220&gt;12),--($AE$5:$AE$220=$B$294),$R$5:$R$220,$J$5:$J$220)/SUMIFS($J$5:$J$220,$I$5:$I$220,"&gt;12",$AT$5:$AT$220,F274,$AE$5:$AE$220,$B$294),"")</f>
        <v>3.538210984666085</v>
      </c>
      <c r="S274" s="254"/>
      <c r="T274" s="254" cm="1">
        <f t="array" ref="T274">SUMPRODUCT(--($AT$5:$AT$220=F274),$T$5:$T$220,$J$5:$J$220)/SUMIFS($J$5:$J$220,$AT$5:$AT$220,F274)</f>
        <v>10.20191615029634</v>
      </c>
      <c r="U274" s="254" cm="1">
        <f t="array" ref="U274">SUMPRODUCT(--($AT$5:$AT$220=F274),$U$5:$U$220,$J$5:$J$220)/SUMIFS($J$5:$J$220,$AT$5:$AT$220,F274)</f>
        <v>22.314089473720195</v>
      </c>
      <c r="V274" s="254" cm="1">
        <f t="array" ref="V274">IFERROR(SUMPRODUCT(--($AT$5:$AT$220=F274),--($AE$5:$AE$220=$B$294),--($AR$5:$AR$220=$B$330),$V$5:$V$220,$J$5:$J$220)/SUMIFS($J$5:$J$220,$AT$5:$AT$220,F274,$AE$5:$AE$220,$B$294,$AR$5:$AR$220,$B$330),"")</f>
        <v>1.8651138126041966</v>
      </c>
      <c r="W274" s="254"/>
      <c r="X274" s="256" cm="1">
        <f t="array" ref="X274">IFERROR((IFERROR(SUMPRODUCT(--($AT$5:$AT$220=F274),--($N$5:$N$220&gt;0),--($AE$5:$AE$220=$B$294),$J$5:$J$220,$Q$5:$Q$220)/SUMIFS($J$5:$J$220,$AT$5:$AT$220,F274,$N$5:$N$220,"&gt;0",$AE$5:$AE$220,$B$294),""))/N274-1,"NA")</f>
        <v>0.38866028348346537</v>
      </c>
      <c r="Y274" s="256"/>
      <c r="Z274" s="257"/>
      <c r="AA274" s="254"/>
      <c r="AB274" s="254"/>
      <c r="AD274" s="258">
        <f t="shared" si="197"/>
        <v>37592115.539999999</v>
      </c>
      <c r="AG274" s="254" t="str" cm="1">
        <f t="array" ref="AG274">IFERROR(SUMPRODUCT(--($F$5:$F$220=F274),$J$5:$J$220,$AG$5:$AG$220)/SUMIFS($J$5:$J$220,$F$5:$F$220,F274),"")</f>
        <v/>
      </c>
      <c r="AH274" s="254" t="str" cm="1">
        <f t="array" ref="AH274">IFERROR(SUMPRODUCT(--($F$5:$F$220=F274),$J$5:$J$220,$AH$5:$AH$220)/SUMIFS($J$5:$J$220,$F$5:$F$220,F274),"")</f>
        <v/>
      </c>
      <c r="AS274" s="249"/>
      <c r="AT274" s="249"/>
      <c r="AU274" s="250"/>
    </row>
    <row r="275" spans="1:47" outlineLevel="2">
      <c r="B275" s="251"/>
      <c r="C275" s="251"/>
      <c r="D275" s="251"/>
      <c r="E275" s="251"/>
      <c r="F275" s="251" t="s">
        <v>751</v>
      </c>
      <c r="H275" s="184">
        <f t="shared" si="195"/>
        <v>26</v>
      </c>
      <c r="I275" s="254" cm="1">
        <f t="array" ref="I275">IFERROR(SUMPRODUCT(--($AT$5:$AT$220=F275),--($AE$5:$AE$220=$B$294),$J$5:$J$220,$I$5:$I$220)/SUMIFS($J$5:$J$220,$AT$5:$AT$220,F275,$AE$5:$AE$220,$B$294)/12,"")</f>
        <v>6.5256128396331539</v>
      </c>
      <c r="J275" s="253">
        <f t="shared" si="196"/>
        <v>816690</v>
      </c>
      <c r="K275" s="253"/>
      <c r="L275" s="253"/>
      <c r="M275" s="253"/>
      <c r="N275" s="254" cm="1">
        <f t="array" ref="N275">IFERROR(SUMPRODUCT(--($AT$5:$AT$220=F275),--($AE$5:$AE$220=$B$294),$J$5:$J$220,$N$5:$N$220)/SUMIFS($J$5:$J$220,$AT$5:$AT$220,F275,$AE$5:$AE$220,$B$294,$N$5:$N$220,"&gt;0"),"NA")</f>
        <v>5.2455763652997556</v>
      </c>
      <c r="O275" s="254"/>
      <c r="P275" s="255"/>
      <c r="Q275" s="254"/>
      <c r="R275" s="254" cm="1">
        <f t="array" ref="R275">IFERROR(SUMPRODUCT(--($AT$5:$AT$220=F275),--($I$5:$I$220&gt;12),--($AE$5:$AE$220=$B$294),$R$5:$R$220,$J$5:$J$220)/SUMIFS($J$5:$J$220,$I$5:$I$220,"&gt;12",$AT$5:$AT$220,F275,$AE$5:$AE$220,$B$294),"")</f>
        <v>3.8528756321247966</v>
      </c>
      <c r="S275" s="254"/>
      <c r="T275" s="254" cm="1">
        <f t="array" ref="T275">SUMPRODUCT(--($AT$5:$AT$220=F275),$T$5:$T$220,$J$5:$J$220)/SUMIFS($J$5:$J$220,$AT$5:$AT$220,F275)</f>
        <v>11.993968432945131</v>
      </c>
      <c r="U275" s="254" cm="1">
        <f t="array" ref="U275">SUMPRODUCT(--($AT$5:$AT$220=F275),$U$5:$U$220,$J$5:$J$220)/SUMIFS($J$5:$J$220,$AT$5:$AT$220,F275)</f>
        <v>13.478168988434097</v>
      </c>
      <c r="V275" s="254" cm="1">
        <f t="array" ref="V275">IFERROR(SUMPRODUCT(--($AT$5:$AT$220=F275),--($AE$5:$AE$220=$B$294),--($AR$5:$AR$220=$B$330),$V$5:$V$220,$J$5:$J$220)/SUMIFS($J$5:$J$220,$AT$5:$AT$220,F275,$AE$5:$AE$220,$B$294,$AR$5:$AR$220,$B$330),"")</f>
        <v>5.7141982179513713</v>
      </c>
      <c r="W275" s="254"/>
      <c r="X275" s="256" cm="1">
        <f t="array" ref="X275">IFERROR((IFERROR(SUMPRODUCT(--($AT$5:$AT$220=F275),--($N$5:$N$220&gt;0),--($AE$5:$AE$220=$B$294),$J$5:$J$220,$Q$5:$Q$220)/SUMIFS($J$5:$J$220,$AT$5:$AT$220,F275,$N$5:$N$220,"&gt;0",$AE$5:$AE$220,$B$294),""))/N275-1,"NA")</f>
        <v>0.41255346755856603</v>
      </c>
      <c r="Y275" s="256"/>
      <c r="Z275" s="257"/>
      <c r="AA275" s="254"/>
      <c r="AB275" s="254"/>
      <c r="AD275" s="258">
        <f t="shared" si="197"/>
        <v>57687054.030000001</v>
      </c>
      <c r="AG275" s="254" t="str" cm="1">
        <f t="array" ref="AG275">IFERROR(SUMPRODUCT(--($F$5:$F$220=F275),$J$5:$J$220,$AG$5:$AG$220)/SUMIFS($J$5:$J$220,$F$5:$F$220,F275),"")</f>
        <v/>
      </c>
      <c r="AH275" s="254" t="str" cm="1">
        <f t="array" ref="AH275">IFERROR(SUMPRODUCT(--($F$5:$F$220=F275),$J$5:$J$220,$AH$5:$AH$220)/SUMIFS($J$5:$J$220,$F$5:$F$220,F275),"")</f>
        <v/>
      </c>
      <c r="AU275" s="184"/>
    </row>
    <row r="276" spans="1:47" outlineLevel="2">
      <c r="B276" s="251"/>
      <c r="C276" s="251"/>
      <c r="D276" s="251"/>
      <c r="E276" s="251"/>
      <c r="F276" s="251" t="s">
        <v>752</v>
      </c>
      <c r="H276" s="184">
        <f t="shared" si="195"/>
        <v>27</v>
      </c>
      <c r="I276" s="254" cm="1">
        <f t="array" ref="I276">IFERROR(SUMPRODUCT(--($AT$5:$AT$220=F276),--($AE$5:$AE$220=$B$294),$J$5:$J$220,$I$5:$I$220)/SUMIFS($J$5:$J$220,$AT$5:$AT$220,F276,$AE$5:$AE$220,$B$294)/12,"")</f>
        <v>4.8406615824982948</v>
      </c>
      <c r="J276" s="253">
        <f t="shared" si="196"/>
        <v>556761</v>
      </c>
      <c r="K276" s="253"/>
      <c r="L276" s="253"/>
      <c r="M276" s="253"/>
      <c r="N276" s="254" cm="1">
        <f t="array" ref="N276">IFERROR(SUMPRODUCT(--($AT$5:$AT$220=F276),--($AE$5:$AE$220=$B$294),$J$5:$J$220,$N$5:$N$220)/SUMIFS($J$5:$J$220,$AT$5:$AT$220,F276,$AE$5:$AE$220,$B$294,$N$5:$N$220,"&gt;0"),"NA")</f>
        <v>6.3363743047061956</v>
      </c>
      <c r="O276" s="254"/>
      <c r="P276" s="255"/>
      <c r="Q276" s="254"/>
      <c r="R276" s="254" cm="1">
        <f t="array" ref="R276">IFERROR(SUMPRODUCT(--($AT$5:$AT$220=F276),--($I$5:$I$220&gt;12),--($AE$5:$AE$220=$B$294),$R$5:$R$220,$J$5:$J$220)/SUMIFS($J$5:$J$220,$I$5:$I$220,"&gt;12",$AT$5:$AT$220,F276,$AE$5:$AE$220,$B$294),"")</f>
        <v>3.922963354114243</v>
      </c>
      <c r="S276" s="254"/>
      <c r="T276" s="254" cm="1">
        <f t="array" ref="T276">SUMPRODUCT(--($AT$5:$AT$220=F276),$T$5:$T$220,$J$5:$J$220)/SUMIFS($J$5:$J$220,$AT$5:$AT$220,F276)</f>
        <v>7.7200479888643487</v>
      </c>
      <c r="U276" s="254" cm="1">
        <f t="array" ref="U276">SUMPRODUCT(--($AT$5:$AT$220=F276),$U$5:$U$220,$J$5:$J$220)/SUMIFS($J$5:$J$220,$AT$5:$AT$220,F276)</f>
        <v>13.473636634423489</v>
      </c>
      <c r="V276" s="254" cm="1">
        <f t="array" ref="V276">IFERROR(SUMPRODUCT(--($AT$5:$AT$220=F276),--($AE$5:$AE$220=$B$294),--($AR$5:$AR$220=$B$330),$V$5:$V$220,$J$5:$J$220)/SUMIFS($J$5:$J$220,$AT$5:$AT$220,F276,$AE$5:$AE$220,$B$294,$AR$5:$AR$220,$B$330),"")</f>
        <v>3.9616084180070592</v>
      </c>
      <c r="W276" s="254"/>
      <c r="X276" s="256" cm="1">
        <f t="array" ref="X276">IFERROR((IFERROR(SUMPRODUCT(--($AT$5:$AT$220=F276),--($N$5:$N$220&gt;0),--($AE$5:$AE$220=$B$294),$J$5:$J$220,$Q$5:$Q$220)/SUMIFS($J$5:$J$220,$AT$5:$AT$220,F276,$N$5:$N$220,"&gt;0",$AE$5:$AE$220,$B$294),""))/N276-1,"NA")</f>
        <v>0.37324620502596484</v>
      </c>
      <c r="Y276" s="256"/>
      <c r="Z276" s="257"/>
      <c r="AA276" s="254"/>
      <c r="AB276" s="254"/>
      <c r="AD276" s="258">
        <f t="shared" si="197"/>
        <v>46693056.93</v>
      </c>
      <c r="AG276" s="254" t="str" cm="1">
        <f t="array" ref="AG276">IFERROR(SUMPRODUCT(--($F$5:$F$220=F276),$J$5:$J$220,$AG$5:$AG$220)/SUMIFS($J$5:$J$220,$F$5:$F$220,F276),"")</f>
        <v/>
      </c>
      <c r="AH276" s="254" t="str" cm="1">
        <f t="array" ref="AH276">IFERROR(SUMPRODUCT(--($F$5:$F$220=F276),$J$5:$J$220,$AH$5:$AH$220)/SUMIFS($J$5:$J$220,$F$5:$F$220,F276),"")</f>
        <v/>
      </c>
    </row>
    <row r="277" spans="1:47" outlineLevel="2">
      <c r="B277" s="251"/>
      <c r="C277" s="251"/>
      <c r="D277" s="251"/>
      <c r="E277" s="251"/>
      <c r="F277" s="251" t="s">
        <v>753</v>
      </c>
      <c r="H277" s="184">
        <f t="shared" si="195"/>
        <v>30</v>
      </c>
      <c r="I277" s="254" cm="1">
        <f t="array" ref="I277">IFERROR(SUMPRODUCT(--($AT$5:$AT$220=F277),--($AE$5:$AE$220=$B$294),$J$5:$J$220,$I$5:$I$220)/SUMIFS($J$5:$J$220,$AT$5:$AT$220,F277,$AE$5:$AE$220,$B$294)/12,"")</f>
        <v>5.1881038166790949</v>
      </c>
      <c r="J277" s="253">
        <f t="shared" si="196"/>
        <v>797945</v>
      </c>
      <c r="K277" s="253"/>
      <c r="L277" s="253"/>
      <c r="M277" s="253"/>
      <c r="N277" s="254" cm="1">
        <f t="array" ref="N277">IFERROR(SUMPRODUCT(--($AT$5:$AT$220=F277),--($AE$5:$AE$220=$B$294),$J$5:$J$220,$N$5:$N$220)/SUMIFS($J$5:$J$220,$AT$5:$AT$220,F277,$AE$5:$AE$220,$B$294,$N$5:$N$220,"&gt;0"),"NA")</f>
        <v>5.941415375001295</v>
      </c>
      <c r="O277" s="254"/>
      <c r="P277" s="255"/>
      <c r="Q277" s="254"/>
      <c r="R277" s="254" cm="1">
        <f t="array" ref="R277">IFERROR(SUMPRODUCT(--($AT$5:$AT$220=F277),--($I$5:$I$220&gt;12),--($AE$5:$AE$220=$B$294),$R$5:$R$220,$J$5:$J$220)/SUMIFS($J$5:$J$220,$I$5:$I$220,"&gt;12",$AT$5:$AT$220,F277,$AE$5:$AE$220,$B$294),"")</f>
        <v>3.32829361672797</v>
      </c>
      <c r="S277" s="254"/>
      <c r="T277" s="254" cm="1">
        <f t="array" ref="T277">SUMPRODUCT(--($AT$5:$AT$220=F277),$T$5:$T$220,$J$5:$J$220)/SUMIFS($J$5:$J$220,$AT$5:$AT$220,F277)</f>
        <v>8.9148777701676121</v>
      </c>
      <c r="U277" s="254" cm="1">
        <f t="array" ref="U277">SUMPRODUCT(--($AT$5:$AT$220=F277),$U$5:$U$220,$J$5:$J$220)/SUMIFS($J$5:$J$220,$AT$5:$AT$220,F277)</f>
        <v>14.23787227117122</v>
      </c>
      <c r="V277" s="254" cm="1">
        <f t="array" ref="V277">IFERROR(SUMPRODUCT(--($AT$5:$AT$220=F277),--($AE$5:$AE$220=$B$294),--($AR$5:$AR$220=$B$330),$V$5:$V$220,$J$5:$J$220)/SUMIFS($J$5:$J$220,$AT$5:$AT$220,F277,$AE$5:$AE$220,$B$294,$AR$5:$AR$220,$B$330),"")</f>
        <v>6.5590768625135318</v>
      </c>
      <c r="W277" s="254"/>
      <c r="X277" s="256" cm="1">
        <f t="array" ref="X277">IFERROR((IFERROR(SUMPRODUCT(--($AT$5:$AT$220=F277),--($N$5:$N$220&gt;0),--($AE$5:$AE$220=$B$294),$J$5:$J$220,$Q$5:$Q$220)/SUMIFS($J$5:$J$220,$AT$5:$AT$220,F277,$N$5:$N$220,"&gt;0",$AE$5:$AE$220,$B$294),""))/N277-1,"NA")</f>
        <v>0.24952187079600119</v>
      </c>
      <c r="Y277" s="256"/>
      <c r="Z277" s="257"/>
      <c r="AA277" s="254"/>
      <c r="AB277" s="254"/>
      <c r="AD277" s="258">
        <f t="shared" si="197"/>
        <v>53346383.840000004</v>
      </c>
      <c r="AG277" s="254" t="str" cm="1">
        <f t="array" ref="AG277">IFERROR(SUMPRODUCT(--($F$5:$F$220=F277),$J$5:$J$220,$AG$5:$AG$220)/SUMIFS($J$5:$J$220,$F$5:$F$220,F277),"")</f>
        <v/>
      </c>
      <c r="AH277" s="254" t="str" cm="1">
        <f t="array" ref="AH277">IFERROR(SUMPRODUCT(--($F$5:$F$220=F277),$J$5:$J$220,$AH$5:$AH$220)/SUMIFS($J$5:$J$220,$F$5:$F$220,F277),"")</f>
        <v/>
      </c>
    </row>
    <row r="278" spans="1:47" outlineLevel="2">
      <c r="B278" s="251"/>
      <c r="C278" s="251"/>
      <c r="D278" s="251"/>
      <c r="E278" s="251"/>
      <c r="F278" s="251" t="s">
        <v>754</v>
      </c>
      <c r="H278" s="184">
        <f t="shared" si="195"/>
        <v>17</v>
      </c>
      <c r="I278" s="254" cm="1">
        <f t="array" ref="I278">IFERROR(SUMPRODUCT(--($AT$5:$AT$220=F278),--($AE$5:$AE$220=$B$294),$J$5:$J$220,$I$5:$I$220)/SUMIFS($J$5:$J$220,$AT$5:$AT$220,F278,$AE$5:$AE$220,$B$294)/12,"")</f>
        <v>4.2377678246605166</v>
      </c>
      <c r="J278" s="253">
        <f t="shared" si="196"/>
        <v>556163</v>
      </c>
      <c r="K278" s="253"/>
      <c r="L278" s="253"/>
      <c r="M278" s="253"/>
      <c r="N278" s="254" cm="1">
        <f t="array" ref="N278">IFERROR(SUMPRODUCT(--($AT$5:$AT$220=F278),--($AE$5:$AE$220=$B$294),$J$5:$J$220,$N$5:$N$220)/SUMIFS($J$5:$J$220,$AT$5:$AT$220,F278,$AE$5:$AE$220,$B$294,$N$5:$N$220,"&gt;0"),"NA")</f>
        <v>8.3743435108052857</v>
      </c>
      <c r="O278" s="254"/>
      <c r="P278" s="255"/>
      <c r="Q278" s="254"/>
      <c r="R278" s="254" cm="1">
        <f t="array" ref="R278">IFERROR(SUMPRODUCT(--($AT$5:$AT$220=F278),--($I$5:$I$220&gt;12),--($AE$5:$AE$220=$B$294),$R$5:$R$220,$J$5:$J$220)/SUMIFS($J$5:$J$220,$I$5:$I$220,"&gt;12",$AT$5:$AT$220,F278,$AE$5:$AE$220,$B$294),"")</f>
        <v>3.5828160988774873</v>
      </c>
      <c r="S278" s="254"/>
      <c r="T278" s="254" cm="1">
        <f t="array" ref="T278">SUMPRODUCT(--($AT$5:$AT$220=F278),$T$5:$T$220,$J$5:$J$220)/SUMIFS($J$5:$J$220,$AT$5:$AT$220,F278)</f>
        <v>7.7630571656217846</v>
      </c>
      <c r="U278" s="254" cm="1">
        <f t="array" ref="U278">SUMPRODUCT(--($AT$5:$AT$220=F278),$U$5:$U$220,$J$5:$J$220)/SUMIFS($J$5:$J$220,$AT$5:$AT$220,F278)</f>
        <v>0</v>
      </c>
      <c r="V278" s="254" cm="1">
        <f t="array" ref="V278">IFERROR(SUMPRODUCT(--($AT$5:$AT$220=F278),--($AE$5:$AE$220=$B$294),--($AR$5:$AR$220=$B$330),$V$5:$V$220,$J$5:$J$220)/SUMIFS($J$5:$J$220,$AT$5:$AT$220,F278,$AE$5:$AE$220,$B$294,$AR$5:$AR$220,$B$330),"")</f>
        <v>3.2815068550655284</v>
      </c>
      <c r="W278" s="254"/>
      <c r="X278" s="256" cm="1">
        <f t="array" ref="X278">IFERROR((IFERROR(SUMPRODUCT(--($AT$5:$AT$220=F278),--($N$5:$N$220&gt;0),--($AE$5:$AE$220=$B$294),$J$5:$J$220,$Q$5:$Q$220)/SUMIFS($J$5:$J$220,$AT$5:$AT$220,F278,$N$5:$N$220,"&gt;0",$AE$5:$AE$220,$B$294),""))/N278-1,"NA")</f>
        <v>0.33622945284760153</v>
      </c>
      <c r="Y278" s="256"/>
      <c r="Z278" s="257"/>
      <c r="AA278" s="254"/>
      <c r="AB278" s="254"/>
      <c r="AD278" s="258">
        <f t="shared" si="197"/>
        <v>53621615.259999998</v>
      </c>
      <c r="AG278" s="254" t="str" cm="1">
        <f t="array" ref="AG278">IFERROR(SUMPRODUCT(--($F$5:$F$220=F278),$J$5:$J$220,$AG$5:$AG$220)/SUMIFS($J$5:$J$220,$F$5:$F$220,F278),"")</f>
        <v/>
      </c>
      <c r="AH278" s="254" t="str" cm="1">
        <f t="array" ref="AH278">IFERROR(SUMPRODUCT(--($F$5:$F$220=F278),$J$5:$J$220,$AH$5:$AH$220)/SUMIFS($J$5:$J$220,$F$5:$F$220,F278),"")</f>
        <v/>
      </c>
    </row>
    <row r="279" spans="1:47" outlineLevel="2">
      <c r="B279" s="251"/>
      <c r="C279" s="251"/>
      <c r="D279" s="251"/>
      <c r="E279" s="251"/>
      <c r="F279" s="251" t="s">
        <v>16</v>
      </c>
      <c r="H279" s="184">
        <f t="shared" si="195"/>
        <v>11</v>
      </c>
      <c r="I279" s="254" cm="1">
        <f t="array" ref="I279">IFERROR(SUMPRODUCT(--($AT$5:$AT$220=F279),--($AE$5:$AE$220=$B$294),$J$5:$J$220,$I$5:$I$220)/SUMIFS($J$5:$J$220,$AT$5:$AT$220,F279,$AE$5:$AE$220,$B$294)/12,"")</f>
        <v>3.6867306196920198</v>
      </c>
      <c r="J279" s="253">
        <f t="shared" si="196"/>
        <v>372513</v>
      </c>
      <c r="K279" s="253"/>
      <c r="L279" s="253"/>
      <c r="M279" s="253"/>
      <c r="N279" s="254" cm="1">
        <f t="array" ref="N279">IFERROR(SUMPRODUCT(--($AT$5:$AT$220=F279),--($AE$5:$AE$220=$B$294),$J$5:$J$220,$N$5:$N$220)/SUMIFS($J$5:$J$220,$AT$5:$AT$220,F279,$AE$5:$AE$220,$B$294,$N$5:$N$220,"&gt;0"),"NA")</f>
        <v>5.2094371139174935</v>
      </c>
      <c r="O279" s="254"/>
      <c r="P279" s="255"/>
      <c r="Q279" s="254"/>
      <c r="R279" s="254" cm="1">
        <f t="array" ref="R279">IFERROR(SUMPRODUCT(--($AT$5:$AT$220=F279),--($I$5:$I$220&gt;12),--($AE$5:$AE$220=$B$294),$R$5:$R$220,$J$5:$J$220)/SUMIFS($J$5:$J$220,$I$5:$I$220,"&gt;12",$AT$5:$AT$220,F279,$AE$5:$AE$220,$B$294),"")</f>
        <v>4.0624810946195167</v>
      </c>
      <c r="S279" s="254"/>
      <c r="T279" s="254" cm="1">
        <f t="array" ref="T279">SUMPRODUCT(--($AT$5:$AT$220=F279),$T$5:$T$220,$J$5:$J$220)/SUMIFS($J$5:$J$220,$AT$5:$AT$220,F279)</f>
        <v>0</v>
      </c>
      <c r="U279" s="254" cm="1">
        <f t="array" ref="U279">SUMPRODUCT(--($AT$5:$AT$220=F279),$U$5:$U$220,$J$5:$J$220)/SUMIFS($J$5:$J$220,$AT$5:$AT$220,F279)</f>
        <v>0</v>
      </c>
      <c r="V279" s="254" cm="1">
        <f t="array" ref="V279">IFERROR(SUMPRODUCT(--($AT$5:$AT$220=F279),--($AE$5:$AE$220=$B$294),--($AR$5:$AR$220=$B$330),$V$5:$V$220,$J$5:$J$220)/SUMIFS($J$5:$J$220,$AT$5:$AT$220,F279,$AE$5:$AE$220,$B$294,$AR$5:$AR$220,$B$330),"")</f>
        <v>10.543553058513535</v>
      </c>
      <c r="W279" s="254"/>
      <c r="X279" s="256" cm="1">
        <f t="array" ref="X279">IFERROR((IFERROR(SUMPRODUCT(--($AT$5:$AT$220=F279),--($N$5:$N$220&gt;0),--($AE$5:$AE$220=$B$294),$J$5:$J$220,$Q$5:$Q$220)/SUMIFS($J$5:$J$220,$AT$5:$AT$220,F279,$N$5:$N$220,"&gt;0",$AE$5:$AE$220,$B$294),""))/N279-1,"NA")</f>
        <v>0.28977592433377497</v>
      </c>
      <c r="Y279" s="256"/>
      <c r="Z279" s="257"/>
      <c r="AA279" s="254"/>
      <c r="AB279" s="254"/>
      <c r="AD279" s="258">
        <f t="shared" si="197"/>
        <v>23077508.5</v>
      </c>
      <c r="AG279" s="254" t="str" cm="1">
        <f t="array" ref="AG279">IFERROR(SUMPRODUCT(--($F$5:$F$220=F279),$J$5:$J$220,$AG$5:$AG$220)/SUMIFS($J$5:$J$220,$F$5:$F$220,F279),"")</f>
        <v/>
      </c>
      <c r="AH279" s="254" t="str" cm="1">
        <f t="array" ref="AH279">IFERROR(SUMPRODUCT(--($F$5:$F$220=F279),$J$5:$J$220,$AH$5:$AH$220)/SUMIFS($J$5:$J$220,$F$5:$F$220,F279),"")</f>
        <v/>
      </c>
    </row>
    <row r="280" spans="1:47" ht="14.45" outlineLevel="2" thickBot="1">
      <c r="B280" s="260"/>
      <c r="C280" s="260"/>
      <c r="D280" s="260"/>
      <c r="E280" s="260"/>
      <c r="F280" s="261" t="s">
        <v>27</v>
      </c>
      <c r="G280" s="262"/>
      <c r="H280" s="262">
        <f>SUM(H272:H279)</f>
        <v>149</v>
      </c>
      <c r="I280" s="277" cm="1">
        <f t="array" ref="I280">IFERROR(SUMPRODUCT(--($AE$5:$AE$220=$B$294),$J$5:$J$220,$I$5:$I$220)/SUMIFS($J$5:$J$220,$AE$5:$AE$220,$B$294)/12,"")</f>
        <v>4.9790470061614096</v>
      </c>
      <c r="J280" s="264">
        <f>SUM(J272:J279)</f>
        <v>4566217</v>
      </c>
      <c r="K280" s="264"/>
      <c r="L280" s="264"/>
      <c r="M280" s="264"/>
      <c r="N280" s="263">
        <f>N307</f>
        <v>5.8044039936648408</v>
      </c>
      <c r="O280" s="263"/>
      <c r="P280" s="265"/>
      <c r="Q280" s="263"/>
      <c r="R280" s="263">
        <f>R307</f>
        <v>3.6272542172218274</v>
      </c>
      <c r="S280" s="263"/>
      <c r="T280" s="263">
        <f>SUMPRODUCT($T$5:$T$220,$J$5:$J$220)/SUM($J$5:$J$220)</f>
        <v>8.6441339198040339</v>
      </c>
      <c r="U280" s="263">
        <f>SUMPRODUCT($U$5:$U$220,$J$5:$J$220)/SUM($J$5:$J$220)</f>
        <v>11.948803085574012</v>
      </c>
      <c r="V280" s="263">
        <f>V307</f>
        <v>3.7380622350045956</v>
      </c>
      <c r="W280" s="263"/>
      <c r="X280" s="266">
        <f>X307</f>
        <v>0.34051259410205237</v>
      </c>
      <c r="Y280" s="266"/>
      <c r="Z280" s="267"/>
      <c r="AA280" s="254"/>
      <c r="AB280" s="254"/>
      <c r="AD280" s="268">
        <f>SUM(AD272:AD279)</f>
        <v>279205355.82999998</v>
      </c>
      <c r="AG280" s="269">
        <f>IFERROR(SUMPRODUCT($J$5:$J$220,$AG$5:$AG$220)/SUM($J$5:$J$220),"")</f>
        <v>3.9908030470421911</v>
      </c>
      <c r="AH280" s="269">
        <f>IFERROR(SUMPRODUCT($J$5:$J$220,$AH$5:$AH$220)/SUM($J$5:$J$220),"")</f>
        <v>3.4828638315500502</v>
      </c>
    </row>
    <row r="281" spans="1:47" ht="14.45" thickBot="1">
      <c r="A281" s="278"/>
      <c r="N281" s="222"/>
      <c r="O281" s="222"/>
      <c r="P281" s="222"/>
      <c r="Q281" s="222"/>
      <c r="T281" s="222"/>
      <c r="U281" s="222"/>
    </row>
    <row r="282" spans="1:47" s="246" customFormat="1" outlineLevel="2">
      <c r="A282" s="239"/>
      <c r="B282" s="240" t="s">
        <v>10</v>
      </c>
      <c r="C282" s="240"/>
      <c r="D282" s="240"/>
      <c r="E282" s="240"/>
      <c r="F282" s="240" t="s">
        <v>123</v>
      </c>
      <c r="G282" s="364"/>
      <c r="H282" s="241" t="s">
        <v>730</v>
      </c>
      <c r="I282" s="242" t="s">
        <v>731</v>
      </c>
      <c r="J282" s="243" t="s">
        <v>732</v>
      </c>
      <c r="K282" s="243"/>
      <c r="L282" s="243"/>
      <c r="M282" s="243"/>
      <c r="N282" s="243" t="s">
        <v>94</v>
      </c>
      <c r="O282" s="243" t="s">
        <v>95</v>
      </c>
      <c r="P282" s="244" t="s">
        <v>58</v>
      </c>
      <c r="Q282" s="243" t="s">
        <v>733</v>
      </c>
      <c r="R282" s="243" t="s">
        <v>734</v>
      </c>
      <c r="S282" s="243" t="s">
        <v>735</v>
      </c>
      <c r="T282" s="243" t="s">
        <v>736</v>
      </c>
      <c r="U282" s="243" t="s">
        <v>737</v>
      </c>
      <c r="V282" s="243" t="s">
        <v>64</v>
      </c>
      <c r="W282" s="243" t="s">
        <v>738</v>
      </c>
      <c r="X282" s="243" t="s">
        <v>739</v>
      </c>
      <c r="Y282" s="243"/>
      <c r="Z282" s="245" t="s">
        <v>740</v>
      </c>
      <c r="AD282" s="247" t="s">
        <v>108</v>
      </c>
      <c r="AG282" s="248" t="s">
        <v>741</v>
      </c>
      <c r="AH282" s="248" t="s">
        <v>742</v>
      </c>
      <c r="AS282" s="249"/>
      <c r="AT282" s="249"/>
      <c r="AU282" s="250"/>
    </row>
    <row r="283" spans="1:47" outlineLevel="2">
      <c r="A283" s="239"/>
      <c r="B283" s="251" t="s">
        <v>743</v>
      </c>
      <c r="C283" s="251"/>
      <c r="D283" s="251"/>
      <c r="E283" s="251"/>
      <c r="F283" s="251" t="s">
        <v>748</v>
      </c>
      <c r="H283" s="184">
        <f t="shared" ref="H283:H290" si="198">COUNTIFS($AT$5:$AT$220,F283,$AE$5:$AE$220,$B$310)</f>
        <v>0</v>
      </c>
      <c r="I283" s="254" cm="1">
        <f t="array" ref="I283">IFERROR(SUMPRODUCT(--($AT$5:$AT$220=F283),--($AE$5:$AE$220=$B$294),$J$5:$J$220,$I$5:$I$220)/SUMIFS($J$5:$J$220,$AT$5:$AT$220,F283,$AE$5:$AE$220,$B$294)/12,"")</f>
        <v>3.6933317108529189</v>
      </c>
      <c r="J283" s="253">
        <f t="shared" ref="J283:J290" si="199">SUMIFS($J$5:$J$220,$AT$5:$AT$220,F283,$AE$5:$AE$220,$B$310)</f>
        <v>0</v>
      </c>
      <c r="K283" s="253"/>
      <c r="L283" s="253"/>
      <c r="M283" s="253"/>
      <c r="N283" s="254" t="str" cm="1">
        <f t="array" ref="N283">IFERROR(SUMPRODUCT(--($AT$5:$AT$220=F283),--($AE$5:$AE$220=$B$310),$J$5:$J$220,$N$5:$N$220)/SUMIFS($J$5:$J$220,$AT$5:$AT$220,F283,$AE$5:$AE$220,$B$310,$N$5:$N$220,"&gt;0"),"NA")</f>
        <v>NA</v>
      </c>
      <c r="O283" s="254"/>
      <c r="P283" s="255"/>
      <c r="Q283" s="254"/>
      <c r="R283" s="254" t="str" cm="1">
        <f t="array" ref="R283">IFERROR(SUMPRODUCT(--($AT$5:$AT$220=F283),--($I$5:$I$220&gt;12),--($AE$5:$AE$220=$B$310),$R$5:$R$220,$J$5:$J$220)/SUMIFS($J$5:$J$220,$I$5:$I$220,"&gt;12",$AT$5:$AT$220,F283,$AE$5:$AE$220,$B$310),"")</f>
        <v/>
      </c>
      <c r="S283" s="254"/>
      <c r="T283" s="254" cm="1">
        <f t="array" ref="T283">SUMPRODUCT(--($AT$5:$AT$220=F283),$T$5:$T$220,$J$5:$J$220)/SUMIFS($J$5:$J$220,$AT$5:$AT$220,F283)</f>
        <v>18.078541642298806</v>
      </c>
      <c r="U283" s="254" cm="1">
        <f t="array" ref="U283">SUMPRODUCT(--($AT$5:$AT$220=F283),$U$5:$U$220,$J$5:$J$220)/SUMIFS($J$5:$J$220,$AT$5:$AT$220,F283)</f>
        <v>13.262287823811269</v>
      </c>
      <c r="V283" s="254" t="str" cm="1">
        <f t="array" ref="V283">IFERROR(SUMPRODUCT(--($AT$5:$AT$220=F283),--($AE$5:$AE$220=$B$310),--($AR$5:$AR$220=$B$330),$V$5:$V$220,$J$5:$J$220)/SUMIFS($J$5:$J$220,$AT$5:$AT$220,F283,$AE$5:$AE$220,$B$310,$AR$5:$AR$220,$B$330),"")</f>
        <v/>
      </c>
      <c r="W283" s="254"/>
      <c r="X283" s="256" t="str" cm="1">
        <f t="array" ref="X283">IFERROR((IFERROR(SUMPRODUCT(--($AT$5:$AT$220=F283),--($N$5:$N$220&gt;0),--($AE$5:$AE$220=$B$310),$J$5:$J$220,$Q$5:$Q$220)/SUMIFS($J$5:$J$220,$AT$5:$AT$220,F283,$N$5:$N$220,"&gt;0",$AE$5:$AE$220,$B$310),""))/N283-1,"NA")</f>
        <v>NA</v>
      </c>
      <c r="Y283" s="256"/>
      <c r="Z283" s="257"/>
      <c r="AA283" s="254"/>
      <c r="AB283" s="254"/>
      <c r="AD283" s="258">
        <f t="shared" ref="AD283:AD290" si="200">SUMIF($AT$5:$AT$220,F283,$AD$5:$AD$220)</f>
        <v>747338.21</v>
      </c>
      <c r="AG283" s="254" t="str" cm="1">
        <f t="array" ref="AG283">IFERROR(SUMPRODUCT(--($F$5:$F$220=F283),$J$5:$J$220,$AG$5:$AG$220)/SUMIFS($J$5:$J$220,$F$5:$F$220,F283),"")</f>
        <v/>
      </c>
      <c r="AH283" s="254" t="str" cm="1">
        <f t="array" ref="AH283">IFERROR(SUMPRODUCT(--($F$5:$F$220=F283),$J$5:$J$220,$AH$5:$AH$220)/SUMIFS($J$5:$J$220,$F$5:$F$220,F283),"")</f>
        <v/>
      </c>
      <c r="AS283" s="249"/>
      <c r="AT283" s="249"/>
      <c r="AU283" s="250"/>
    </row>
    <row r="284" spans="1:47" outlineLevel="2">
      <c r="A284" s="239"/>
      <c r="B284" s="251"/>
      <c r="C284" s="251"/>
      <c r="D284" s="251"/>
      <c r="E284" s="251"/>
      <c r="F284" s="251" t="s">
        <v>749</v>
      </c>
      <c r="H284" s="184">
        <f t="shared" si="198"/>
        <v>0</v>
      </c>
      <c r="I284" s="254" cm="1">
        <f t="array" ref="I284">IFERROR(SUMPRODUCT(--($AT$5:$AT$220=F284),--($AE$5:$AE$220=$B$294),$J$5:$J$220,$I$5:$I$220)/SUMIFS($J$5:$J$220,$AT$5:$AT$220,F284,$AE$5:$AE$220,$B$294)/12,"")</f>
        <v>4.8985999957767596</v>
      </c>
      <c r="J284" s="253">
        <f t="shared" si="199"/>
        <v>0</v>
      </c>
      <c r="K284" s="253"/>
      <c r="L284" s="253"/>
      <c r="M284" s="253"/>
      <c r="N284" s="254" t="str" cm="1">
        <f t="array" ref="N284">IFERROR(SUMPRODUCT(--($AT$5:$AT$220=F284),--($AE$5:$AE$220=$B$310),$J$5:$J$220,$N$5:$N$220)/SUMIFS($J$5:$J$220,$AT$5:$AT$220,F284,$AE$5:$AE$220,$B$310,$N$5:$N$220,"&gt;0"),"NA")</f>
        <v>NA</v>
      </c>
      <c r="O284" s="254"/>
      <c r="P284" s="255"/>
      <c r="Q284" s="254"/>
      <c r="R284" s="254" t="str" cm="1">
        <f t="array" ref="R284">IFERROR(SUMPRODUCT(--($AT$5:$AT$220=F284),--($I$5:$I$220&gt;12),--($AE$5:$AE$220=$B$310),$R$5:$R$220,$J$5:$J$220)/SUMIFS($J$5:$J$220,$I$5:$I$220,"&gt;12",$AT$5:$AT$220,F284,$AE$5:$AE$220,$B$310),"")</f>
        <v/>
      </c>
      <c r="S284" s="254"/>
      <c r="T284" s="254" cm="1">
        <f t="array" ref="T284">SUMPRODUCT(--($AT$5:$AT$220=F284),$T$5:$T$220,$J$5:$J$220)/SUMIFS($J$5:$J$220,$AT$5:$AT$220,F284)</f>
        <v>11.51175764114509</v>
      </c>
      <c r="U284" s="254" cm="1">
        <f t="array" ref="U284">SUMPRODUCT(--($AT$5:$AT$220=F284),$U$5:$U$220,$J$5:$J$220)/SUMIFS($J$5:$J$220,$AT$5:$AT$220,F284)</f>
        <v>20.743144624870663</v>
      </c>
      <c r="V284" s="254" t="str" cm="1">
        <f t="array" ref="V284">IFERROR(SUMPRODUCT(--($AT$5:$AT$220=F284),--($AE$5:$AE$220=$B$310),--($AR$5:$AR$220=$B$330),$V$5:$V$220,$J$5:$J$220)/SUMIFS($J$5:$J$220,$AT$5:$AT$220,F284,$AE$5:$AE$220,$B$310,$AR$5:$AR$220,$B$330),"")</f>
        <v/>
      </c>
      <c r="W284" s="254"/>
      <c r="X284" s="256" t="str" cm="1">
        <f t="array" ref="X284">IFERROR((IFERROR(SUMPRODUCT(--($AT$5:$AT$220=F284),--($N$5:$N$220&gt;0),--($AE$5:$AE$220=$B$310),$J$5:$J$220,$Q$5:$Q$220)/SUMIFS($J$5:$J$220,$AT$5:$AT$220,F284,$N$5:$N$220,"&gt;0",$AE$5:$AE$220,$B$310),""))/N284-1,"NA")</f>
        <v>NA</v>
      </c>
      <c r="Y284" s="256"/>
      <c r="Z284" s="257"/>
      <c r="AA284" s="254"/>
      <c r="AB284" s="254"/>
      <c r="AD284" s="258">
        <f t="shared" si="200"/>
        <v>6440283.5199999996</v>
      </c>
      <c r="AG284" s="254" t="str" cm="1">
        <f t="array" ref="AG284">IFERROR(SUMPRODUCT(--($F$5:$F$220=F284),$J$5:$J$220,$AG$5:$AG$220)/SUMIFS($J$5:$J$220,$F$5:$F$220,F284),"")</f>
        <v/>
      </c>
      <c r="AH284" s="254" t="str" cm="1">
        <f t="array" ref="AH284">IFERROR(SUMPRODUCT(--($F$5:$F$220=F284),$J$5:$J$220,$AH$5:$AH$220)/SUMIFS($J$5:$J$220,$F$5:$F$220,F284),"")</f>
        <v/>
      </c>
      <c r="AS284" s="249"/>
      <c r="AT284" s="249"/>
      <c r="AU284" s="250"/>
    </row>
    <row r="285" spans="1:47" outlineLevel="2">
      <c r="B285" s="251"/>
      <c r="C285" s="251"/>
      <c r="D285" s="251"/>
      <c r="E285" s="251"/>
      <c r="F285" s="251" t="s">
        <v>750</v>
      </c>
      <c r="H285" s="184">
        <f t="shared" si="198"/>
        <v>0</v>
      </c>
      <c r="I285" s="254" cm="1">
        <f t="array" ref="I285">IFERROR(SUMPRODUCT(--($AT$5:$AT$220=F285),--($AE$5:$AE$220=$B$294),$J$5:$J$220,$I$5:$I$220)/SUMIFS($J$5:$J$220,$AT$5:$AT$220,F285,$AE$5:$AE$220,$B$294)/12,"")</f>
        <v>4.7515577449830326</v>
      </c>
      <c r="J285" s="253">
        <f t="shared" si="199"/>
        <v>0</v>
      </c>
      <c r="K285" s="253"/>
      <c r="L285" s="253"/>
      <c r="M285" s="253"/>
      <c r="N285" s="254" t="str" cm="1">
        <f t="array" ref="N285">IFERROR(SUMPRODUCT(--($AT$5:$AT$220=F285),--($AE$5:$AE$220=$B$310),$J$5:$J$220,$N$5:$N$220)/SUMIFS($J$5:$J$220,$AT$5:$AT$220,F285,$AE$5:$AE$220,$B$310,$N$5:$N$220,"&gt;0"),"NA")</f>
        <v>NA</v>
      </c>
      <c r="O285" s="254"/>
      <c r="P285" s="255"/>
      <c r="Q285" s="254"/>
      <c r="R285" s="254" t="str" cm="1">
        <f t="array" ref="R285">IFERROR(SUMPRODUCT(--($AT$5:$AT$220=F285),--($I$5:$I$220&gt;12),--($AE$5:$AE$220=$B$310),$R$5:$R$220,$J$5:$J$220)/SUMIFS($J$5:$J$220,$I$5:$I$220,"&gt;12",$AT$5:$AT$220,F285,$AE$5:$AE$220,$B$310),"")</f>
        <v/>
      </c>
      <c r="S285" s="254"/>
      <c r="T285" s="254" cm="1">
        <f t="array" ref="T285">SUMPRODUCT(--($AT$5:$AT$220=F285),$T$5:$T$220,$J$5:$J$220)/SUMIFS($J$5:$J$220,$AT$5:$AT$220,F285)</f>
        <v>10.20191615029634</v>
      </c>
      <c r="U285" s="254" cm="1">
        <f t="array" ref="U285">SUMPRODUCT(--($AT$5:$AT$220=F285),$U$5:$U$220,$J$5:$J$220)/SUMIFS($J$5:$J$220,$AT$5:$AT$220,F285)</f>
        <v>22.314089473720195</v>
      </c>
      <c r="V285" s="254" t="str" cm="1">
        <f t="array" ref="V285">IFERROR(SUMPRODUCT(--($AT$5:$AT$220=F285),--($AE$5:$AE$220=$B$310),--($AR$5:$AR$220=$B$330),$V$5:$V$220,$J$5:$J$220)/SUMIFS($J$5:$J$220,$AT$5:$AT$220,F285,$AE$5:$AE$220,$B$310,$AR$5:$AR$220,$B$330),"")</f>
        <v/>
      </c>
      <c r="W285" s="254"/>
      <c r="X285" s="256" t="str" cm="1">
        <f t="array" ref="X285">IFERROR((IFERROR(SUMPRODUCT(--($AT$5:$AT$220=F285),--($N$5:$N$220&gt;0),--($AE$5:$AE$220=$B$310),$J$5:$J$220,$Q$5:$Q$220)/SUMIFS($J$5:$J$220,$AT$5:$AT$220,F285,$N$5:$N$220,"&gt;0",$AE$5:$AE$220,$B$310),""))/N285-1,"NA")</f>
        <v>NA</v>
      </c>
      <c r="Y285" s="256"/>
      <c r="Z285" s="257"/>
      <c r="AA285" s="254"/>
      <c r="AB285" s="254"/>
      <c r="AD285" s="258">
        <f t="shared" si="200"/>
        <v>37592115.539999999</v>
      </c>
      <c r="AG285" s="254" t="str" cm="1">
        <f t="array" ref="AG285">IFERROR(SUMPRODUCT(--($F$5:$F$220=F285),$J$5:$J$220,$AG$5:$AG$220)/SUMIFS($J$5:$J$220,$F$5:$F$220,F285),"")</f>
        <v/>
      </c>
      <c r="AH285" s="254" t="str" cm="1">
        <f t="array" ref="AH285">IFERROR(SUMPRODUCT(--($F$5:$F$220=F285),$J$5:$J$220,$AH$5:$AH$220)/SUMIFS($J$5:$J$220,$F$5:$F$220,F285),"")</f>
        <v/>
      </c>
      <c r="AS285" s="249"/>
      <c r="AT285" s="249"/>
      <c r="AU285" s="250"/>
    </row>
    <row r="286" spans="1:47" outlineLevel="2">
      <c r="B286" s="251"/>
      <c r="C286" s="251"/>
      <c r="D286" s="251"/>
      <c r="E286" s="251"/>
      <c r="F286" s="251" t="s">
        <v>751</v>
      </c>
      <c r="H286" s="184">
        <f t="shared" si="198"/>
        <v>10</v>
      </c>
      <c r="I286" s="254" cm="1">
        <f t="array" ref="I286">IFERROR(SUMPRODUCT(--($AT$5:$AT$220=F286),--($AE$5:$AE$220=$B$294),$J$5:$J$220,$I$5:$I$220)/SUMIFS($J$5:$J$220,$AT$5:$AT$220,F286,$AE$5:$AE$220,$B$294)/12,"")</f>
        <v>6.5256128396331539</v>
      </c>
      <c r="J286" s="253">
        <f t="shared" si="199"/>
        <v>243063</v>
      </c>
      <c r="K286" s="253"/>
      <c r="L286" s="253"/>
      <c r="M286" s="253"/>
      <c r="N286" s="254" cm="1">
        <f t="array" ref="N286">IFERROR(SUMPRODUCT(--($AT$5:$AT$220=F286),--($AE$5:$AE$220=$B$310),$J$5:$J$220,$N$5:$N$220)/SUMIFS($J$5:$J$220,$AT$5:$AT$220,F286,$AE$5:$AE$220,$B$310,$N$5:$N$220,"&gt;0"),"NA")</f>
        <v>4.4796324950461139</v>
      </c>
      <c r="O286" s="254"/>
      <c r="P286" s="255"/>
      <c r="Q286" s="254"/>
      <c r="R286" s="254" cm="1">
        <f t="array" ref="R286">IFERROR(SUMPRODUCT(--($AT$5:$AT$220=F286),--($I$5:$I$220&gt;12),--($AE$5:$AE$220=$B$310),$R$5:$R$220,$J$5:$J$220)/SUMIFS($J$5:$J$220,$I$5:$I$220,"&gt;12",$AT$5:$AT$220,F286,$AE$5:$AE$220,$B$310),"")</f>
        <v>3.6732596075914477</v>
      </c>
      <c r="S286" s="254"/>
      <c r="T286" s="254" cm="1">
        <f t="array" ref="T286">SUMPRODUCT(--($AT$5:$AT$220=F286),$T$5:$T$220,$J$5:$J$220)/SUMIFS($J$5:$J$220,$AT$5:$AT$220,F286)</f>
        <v>11.993968432945131</v>
      </c>
      <c r="U286" s="254" cm="1">
        <f t="array" ref="U286">SUMPRODUCT(--($AT$5:$AT$220=F286),$U$5:$U$220,$J$5:$J$220)/SUMIFS($J$5:$J$220,$AT$5:$AT$220,F286)</f>
        <v>13.478168988434097</v>
      </c>
      <c r="V286" s="254" cm="1">
        <f t="array" ref="V286">IFERROR(SUMPRODUCT(--($AT$5:$AT$220=F286),--($AE$5:$AE$220=$B$310),--($AR$5:$AR$220=$B$330),$V$5:$V$220,$J$5:$J$220)/SUMIFS($J$5:$J$220,$AT$5:$AT$220,F286,$AE$5:$AE$220,$B$310,$AR$5:$AR$220,$B$330),"")</f>
        <v>1.4702006566400669</v>
      </c>
      <c r="W286" s="254"/>
      <c r="X286" s="256" cm="1">
        <f t="array" ref="X286">IFERROR((IFERROR(SUMPRODUCT(--($AT$5:$AT$220=F286),--($N$5:$N$220&gt;0),--($AE$5:$AE$220=$B$310),$J$5:$J$220,$Q$5:$Q$220)/SUMIFS($J$5:$J$220,$AT$5:$AT$220,F286,$N$5:$N$220,"&gt;0",$AE$5:$AE$220,$B$310),""))/N286-1,"NA")</f>
        <v>0.24066900969785565</v>
      </c>
      <c r="Y286" s="256"/>
      <c r="Z286" s="257"/>
      <c r="AA286" s="254"/>
      <c r="AB286" s="254"/>
      <c r="AD286" s="258">
        <f t="shared" si="200"/>
        <v>57687054.030000001</v>
      </c>
      <c r="AG286" s="254" t="str" cm="1">
        <f t="array" ref="AG286">IFERROR(SUMPRODUCT(--($F$5:$F$220=F286),$J$5:$J$220,$AG$5:$AG$220)/SUMIFS($J$5:$J$220,$F$5:$F$220,F286),"")</f>
        <v/>
      </c>
      <c r="AH286" s="254" t="str" cm="1">
        <f t="array" ref="AH286">IFERROR(SUMPRODUCT(--($F$5:$F$220=F286),$J$5:$J$220,$AH$5:$AH$220)/SUMIFS($J$5:$J$220,$F$5:$F$220,F286),"")</f>
        <v/>
      </c>
      <c r="AU286" s="184"/>
    </row>
    <row r="287" spans="1:47" outlineLevel="2">
      <c r="B287" s="251"/>
      <c r="C287" s="251"/>
      <c r="D287" s="251"/>
      <c r="E287" s="251"/>
      <c r="F287" s="251" t="s">
        <v>752</v>
      </c>
      <c r="H287" s="184">
        <f t="shared" si="198"/>
        <v>12</v>
      </c>
      <c r="I287" s="254" cm="1">
        <f t="array" ref="I287">IFERROR(SUMPRODUCT(--($AT$5:$AT$220=F287),--($AE$5:$AE$220=$B$294),$J$5:$J$220,$I$5:$I$220)/SUMIFS($J$5:$J$220,$AT$5:$AT$220,F287,$AE$5:$AE$220,$B$294)/12,"")</f>
        <v>4.8406615824982948</v>
      </c>
      <c r="J287" s="253">
        <f t="shared" si="199"/>
        <v>516541</v>
      </c>
      <c r="K287" s="253"/>
      <c r="L287" s="253"/>
      <c r="M287" s="253"/>
      <c r="N287" s="254" cm="1">
        <f t="array" ref="N287">IFERROR(SUMPRODUCT(--($AT$5:$AT$220=F287),--($AE$5:$AE$220=$B$310),$J$5:$J$220,$N$5:$N$220)/SUMIFS($J$5:$J$220,$AT$5:$AT$220,F287,$AE$5:$AE$220,$B$310,$N$5:$N$220,"&gt;0"),"NA")</f>
        <v>4.2004750524313517</v>
      </c>
      <c r="O287" s="254"/>
      <c r="P287" s="255"/>
      <c r="Q287" s="254"/>
      <c r="R287" s="254" cm="1">
        <f t="array" ref="R287">IFERROR(SUMPRODUCT(--($AT$5:$AT$220=F287),--($I$5:$I$220&gt;12),--($AE$5:$AE$220=$B$310),$R$5:$R$220,$J$5:$J$220)/SUMIFS($J$5:$J$220,$I$5:$I$220,"&gt;12",$AT$5:$AT$220,F287,$AE$5:$AE$220,$B$310),"")</f>
        <v>2.7130260715025525</v>
      </c>
      <c r="S287" s="254"/>
      <c r="T287" s="254" cm="1">
        <f t="array" ref="T287">SUMPRODUCT(--($AT$5:$AT$220=F287),$T$5:$T$220,$J$5:$J$220)/SUMIFS($J$5:$J$220,$AT$5:$AT$220,F287)</f>
        <v>7.7200479888643487</v>
      </c>
      <c r="U287" s="254" cm="1">
        <f t="array" ref="U287">SUMPRODUCT(--($AT$5:$AT$220=F287),$U$5:$U$220,$J$5:$J$220)/SUMIFS($J$5:$J$220,$AT$5:$AT$220,F287)</f>
        <v>13.473636634423489</v>
      </c>
      <c r="V287" s="254" cm="1">
        <f t="array" ref="V287">IFERROR(SUMPRODUCT(--($AT$5:$AT$220=F287),--($AE$5:$AE$220=$B$310),--($AR$5:$AR$220=$B$330),$V$5:$V$220,$J$5:$J$220)/SUMIFS($J$5:$J$220,$AT$5:$AT$220,F287,$AE$5:$AE$220,$B$310,$AR$5:$AR$220,$B$330),"")</f>
        <v>7.3317305434772404</v>
      </c>
      <c r="W287" s="254"/>
      <c r="X287" s="256" cm="1">
        <f t="array" ref="X287">IFERROR((IFERROR(SUMPRODUCT(--($AT$5:$AT$220=F287),--($N$5:$N$220&gt;0),--($AE$5:$AE$220=$B$310),$J$5:$J$220,$Q$5:$Q$220)/SUMIFS($J$5:$J$220,$AT$5:$AT$220,F287,$N$5:$N$220,"&gt;0",$AE$5:$AE$220,$B$310),""))/N287-1,"NA")</f>
        <v>0.28101756176155934</v>
      </c>
      <c r="Y287" s="256"/>
      <c r="Z287" s="257"/>
      <c r="AA287" s="254"/>
      <c r="AB287" s="254"/>
      <c r="AD287" s="258">
        <f t="shared" si="200"/>
        <v>46693056.93</v>
      </c>
      <c r="AG287" s="254" t="str" cm="1">
        <f t="array" ref="AG287">IFERROR(SUMPRODUCT(--($F$5:$F$220=F287),$J$5:$J$220,$AG$5:$AG$220)/SUMIFS($J$5:$J$220,$F$5:$F$220,F287),"")</f>
        <v/>
      </c>
      <c r="AH287" s="254" t="str" cm="1">
        <f t="array" ref="AH287">IFERROR(SUMPRODUCT(--($F$5:$F$220=F287),$J$5:$J$220,$AH$5:$AH$220)/SUMIFS($J$5:$J$220,$F$5:$F$220,F287),"")</f>
        <v/>
      </c>
    </row>
    <row r="288" spans="1:47" outlineLevel="2">
      <c r="B288" s="251"/>
      <c r="C288" s="251"/>
      <c r="D288" s="251"/>
      <c r="E288" s="251"/>
      <c r="F288" s="251" t="s">
        <v>753</v>
      </c>
      <c r="H288" s="184">
        <f t="shared" si="198"/>
        <v>11</v>
      </c>
      <c r="I288" s="254" cm="1">
        <f t="array" ref="I288">IFERROR(SUMPRODUCT(--($AT$5:$AT$220=F288),--($AE$5:$AE$220=$B$294),$J$5:$J$220,$I$5:$I$220)/SUMIFS($J$5:$J$220,$AT$5:$AT$220,F288,$AE$5:$AE$220,$B$294)/12,"")</f>
        <v>5.1881038166790949</v>
      </c>
      <c r="J288" s="253">
        <f t="shared" si="199"/>
        <v>182100</v>
      </c>
      <c r="K288" s="253"/>
      <c r="L288" s="253"/>
      <c r="M288" s="253"/>
      <c r="N288" s="254" cm="1">
        <f t="array" ref="N288">IFERROR(SUMPRODUCT(--($AT$5:$AT$220=F288),--($AE$5:$AE$220=$B$310),$J$5:$J$220,$N$5:$N$220)/SUMIFS($J$5:$J$220,$AT$5:$AT$220,F288,$AE$5:$AE$220,$B$310,$N$5:$N$220,"&gt;0"),"NA")</f>
        <v>6.3926583675324018</v>
      </c>
      <c r="O288" s="254"/>
      <c r="P288" s="255"/>
      <c r="Q288" s="254"/>
      <c r="R288" s="254" cm="1">
        <f t="array" ref="R288">IFERROR(SUMPRODUCT(--($AT$5:$AT$220=F288),--($I$5:$I$220&gt;12),--($AE$5:$AE$220=$B$310),$R$5:$R$220,$J$5:$J$220)/SUMIFS($J$5:$J$220,$I$5:$I$220,"&gt;12",$AT$5:$AT$220,F288,$AE$5:$AE$220,$B$310),"")</f>
        <v>3.674349258649094</v>
      </c>
      <c r="S288" s="254"/>
      <c r="T288" s="254" cm="1">
        <f t="array" ref="T288">SUMPRODUCT(--($AT$5:$AT$220=F288),$T$5:$T$220,$J$5:$J$220)/SUMIFS($J$5:$J$220,$AT$5:$AT$220,F288)</f>
        <v>8.9148777701676121</v>
      </c>
      <c r="U288" s="254" cm="1">
        <f t="array" ref="U288">SUMPRODUCT(--($AT$5:$AT$220=F288),$U$5:$U$220,$J$5:$J$220)/SUMIFS($J$5:$J$220,$AT$5:$AT$220,F288)</f>
        <v>14.23787227117122</v>
      </c>
      <c r="V288" s="254" cm="1">
        <f t="array" ref="V288">IFERROR(SUMPRODUCT(--($AT$5:$AT$220=F288),--($AE$5:$AE$220=$B$310),--($AR$5:$AR$220=$B$330),$V$5:$V$220,$J$5:$J$220)/SUMIFS($J$5:$J$220,$AT$5:$AT$220,F288,$AE$5:$AE$220,$B$310,$AR$5:$AR$220,$B$330),"")</f>
        <v>6.8789542232982557</v>
      </c>
      <c r="W288" s="254"/>
      <c r="X288" s="256" cm="1">
        <f t="array" ref="X288">IFERROR((IFERROR(SUMPRODUCT(--($AT$5:$AT$220=F288),--($N$5:$N$220&gt;0),--($AE$5:$AE$220=$B$310),$J$5:$J$220,$Q$5:$Q$220)/SUMIFS($J$5:$J$220,$AT$5:$AT$220,F288,$N$5:$N$220,"&gt;0",$AE$5:$AE$220,$B$310),""))/N288-1,"NA")</f>
        <v>0.36796251542121694</v>
      </c>
      <c r="Y288" s="256"/>
      <c r="Z288" s="257"/>
      <c r="AA288" s="254"/>
      <c r="AB288" s="254"/>
      <c r="AD288" s="258">
        <f t="shared" si="200"/>
        <v>53346383.840000004</v>
      </c>
      <c r="AG288" s="254" t="str" cm="1">
        <f t="array" ref="AG288">IFERROR(SUMPRODUCT(--($F$5:$F$220=F288),$J$5:$J$220,$AG$5:$AG$220)/SUMIFS($J$5:$J$220,$F$5:$F$220,F288),"")</f>
        <v/>
      </c>
      <c r="AH288" s="254" t="str" cm="1">
        <f t="array" ref="AH288">IFERROR(SUMPRODUCT(--($F$5:$F$220=F288),$J$5:$J$220,$AH$5:$AH$220)/SUMIFS($J$5:$J$220,$F$5:$F$220,F288),"")</f>
        <v/>
      </c>
    </row>
    <row r="289" spans="1:34" outlineLevel="2">
      <c r="B289" s="251"/>
      <c r="C289" s="251"/>
      <c r="D289" s="251"/>
      <c r="E289" s="251"/>
      <c r="F289" s="251" t="s">
        <v>754</v>
      </c>
      <c r="H289" s="184">
        <f t="shared" si="198"/>
        <v>19</v>
      </c>
      <c r="I289" s="254" cm="1">
        <f t="array" ref="I289">IFERROR(SUMPRODUCT(--($AT$5:$AT$220=F289),--($AE$5:$AE$220=$B$294),$J$5:$J$220,$I$5:$I$220)/SUMIFS($J$5:$J$220,$AT$5:$AT$220,F289,$AE$5:$AE$220,$B$294)/12,"")</f>
        <v>4.2377678246605166</v>
      </c>
      <c r="J289" s="253">
        <f t="shared" si="199"/>
        <v>331233</v>
      </c>
      <c r="K289" s="253"/>
      <c r="L289" s="253"/>
      <c r="M289" s="253"/>
      <c r="N289" s="254" cm="1">
        <f t="array" ref="N289">IFERROR(SUMPRODUCT(--($AT$5:$AT$220=F289),--($AE$5:$AE$220=$B$310),$J$5:$J$220,$N$5:$N$220)/SUMIFS($J$5:$J$220,$AT$5:$AT$220,F289,$AE$5:$AE$220,$B$310,$N$5:$N$220,"&gt;0"),"NA")</f>
        <v>7.7216448796106629</v>
      </c>
      <c r="O289" s="254"/>
      <c r="P289" s="255"/>
      <c r="Q289" s="254"/>
      <c r="R289" s="254" cm="1">
        <f t="array" ref="R289">IFERROR(SUMPRODUCT(--($AT$5:$AT$220=F289),--($I$5:$I$220&gt;12),--($AE$5:$AE$220=$B$310),$R$5:$R$220,$J$5:$J$220)/SUMIFS($J$5:$J$220,$I$5:$I$220,"&gt;12",$AT$5:$AT$220,F289,$AE$5:$AE$220,$B$310),"")</f>
        <v>3.6023735557749377</v>
      </c>
      <c r="S289" s="254"/>
      <c r="T289" s="254" cm="1">
        <f t="array" ref="T289">SUMPRODUCT(--($AT$5:$AT$220=F289),$T$5:$T$220,$J$5:$J$220)/SUMIFS($J$5:$J$220,$AT$5:$AT$220,F289)</f>
        <v>7.7630571656217846</v>
      </c>
      <c r="U289" s="254" cm="1">
        <f t="array" ref="U289">SUMPRODUCT(--($AT$5:$AT$220=F289),$U$5:$U$220,$J$5:$J$220)/SUMIFS($J$5:$J$220,$AT$5:$AT$220,F289)</f>
        <v>0</v>
      </c>
      <c r="V289" s="254" cm="1">
        <f t="array" ref="V289">IFERROR(SUMPRODUCT(--($AT$5:$AT$220=F289),--($AE$5:$AE$220=$B$310),--($AR$5:$AR$220=$B$330),$V$5:$V$220,$J$5:$J$220)/SUMIFS($J$5:$J$220,$AT$5:$AT$220,F289,$AE$5:$AE$220,$B$310,$AR$5:$AR$220,$B$330),"")</f>
        <v>5.9312886338406665</v>
      </c>
      <c r="W289" s="254"/>
      <c r="X289" s="256" cm="1">
        <f t="array" ref="X289">IFERROR((IFERROR(SUMPRODUCT(--($AT$5:$AT$220=F289),--($N$5:$N$220&gt;0),--($AE$5:$AE$220=$B$310),$J$5:$J$220,$Q$5:$Q$220)/SUMIFS($J$5:$J$220,$AT$5:$AT$220,F289,$N$5:$N$220,"&gt;0",$AE$5:$AE$220,$B$310),""))/N289-1,"NA")</f>
        <v>0.38786287158970634</v>
      </c>
      <c r="Y289" s="256"/>
      <c r="Z289" s="257"/>
      <c r="AA289" s="254"/>
      <c r="AB289" s="254"/>
      <c r="AD289" s="258">
        <f t="shared" si="200"/>
        <v>53621615.259999998</v>
      </c>
      <c r="AG289" s="254" t="str" cm="1">
        <f t="array" ref="AG289">IFERROR(SUMPRODUCT(--($F$5:$F$220=F289),$J$5:$J$220,$AG$5:$AG$220)/SUMIFS($J$5:$J$220,$F$5:$F$220,F289),"")</f>
        <v/>
      </c>
      <c r="AH289" s="254" t="str" cm="1">
        <f t="array" ref="AH289">IFERROR(SUMPRODUCT(--($F$5:$F$220=F289),$J$5:$J$220,$AH$5:$AH$220)/SUMIFS($J$5:$J$220,$F$5:$F$220,F289),"")</f>
        <v/>
      </c>
    </row>
    <row r="290" spans="1:34" outlineLevel="2">
      <c r="B290" s="251"/>
      <c r="C290" s="251"/>
      <c r="D290" s="251"/>
      <c r="E290" s="251"/>
      <c r="F290" s="251" t="s">
        <v>16</v>
      </c>
      <c r="H290" s="184">
        <f t="shared" si="198"/>
        <v>15</v>
      </c>
      <c r="I290" s="254" cm="1">
        <f t="array" ref="I290">IFERROR(SUMPRODUCT(--($AT$5:$AT$220=F290),--($AE$5:$AE$220=$B$294),$J$5:$J$220,$I$5:$I$220)/SUMIFS($J$5:$J$220,$AT$5:$AT$220,F290,$AE$5:$AE$220,$B$294)/12,"")</f>
        <v>3.6867306196920198</v>
      </c>
      <c r="J290" s="253">
        <f t="shared" si="199"/>
        <v>315098</v>
      </c>
      <c r="K290" s="253"/>
      <c r="L290" s="253"/>
      <c r="M290" s="253"/>
      <c r="N290" s="254" cm="1">
        <f t="array" ref="N290">IFERROR(SUMPRODUCT(--($AT$5:$AT$220=F290),--($AE$5:$AE$220=$B$310),$J$5:$J$220,$N$5:$N$220)/SUMIFS($J$5:$J$220,$AT$5:$AT$220,F290,$AE$5:$AE$220,$B$310,$N$5:$N$220,"&gt;0"),"NA")</f>
        <v>6.6260651095798488</v>
      </c>
      <c r="O290" s="254"/>
      <c r="P290" s="255"/>
      <c r="Q290" s="254"/>
      <c r="R290" s="254" cm="1">
        <f t="array" ref="R290">IFERROR(SUMPRODUCT(--($AT$5:$AT$220=F290),--($I$5:$I$220&gt;12),--($AE$5:$AE$220=$B$310),$R$5:$R$220,$J$5:$J$220)/SUMIFS($J$5:$J$220,$I$5:$I$220,"&gt;12",$AT$5:$AT$220,F290,$AE$5:$AE$220,$B$310),"")</f>
        <v>3.6230918634837415</v>
      </c>
      <c r="S290" s="254"/>
      <c r="T290" s="254" cm="1">
        <f t="array" ref="T290">SUMPRODUCT(--($AT$5:$AT$220=F290),$T$5:$T$220,$J$5:$J$220)/SUMIFS($J$5:$J$220,$AT$5:$AT$220,F290)</f>
        <v>0</v>
      </c>
      <c r="U290" s="254" cm="1">
        <f t="array" ref="U290">SUMPRODUCT(--($AT$5:$AT$220=F290),$U$5:$U$220,$J$5:$J$220)/SUMIFS($J$5:$J$220,$AT$5:$AT$220,F290)</f>
        <v>0</v>
      </c>
      <c r="V290" s="254" cm="1">
        <f t="array" ref="V290">IFERROR(SUMPRODUCT(--($AT$5:$AT$220=F290),--($AE$5:$AE$220=$B$310),--($AR$5:$AR$220=$B$330),$V$5:$V$220,$J$5:$J$220)/SUMIFS($J$5:$J$220,$AT$5:$AT$220,F290,$AE$5:$AE$220,$B$310,$AR$5:$AR$220,$B$330),"")</f>
        <v>7.160157168284246</v>
      </c>
      <c r="W290" s="254"/>
      <c r="X290" s="256" cm="1">
        <f t="array" ref="X290">IFERROR((IFERROR(SUMPRODUCT(--($AT$5:$AT$220=F290),--($N$5:$N$220&gt;0),--($AE$5:$AE$220=$B$310),$J$5:$J$220,$Q$5:$Q$220)/SUMIFS($J$5:$J$220,$AT$5:$AT$220,F290,$N$5:$N$220,"&gt;0",$AE$5:$AE$220,$B$310),""))/N290-1,"NA")</f>
        <v>0.47478971436842898</v>
      </c>
      <c r="Y290" s="256"/>
      <c r="Z290" s="257"/>
      <c r="AA290" s="254"/>
      <c r="AB290" s="254"/>
      <c r="AD290" s="258">
        <f t="shared" si="200"/>
        <v>23077508.5</v>
      </c>
      <c r="AG290" s="254" t="str" cm="1">
        <f t="array" ref="AG290">IFERROR(SUMPRODUCT(--($F$5:$F$220=F290),$J$5:$J$220,$AG$5:$AG$220)/SUMIFS($J$5:$J$220,$F$5:$F$220,F290),"")</f>
        <v/>
      </c>
      <c r="AH290" s="254" t="str" cm="1">
        <f t="array" ref="AH290">IFERROR(SUMPRODUCT(--($F$5:$F$220=F290),$J$5:$J$220,$AH$5:$AH$220)/SUMIFS($J$5:$J$220,$F$5:$F$220,F290),"")</f>
        <v/>
      </c>
    </row>
    <row r="291" spans="1:34" ht="14.45" outlineLevel="2" thickBot="1">
      <c r="B291" s="260"/>
      <c r="C291" s="260"/>
      <c r="D291" s="260"/>
      <c r="E291" s="260"/>
      <c r="F291" s="261" t="s">
        <v>27</v>
      </c>
      <c r="G291" s="262"/>
      <c r="H291" s="262">
        <f>SUM(H283:H290)</f>
        <v>67</v>
      </c>
      <c r="I291" s="277" cm="1">
        <f t="array" ref="I291">IFERROR(SUMPRODUCT(--($AE$5:$AE$220=$B$310),$J$5:$J$220,$I$5:$I$220)/SUMIFS($J$5:$J$220,$AE$5:$AE$220,$B$310)/12,"")</f>
        <v>5.0510384951633096</v>
      </c>
      <c r="J291" s="264">
        <f>SUM(J283:J290)</f>
        <v>1588035</v>
      </c>
      <c r="K291" s="264"/>
      <c r="L291" s="264"/>
      <c r="M291" s="264"/>
      <c r="N291" s="263">
        <f>N326</f>
        <v>5.869900160518652</v>
      </c>
      <c r="O291" s="263"/>
      <c r="P291" s="265"/>
      <c r="Q291" s="263"/>
      <c r="R291" s="263">
        <f>R326</f>
        <v>3.3363091493575396</v>
      </c>
      <c r="S291" s="263"/>
      <c r="T291" s="263">
        <f>SUMPRODUCT($T$5:$T$220,$J$5:$J$220)/SUM($J$5:$J$220)</f>
        <v>8.6441339198040339</v>
      </c>
      <c r="U291" s="263">
        <f>SUMPRODUCT($U$5:$U$220,$J$5:$J$220)/SUM($J$5:$J$220)</f>
        <v>11.948803085574012</v>
      </c>
      <c r="V291" s="263">
        <f>V326</f>
        <v>5.577792914871603</v>
      </c>
      <c r="W291" s="263"/>
      <c r="X291" s="266">
        <f>X326</f>
        <v>0.37096518130629885</v>
      </c>
      <c r="Y291" s="266"/>
      <c r="Z291" s="267"/>
      <c r="AA291" s="254"/>
      <c r="AB291" s="254"/>
      <c r="AD291" s="268">
        <f>SUM(AD283:AD290)</f>
        <v>279205355.82999998</v>
      </c>
      <c r="AG291" s="269">
        <f>IFERROR(SUMPRODUCT($J$5:$J$220,$AG$5:$AG$220)/SUM($J$5:$J$220),"")</f>
        <v>3.9908030470421911</v>
      </c>
      <c r="AH291" s="269">
        <f>IFERROR(SUMPRODUCT($J$5:$J$220,$AH$5:$AH$220)/SUM($J$5:$J$220),"")</f>
        <v>3.4828638315500502</v>
      </c>
    </row>
    <row r="292" spans="1:34">
      <c r="A292" s="278"/>
      <c r="N292" s="222"/>
      <c r="O292" s="222"/>
      <c r="P292" s="222"/>
      <c r="Q292" s="222"/>
      <c r="T292" s="222"/>
      <c r="U292" s="222"/>
    </row>
    <row r="293" spans="1:34">
      <c r="A293" s="278"/>
      <c r="N293" s="222"/>
      <c r="O293" s="222"/>
      <c r="P293" s="222"/>
      <c r="Q293" s="222"/>
      <c r="T293" s="222"/>
      <c r="U293" s="222"/>
    </row>
    <row r="294" spans="1:34" s="246" customFormat="1">
      <c r="A294" s="279"/>
      <c r="B294" s="280" t="s">
        <v>147</v>
      </c>
      <c r="C294" s="281"/>
      <c r="D294" s="281"/>
      <c r="E294" s="281"/>
      <c r="F294" s="282"/>
      <c r="G294" s="282"/>
      <c r="H294" s="282" t="s">
        <v>730</v>
      </c>
      <c r="I294" s="283" t="s">
        <v>731</v>
      </c>
      <c r="J294" s="283" t="s">
        <v>732</v>
      </c>
      <c r="K294" s="283"/>
      <c r="L294" s="283"/>
      <c r="M294" s="283"/>
      <c r="N294" s="284" t="s">
        <v>94</v>
      </c>
      <c r="O294" s="284" t="s">
        <v>95</v>
      </c>
      <c r="P294" s="285" t="s">
        <v>58</v>
      </c>
      <c r="Q294" s="284" t="s">
        <v>96</v>
      </c>
      <c r="R294" s="283" t="s">
        <v>734</v>
      </c>
      <c r="S294" s="283" t="s">
        <v>735</v>
      </c>
      <c r="T294" s="283" t="s">
        <v>736</v>
      </c>
      <c r="U294" s="283" t="s">
        <v>737</v>
      </c>
      <c r="V294" s="283" t="s">
        <v>64</v>
      </c>
      <c r="W294" s="283" t="s">
        <v>738</v>
      </c>
      <c r="X294" s="283" t="s">
        <v>755</v>
      </c>
      <c r="Y294" s="283"/>
      <c r="Z294" s="286" t="s">
        <v>740</v>
      </c>
      <c r="AD294" s="287"/>
      <c r="AG294" s="288" t="s">
        <v>741</v>
      </c>
      <c r="AH294" s="288" t="s">
        <v>742</v>
      </c>
    </row>
    <row r="295" spans="1:34" outlineLevel="7">
      <c r="B295" s="251" t="s">
        <v>743</v>
      </c>
      <c r="F295" s="184" t="s">
        <v>153</v>
      </c>
      <c r="H295" s="184">
        <f t="shared" ref="H295:H306" si="201">COUNTIFS($F$5:$F$220,F295,$AE$5:$AE$220,$B$294)</f>
        <v>30</v>
      </c>
      <c r="I295" s="254" cm="1">
        <f t="array" ref="I295">IFERROR(SUMPRODUCT(--($F$5:$F$220=F295),--($AE$5:$AE$220=$B$294),$J$5:$J$220,$I$5:$I$220)/SUMIFS($J$5:$J$220,$F$5:$F$220,F295,$AE$5:$AE$220,$B$294)/12,"")</f>
        <v>5.8016651343344572</v>
      </c>
      <c r="J295" s="253">
        <f t="shared" ref="J295:J306" si="202">SUMIFS($J$5:$J$220,$F$5:$F$220,F295,$AE$5:$AE$220,$B$294)</f>
        <v>809224</v>
      </c>
      <c r="K295" s="253"/>
      <c r="L295" s="253"/>
      <c r="M295" s="253"/>
      <c r="N295" s="254" cm="1">
        <f t="array" ref="N295">IFERROR(SUMPRODUCT(--($F$5:$F$220=F295),--($AE$5:$AE$220=$B$294),$J$5:$J$220,$N$5:$N$220)/SUMIFS($J$5:$J$220,$F$5:$F$220,F295,$AE$5:$AE$220,$B$294,$N$5:$N$220,"&gt;0"),"NA")</f>
        <v>5.9866768265380026</v>
      </c>
      <c r="O295" s="254" cm="1">
        <f t="array" ref="O295">IFERROR(SUMPRODUCT(--($F$5:$F$220=F295),--($AE$5:$AE$220=$B$294),$J$5:$J$220,$O$5:$O$220)/SUMIFS($J$5:$J$220,$F$5:$F$220,F295,$AE$5:$AE$220,$B$294),"")</f>
        <v>6.7038225386295993</v>
      </c>
      <c r="P295" s="255" cm="1">
        <f t="array" ref="P295">IFERROR(SUMPRODUCT(--($F$5:$F$220=F295),--($AE$5:$AE$220=$B$294),$J$5:$J$220,$P$5:$P$220)/SUMIFS($J$5:$J$220,$F$5:$F$220,F295,$AE$5:$AE$220,$B$294,$P$5:$P$220,"&gt;0"),"")</f>
        <v>7.0502273394726354</v>
      </c>
      <c r="Q295" s="254" cm="1">
        <f t="array" ref="Q295">IFERROR(SUMPRODUCT(--($F$5:$F$220=F295),--($AE$5:$AE$220=$B$294),$J$5:$J$220,$Q$5:$Q$220)/SUMIFS($J$5:$J$220,$AE$5:$AE$220,$B$294,$F$5:$F$220,F295),"")</f>
        <v>7.3740082226923569</v>
      </c>
      <c r="R295" s="254" cm="1">
        <f t="array" ref="R295">IFERROR(SUMPRODUCT(--($F$5:$F$220=F295),--($I$5:$I$220&gt;12),--($AE$5:$AE$220=$B$294),$R$5:$R$220,$J$5:$J$220)/SUMIFS($J$5:$J$220,$I$5:$I$220,"&gt;12",$F$5:$F$220,F295,$AE$5:$AE$220,$B$294),"")</f>
        <v>4.0000203899044022</v>
      </c>
      <c r="S295" s="254" cm="1">
        <f t="array" ref="S295">IFERROR(SUMPRODUCT(--($F$5:$F$220=F295),--($I$5:$I$220&gt;12),--($AE$5:$AE$220=$B$294),$S$5:$S$220,$J$5:$J$220)/SUMIFS($J$5:$J$220,$I$5:$I$220,"&gt;12",$F$5:$F$220,F295,$AE$5:$AE$220,$B$294),"")</f>
        <v>3.2156739048767706</v>
      </c>
      <c r="T295" s="254" cm="1">
        <f t="array" ref="T295">IFERROR(SUMPRODUCT(--($F$5:$F$220=F295),--($AE$5:$AE$220=$B$294),$T$5:$T$220,$J$5:$J$220)/SUMIFS($J$5:$J$220,$F$5:$F$220,F295,$AE$5:$AE$220,$B$294),"")</f>
        <v>9.3610387274895306</v>
      </c>
      <c r="U295" s="254" cm="1">
        <f t="array" ref="U295">IFERROR(SUMPRODUCT(--($F$5:$F$220=F295),--($AE$5:$AE$220=$B$294),$U$5:$U$220,$J$5:$J$220)/SUMIFS($J$5:$J$220,$F$5:$F$220,F295,$AE$5:$AE$220,$B$294),"")</f>
        <v>12.042988325852914</v>
      </c>
      <c r="V295" s="254" cm="1">
        <f t="array" ref="V295">IFERROR(SUMPRODUCT(--($F$5:$F$220=F295),--($AE$5:$AE$220=$B$294),--($AR$5:$AR$220=$B$330),$V$5:$V$220,$J$5:$J$220)/SUMIFS($J$5:$J$220,$F$5:$F$220,F295,$AE$5:$AE$220,$B$294,$AR$5:$AR$220,$B$330),"")</f>
        <v>4.010019420903955</v>
      </c>
      <c r="W295" s="254" cm="1">
        <f t="array" ref="W295">IFERROR(SUMPRODUCT(--($F$5:$F$220=F295),--($AE$5:$AE$220=$B$294),--($AR$5:$AR$220=$B$330),$W$5:$W$220,$J$5:$J$220)/SUMIFS($J$5:$J$220,$F$5:$F$220,F295,$AE$5:$AE$220,$B$294,$AR$5:$AR$220,$B$330),"")</f>
        <v>4.2391946784139449</v>
      </c>
      <c r="X295" s="256" cm="1">
        <f t="array" ref="X295">IFERROR((IFERROR(SUMPRODUCT(--($F$5:$F$220=F295),--($N$5:$N$220&gt;0),--($AE$5:$AE$220=$B$294),$J$5:$J$220,$Q$5:$Q$220)/SUMIFS($J$5:$J$220,$F$5:$F$220,F295,$N$5:$N$220,"&gt;0",$AE$5:$AE$220,$B$294),""))/N295-1,"NA")</f>
        <v>0.22705564835493908</v>
      </c>
      <c r="Y295" s="256"/>
      <c r="Z295" s="289">
        <f t="shared" ref="Z295:Z306" si="203">IFERROR(Q295/O295-1,"NA")</f>
        <v>9.9970677952903708E-2</v>
      </c>
      <c r="AG295" s="290"/>
      <c r="AH295" s="290"/>
    </row>
    <row r="296" spans="1:34" outlineLevel="7">
      <c r="B296" s="291"/>
      <c r="F296" s="184" t="s">
        <v>144</v>
      </c>
      <c r="H296" s="184">
        <f t="shared" si="201"/>
        <v>27</v>
      </c>
      <c r="I296" s="254" cm="1">
        <f t="array" ref="I296">IFERROR(SUMPRODUCT(--($F$5:$F$220=F296),--($AE$5:$AE$220=$B$294),$J$5:$J$220,$I$5:$I$220)/SUMIFS($J$5:$J$220,$F$5:$F$220,F296,$AE$5:$AE$220,$B$294)/12,"")</f>
        <v>4.2033397439273807</v>
      </c>
      <c r="J296" s="253">
        <f t="shared" si="202"/>
        <v>740441</v>
      </c>
      <c r="K296" s="253"/>
      <c r="L296" s="253"/>
      <c r="M296" s="253"/>
      <c r="N296" s="254" cm="1">
        <f t="array" ref="N296">IFERROR(SUMPRODUCT(--($F$5:$F$220=F296),--($AE$5:$AE$220=$B$294),$J$5:$J$220,$N$5:$N$220)/SUMIFS($J$5:$J$220,$F$5:$F$220,F296,$AE$5:$AE$220,$B$294,$N$5:$N$220,"&gt;0"),"")</f>
        <v>6.3750518709410802</v>
      </c>
      <c r="O296" s="254" cm="1">
        <f t="array" ref="O296">IFERROR(SUMPRODUCT(--($F$5:$F$220=F296),--($AE$5:$AE$220=$B$294),$J$5:$J$220,$O$5:$O$220)/SUMIFS($J$5:$J$220,$F$5:$F$220,F296,$AE$5:$AE$220,$B$294),"")</f>
        <v>6.5302919611420762</v>
      </c>
      <c r="P296" s="255" cm="1">
        <f t="array" ref="P296">IFERROR(SUMPRODUCT(--($F$5:$F$220=F296),--($AE$5:$AE$220=$B$294),$J$5:$J$220,$P$5:$P$220)/SUMIFS($J$5:$J$220,$F$5:$F$220,F296,$AE$5:$AE$220,$B$294,$P$5:$P$220,"&gt;0"),"")</f>
        <v>6.8075290867215426</v>
      </c>
      <c r="Q296" s="254" cm="1">
        <f t="array" ref="Q296">IFERROR(SUMPRODUCT(--($F$5:$F$220=F296),--($AE$5:$AE$220=$B$294),$J$5:$J$220,$Q$5:$Q$220)/SUMIFS($J$5:$J$220,$AE$5:$AE$220,$B$294,$F$5:$F$220,F296),"")</f>
        <v>7.2510553021780266</v>
      </c>
      <c r="R296" s="254" cm="1">
        <f t="array" ref="R296">IFERROR(SUMPRODUCT(--($F$5:$F$220=F296),--($I$5:$I$220&gt;12),--($AE$5:$AE$220=$B$294),$R$5:$R$220,$J$5:$J$220)/SUMIFS($J$5:$J$220,$I$5:$I$220,"&gt;12",$F$5:$F$220,F296,$AE$5:$AE$220,$B$294),"")</f>
        <v>3.3334836941768486</v>
      </c>
      <c r="S296" s="254" cm="1">
        <f t="array" ref="S296">IFERROR(SUMPRODUCT(--($F$5:$F$220=F296),--($I$5:$I$220&gt;12),--($AE$5:$AE$220=$B$294),$S$5:$S$220,$J$5:$J$220)/SUMIFS($J$5:$J$220,$I$5:$I$220,"&gt;12",$F$5:$F$220,F296,$AE$5:$AE$220,$B$294),"")</f>
        <v>2.5996500734022021</v>
      </c>
      <c r="T296" s="254" cm="1">
        <f t="array" ref="T296">IFERROR(SUMPRODUCT(--($F$5:$F$220=F296),--($AE$5:$AE$220=$B$294),$T$5:$T$220,$J$5:$J$220)/SUMIFS($J$5:$J$220,$F$5:$F$220,F296,$AE$5:$AE$220,$B$294),"")</f>
        <v>8.9232405073183809</v>
      </c>
      <c r="U296" s="254" cm="1">
        <f t="array" ref="U296">IFERROR(SUMPRODUCT(--($F$5:$F$220=F296),--($AE$5:$AE$220=$B$294),$U$5:$U$220,$J$5:$J$220)/SUMIFS($J$5:$J$220,$F$5:$F$220,F296,$AE$5:$AE$220,$B$294),"")</f>
        <v>13.572242487922736</v>
      </c>
      <c r="V296" s="254" cm="1">
        <f t="array" ref="V296">IFERROR(SUMPRODUCT(--($F$5:$F$220=F296),--($AE$5:$AE$220=$B$294),--($AR$5:$AR$220=$B$330),$V$5:$V$220,$J$5:$J$220)/SUMIFS($J$5:$J$220,$F$5:$F$220,F296,$AE$5:$AE$220,$B$294,$AR$5:$AR$220,$B$330),"")</f>
        <v>2.9379459126280913</v>
      </c>
      <c r="W296" s="254" cm="1">
        <f t="array" ref="W296">IFERROR(SUMPRODUCT(--($F$5:$F$220=F296),--($AE$5:$AE$220=$B$294),--($AR$5:$AR$220=$B$330),$W$5:$W$220,$J$5:$J$220)/SUMIFS($J$5:$J$220,$F$5:$F$220,F296,$AE$5:$AE$220,$B$294,$AR$5:$AR$220,$B$330),"")</f>
        <v>7.3623512982510206</v>
      </c>
      <c r="X296" s="256" cm="1">
        <f t="array" ref="X296">IFERROR((IFERROR(SUMPRODUCT(--($F$5:$F$220=F296),--($N$5:$N$220&gt;0),--($AE$5:$AE$220=$B$294),$J$5:$J$220,$Q$5:$Q$220)/SUMIFS($J$5:$J$220,$F$5:$F$220,F296,$N$5:$N$220,"&gt;0",$AE$5:$AE$220,$B$294),""))/N296-1,"NA")</f>
        <v>0.14476788285273789</v>
      </c>
      <c r="Y296" s="256"/>
      <c r="Z296" s="289">
        <f t="shared" si="203"/>
        <v>0.11037229963450157</v>
      </c>
      <c r="AG296" s="290"/>
      <c r="AH296" s="290"/>
    </row>
    <row r="297" spans="1:34" outlineLevel="7">
      <c r="B297" s="291"/>
      <c r="F297" s="184" t="s">
        <v>185</v>
      </c>
      <c r="H297" s="184">
        <f t="shared" si="201"/>
        <v>7</v>
      </c>
      <c r="I297" s="254" cm="1">
        <f t="array" ref="I297">IFERROR(SUMPRODUCT(--($F$5:$F$220=F297),--($AE$5:$AE$220=$B$294),$J$5:$J$220,$I$5:$I$220)/SUMIFS($J$5:$J$220,$F$5:$F$220,F297,$AE$5:$AE$220,$B$294)/12,"")</f>
        <v>4.2459407759161367</v>
      </c>
      <c r="J297" s="253">
        <f t="shared" si="202"/>
        <v>558050</v>
      </c>
      <c r="K297" s="253"/>
      <c r="L297" s="253"/>
      <c r="M297" s="253"/>
      <c r="N297" s="254" cm="1">
        <f t="array" ref="N297">IFERROR(SUMPRODUCT(--($F$5:$F$220=F297),--($AE$5:$AE$220=$B$294),$J$5:$J$220,$N$5:$N$220)/SUMIFS($J$5:$J$220,$F$5:$F$220,F297,$AE$5:$AE$220,$B$294,$N$5:$N$220,"&gt;0"),"")</f>
        <v>4.0541443169541038</v>
      </c>
      <c r="O297" s="254" cm="1">
        <f t="array" ref="O297">IFERROR(SUMPRODUCT(--($F$5:$F$220=F297),--($AE$5:$AE$220=$B$294),$J$5:$J$220,$O$5:$O$220)/SUMIFS($J$5:$J$220,$F$5:$F$220,F297,$AE$5:$AE$220,$B$294),"")</f>
        <v>3.6429128572708538</v>
      </c>
      <c r="P297" s="255" cm="1">
        <f t="array" ref="P297">IFERROR(SUMPRODUCT(--($F$5:$F$220=F297),--($AE$5:$AE$220=$B$294),$J$5:$J$220,$P$5:$P$220)/SUMIFS($J$5:$J$220,$F$5:$F$220,F297,$AE$5:$AE$220,$B$294,$P$5:$P$220,"&gt;0"),"")</f>
        <v>4.9755257033751317</v>
      </c>
      <c r="Q297" s="254" cm="1">
        <f t="array" ref="Q297">IFERROR(SUMPRODUCT(--($F$5:$F$220=F297),--($AE$5:$AE$220=$B$294),$J$5:$J$220,$Q$5:$Q$220)/SUMIFS($J$5:$J$220,$AE$5:$AE$220,$B$294,$F$5:$F$220,F297),"")</f>
        <v>4.1773568318251053</v>
      </c>
      <c r="R297" s="254" cm="1">
        <f t="array" ref="R297">IFERROR(SUMPRODUCT(--($F$5:$F$220=F297),--($I$5:$I$220&gt;12),--($AE$5:$AE$220=$B$294),$R$5:$R$220,$J$5:$J$220)/SUMIFS($J$5:$J$220,$I$5:$I$220,"&gt;12",$F$5:$F$220,F297,$AE$5:$AE$220,$B$294),"")</f>
        <v>3.6434075799659529</v>
      </c>
      <c r="S297" s="254" cm="1">
        <f t="array" ref="S297">IFERROR(SUMPRODUCT(--($F$5:$F$220=F297),--($I$5:$I$220&gt;12),--($AE$5:$AE$220=$B$294),$S$5:$S$220,$J$5:$J$220)/SUMIFS($J$5:$J$220,$I$5:$I$220,"&gt;12",$F$5:$F$220,F297,$AE$5:$AE$220,$B$294),"")</f>
        <v>3.1051670997222471</v>
      </c>
      <c r="T297" s="254" cm="1">
        <f t="array" ref="T297">IFERROR(SUMPRODUCT(--($F$5:$F$220=F297),--($AE$5:$AE$220=$B$294),$T$5:$T$220,$J$5:$J$220)/SUMIFS($J$5:$J$220,$F$5:$F$220,F297,$AE$5:$AE$220,$B$294),"")</f>
        <v>13.030920213192809</v>
      </c>
      <c r="U297" s="254" cm="1">
        <f t="array" ref="U297">IFERROR(SUMPRODUCT(--($F$5:$F$220=F297),--($AE$5:$AE$220=$B$294),$U$5:$U$220,$J$5:$J$220)/SUMIFS($J$5:$J$220,$F$5:$F$220,F297,$AE$5:$AE$220,$B$294),"")</f>
        <v>10.386638276140131</v>
      </c>
      <c r="V297" s="254" cm="1">
        <f t="array" ref="V297">IFERROR(SUMPRODUCT(--($F$5:$F$220=F297),--($AE$5:$AE$220=$B$294),--($AR$5:$AR$220=$B$330),$V$5:$V$220,$J$5:$J$220)/SUMIFS($J$5:$J$220,$F$5:$F$220,F297,$AE$5:$AE$220,$B$294,$AR$5:$AR$220,$B$330),"")</f>
        <v>0</v>
      </c>
      <c r="W297" s="254" cm="1">
        <f t="array" ref="W297">IFERROR(SUMPRODUCT(--($F$5:$F$220=F297),--($AE$5:$AE$220=$B$294),--($AR$5:$AR$220=$B$330),$W$5:$W$220,$J$5:$J$220)/SUMIFS($J$5:$J$220,$F$5:$F$220,F297,$AE$5:$AE$220,$B$294,$AR$5:$AR$220,$B$330),"")</f>
        <v>7.8093054476901482</v>
      </c>
      <c r="X297" s="256" cm="1">
        <f t="array" ref="X297">IFERROR((IFERROR(SUMPRODUCT(--($F$5:$F$220=F297),--($N$5:$N$220&gt;0),--($AE$5:$AE$220=$B$294),$J$5:$J$220,$Q$5:$Q$220)/SUMIFS($J$5:$J$220,$F$5:$F$220,F297,$N$5:$N$220,"&gt;0",$AE$5:$AE$220,$B$294),""))/N297-1,"NA")</f>
        <v>0.11403603905961268</v>
      </c>
      <c r="Y297" s="256"/>
      <c r="Z297" s="289">
        <f t="shared" si="203"/>
        <v>0.14670786688942061</v>
      </c>
      <c r="AG297" s="290"/>
      <c r="AH297" s="290"/>
    </row>
    <row r="298" spans="1:34" outlineLevel="7">
      <c r="B298" s="291"/>
      <c r="F298" s="184" t="s">
        <v>214</v>
      </c>
      <c r="H298" s="184">
        <f t="shared" si="201"/>
        <v>4</v>
      </c>
      <c r="I298" s="254" cm="1">
        <f t="array" ref="I298">IFERROR(SUMPRODUCT(--($F$5:$F$220=F298),--($AE$5:$AE$220=$B$294),$J$5:$J$220,$I$5:$I$220)/SUMIFS($J$5:$J$220,$F$5:$F$220,F298,$AE$5:$AE$220,$B$294)/12,"")</f>
        <v>3.7361303502217744</v>
      </c>
      <c r="J298" s="253">
        <f t="shared" si="202"/>
        <v>23823</v>
      </c>
      <c r="K298" s="253"/>
      <c r="L298" s="253"/>
      <c r="M298" s="253"/>
      <c r="N298" s="254" cm="1">
        <f t="array" ref="N298">IFERROR(SUMPRODUCT(--($F$5:$F$220=F298),--($AE$5:$AE$220=$B$294),$J$5:$J$220,$N$5:$N$220)/SUMIFS($J$5:$J$220,$F$5:$F$220,F298,$AE$5:$AE$220,$B$294,$N$5:$N$220,"&gt;0"),"")</f>
        <v>6.4639487050329514</v>
      </c>
      <c r="O298" s="254" cm="1">
        <f t="array" ref="O298">IFERROR(SUMPRODUCT(--($F$5:$F$220=F298),--($AE$5:$AE$220=$B$294),$J$5:$J$220,$O$5:$O$220)/SUMIFS($J$5:$J$220,$F$5:$F$220,F298,$AE$5:$AE$220,$B$294),"")</f>
        <v>6.7618414977122949</v>
      </c>
      <c r="P298" s="255" cm="1">
        <f t="array" ref="P298">IFERROR(SUMPRODUCT(--($F$5:$F$220=F298),--($AE$5:$AE$220=$B$294),$J$5:$J$220,$P$5:$P$220)/SUMIFS($J$5:$J$220,$F$5:$F$220,F298,$AE$5:$AE$220,$B$294,$P$5:$P$220,"&gt;0"),"")</f>
        <v>8.25</v>
      </c>
      <c r="Q298" s="254" cm="1">
        <f t="array" ref="Q298">IFERROR(SUMPRODUCT(--($F$5:$F$220=F298),--($AE$5:$AE$220=$B$294),$J$5:$J$220,$Q$5:$Q$220)/SUMIFS($J$5:$J$220,$AE$5:$AE$220,$B$294,$F$5:$F$220,F298),"")</f>
        <v>8.1217311001972892</v>
      </c>
      <c r="R298" s="254" cm="1">
        <f t="array" ref="R298">IFERROR(SUMPRODUCT(--($F$5:$F$220=F298),--($I$5:$I$220&gt;12),--($AE$5:$AE$220=$B$294),$R$5:$R$220,$J$5:$J$220)/SUMIFS($J$5:$J$220,$I$5:$I$220,"&gt;12",$F$5:$F$220,F298,$AE$5:$AE$220,$B$294),"")</f>
        <v>3.7434622003945766</v>
      </c>
      <c r="S298" s="254" cm="1">
        <f t="array" ref="S298">IFERROR(SUMPRODUCT(--($F$5:$F$220=F298),--($I$5:$I$220&gt;12),--($AE$5:$AE$220=$B$294),$S$5:$S$220,$J$5:$J$220)/SUMIFS($J$5:$J$220,$I$5:$I$220,"&gt;12",$F$5:$F$220,F298,$AE$5:$AE$220,$B$294),"")</f>
        <v>2.8763170045754105</v>
      </c>
      <c r="T298" s="254" cm="1">
        <f t="array" ref="T298">IFERROR(SUMPRODUCT(--($F$5:$F$220=F298),--($AE$5:$AE$220=$B$294),$T$5:$T$220,$J$5:$J$220)/SUMIFS($J$5:$J$220,$F$5:$F$220,F298,$AE$5:$AE$220,$B$294),"")</f>
        <v>19.643432495314425</v>
      </c>
      <c r="U298" s="254" cm="1">
        <f t="array" ref="U298">IFERROR(SUMPRODUCT(--($F$5:$F$220=F298),--($AE$5:$AE$220=$B$294),$U$5:$U$220,$J$5:$J$220)/SUMIFS($J$5:$J$220,$F$5:$F$220,F298,$AE$5:$AE$220,$B$294),"")</f>
        <v>12.29803970952441</v>
      </c>
      <c r="V298" s="254" cm="1">
        <f t="array" ref="V298">IFERROR(SUMPRODUCT(--($F$5:$F$220=F298),--($AE$5:$AE$220=$B$294),--($AR$5:$AR$220=$B$330),$V$5:$V$220,$J$5:$J$220)/SUMIFS($J$5:$J$220,$F$5:$F$220,F298,$AE$5:$AE$220,$B$294,$AR$5:$AR$220,$B$330),"")</f>
        <v>6.7737060823573856</v>
      </c>
      <c r="W298" s="254" cm="1">
        <f t="array" ref="W298">IFERROR(SUMPRODUCT(--($F$5:$F$220=F298),--($AE$5:$AE$220=$B$294),--($AR$5:$AR$220=$B$330),$W$5:$W$220,$J$5:$J$220)/SUMIFS($J$5:$J$220,$F$5:$F$220,F298,$AE$5:$AE$220,$B$294,$AR$5:$AR$220,$B$330),"")</f>
        <v>8.3151030516727538</v>
      </c>
      <c r="X298" s="256" cm="1">
        <f t="array" ref="X298">IFERROR((IFERROR(SUMPRODUCT(--($F$5:$F$220=F298),--($N$5:$N$220&gt;0),--($AE$5:$AE$220=$B$294),$J$5:$J$220,$Q$5:$Q$220)/SUMIFS($J$5:$J$220,$F$5:$F$220,F298,$N$5:$N$220,"&gt;0",$AE$5:$AE$220,$B$294),""))/N298-1,"NA")</f>
        <v>0.25646589581899959</v>
      </c>
      <c r="Y298" s="256"/>
      <c r="Z298" s="289">
        <f t="shared" si="203"/>
        <v>0.20111231577153643</v>
      </c>
      <c r="AG298" s="290"/>
      <c r="AH298" s="290"/>
    </row>
    <row r="299" spans="1:34" outlineLevel="7">
      <c r="B299" s="291"/>
      <c r="F299" s="184" t="s">
        <v>244</v>
      </c>
      <c r="H299" s="184">
        <f t="shared" si="201"/>
        <v>18</v>
      </c>
      <c r="I299" s="254" cm="1">
        <f t="array" ref="I299">IFERROR(SUMPRODUCT(--($F$5:$F$220=F299),--($AE$5:$AE$220=$B$294),$J$5:$J$220,$I$5:$I$220)/SUMIFS($J$5:$J$220,$F$5:$F$220,F299,$AE$5:$AE$220,$B$294)/12,"")</f>
        <v>6.5503257413033529</v>
      </c>
      <c r="J299" s="253">
        <f t="shared" si="202"/>
        <v>516770</v>
      </c>
      <c r="K299" s="253"/>
      <c r="L299" s="253"/>
      <c r="M299" s="253"/>
      <c r="N299" s="254" cm="1">
        <f t="array" ref="N299">IFERROR(SUMPRODUCT(--($F$5:$F$220=F299),--($AE$5:$AE$220=$B$294),$J$5:$J$220,$N$5:$N$220)/SUMIFS($J$5:$J$220,$F$5:$F$220,F299,$AE$5:$AE$220,$B$294,$N$5:$N$220,"&gt;0"),"")</f>
        <v>4.4550579094007041</v>
      </c>
      <c r="O299" s="254" cm="1">
        <f t="array" ref="O299">IFERROR(SUMPRODUCT(--($F$5:$F$220=F299),--($AE$5:$AE$220=$B$294),$J$5:$J$220,$O$5:$O$220)/SUMIFS($J$5:$J$220,$F$5:$F$220,F299,$AE$5:$AE$220,$B$294),"")</f>
        <v>5.468275886758132</v>
      </c>
      <c r="P299" s="255" cm="1">
        <f t="array" ref="P299">IFERROR(SUMPRODUCT(--($F$5:$F$220=F299),--($AE$5:$AE$220=$B$294),$J$5:$J$220,$P$5:$P$220)/SUMIFS($J$5:$J$220,$F$5:$F$220,F299,$AE$5:$AE$220,$B$294,$P$5:$P$220,"&gt;0"),"")</f>
        <v>6.2216765863825847</v>
      </c>
      <c r="Q299" s="254" cm="1">
        <f t="array" ref="Q299">IFERROR(SUMPRODUCT(--($F$5:$F$220=F299),--($AE$5:$AE$220=$B$294),$J$5:$J$220,$Q$5:$Q$220)/SUMIFS($J$5:$J$220,$AE$5:$AE$220,$B$294,$F$5:$F$220,F299),"")</f>
        <v>6.3321805638872224</v>
      </c>
      <c r="R299" s="254" cm="1">
        <f t="array" ref="R299">IFERROR(SUMPRODUCT(--($F$5:$F$220=F299),--($I$5:$I$220&gt;12),--($AE$5:$AE$220=$B$294),$R$5:$R$220,$J$5:$J$220)/SUMIFS($J$5:$J$220,$I$5:$I$220,"&gt;12",$F$5:$F$220,F299,$AE$5:$AE$220,$B$294),"")</f>
        <v>3.5821695725371057</v>
      </c>
      <c r="S299" s="254" cm="1">
        <f t="array" ref="S299">IFERROR(SUMPRODUCT(--($F$5:$F$220=F299),--($I$5:$I$220&gt;12),--($AE$5:$AE$220=$B$294),$S$5:$S$220,$J$5:$J$220)/SUMIFS($J$5:$J$220,$I$5:$I$220,"&gt;12",$F$5:$F$220,F299,$AE$5:$AE$220,$B$294),"")</f>
        <v>2.8723822977340014</v>
      </c>
      <c r="T299" s="254" cm="1">
        <f t="array" ref="T299">IFERROR(SUMPRODUCT(--($F$5:$F$220=F299),--($AE$5:$AE$220=$B$294),$T$5:$T$220,$J$5:$J$220)/SUMIFS($J$5:$J$220,$F$5:$F$220,F299,$AE$5:$AE$220,$B$294),"")</f>
        <v>10.82758113212237</v>
      </c>
      <c r="U299" s="254" cm="1">
        <f t="array" ref="U299">IFERROR(SUMPRODUCT(--($F$5:$F$220=F299),--($AE$5:$AE$220=$B$294),$U$5:$U$220,$J$5:$J$220)/SUMIFS($J$5:$J$220,$F$5:$F$220,F299,$AE$5:$AE$220,$B$294),"")</f>
        <v>10.915285484838517</v>
      </c>
      <c r="V299" s="254" cm="1">
        <f t="array" ref="V299">IFERROR(SUMPRODUCT(--($F$5:$F$220=F299),--($AE$5:$AE$220=$B$294),--($AR$5:$AR$220=$B$330),$V$5:$V$220,$J$5:$J$220)/SUMIFS($J$5:$J$220,$F$5:$F$220,F299,$AE$5:$AE$220,$B$294,$AR$5:$AR$220,$B$330),"")</f>
        <v>4.100320817712122</v>
      </c>
      <c r="W299" s="254" cm="1">
        <f t="array" ref="W299">IFERROR(SUMPRODUCT(--($F$5:$F$220=F299),--($AE$5:$AE$220=$B$294),--($AR$5:$AR$220=$B$330),$W$5:$W$220,$J$5:$J$220)/SUMIFS($J$5:$J$220,$F$5:$F$220,F299,$AE$5:$AE$220,$B$294,$AR$5:$AR$220,$B$330),"")</f>
        <v>3.3347343927778708</v>
      </c>
      <c r="X299" s="256" cm="1">
        <f t="array" ref="X299">IFERROR((IFERROR(SUMPRODUCT(--($F$5:$F$220=F299),--($N$5:$N$220&gt;0),--($AE$5:$AE$220=$B$294),$J$5:$J$220,$Q$5:$Q$220)/SUMIFS($J$5:$J$220,$F$5:$F$220,F299,$N$5:$N$220,"&gt;0",$AE$5:$AE$220,$B$294),""))/N299-1,"NA")</f>
        <v>0.41045515211356531</v>
      </c>
      <c r="Y299" s="256"/>
      <c r="Z299" s="289">
        <f t="shared" si="203"/>
        <v>0.1579848374550934</v>
      </c>
      <c r="AG299" s="290"/>
      <c r="AH299" s="290"/>
    </row>
    <row r="300" spans="1:34" outlineLevel="7">
      <c r="B300" s="291"/>
      <c r="F300" s="184" t="s">
        <v>181</v>
      </c>
      <c r="H300" s="184">
        <f t="shared" si="201"/>
        <v>27</v>
      </c>
      <c r="I300" s="254" cm="1">
        <f t="array" ref="I300">IFERROR(SUMPRODUCT(--($F$5:$F$220=F300),--($AE$5:$AE$220=$B$294),$J$5:$J$220,$I$5:$I$220)/SUMIFS($J$5:$J$220,$F$5:$F$220,F300,$AE$5:$AE$220,$B$294)/12,"")</f>
        <v>5.0672480378434068</v>
      </c>
      <c r="J300" s="253">
        <f t="shared" si="202"/>
        <v>793727</v>
      </c>
      <c r="K300" s="253"/>
      <c r="L300" s="253"/>
      <c r="M300" s="253"/>
      <c r="N300" s="254" cm="1">
        <f t="array" ref="N300">IFERROR(SUMPRODUCT(--($F$5:$F$220=F300),--($AE$5:$AE$220=$B$294),$J$5:$J$220,$N$5:$N$220)/SUMIFS($J$5:$J$220,$F$5:$F$220,F300,$AE$5:$AE$220,$B$294,$N$5:$N$220,"&gt;0"),"")</f>
        <v>4.80086731984143</v>
      </c>
      <c r="O300" s="254" cm="1">
        <f t="array" ref="O300">IFERROR(SUMPRODUCT(--($F$5:$F$220=F300),--($AE$5:$AE$220=$B$294),$J$5:$J$220,$O$5:$O$220)/SUMIFS($J$5:$J$220,$F$5:$F$220,F300,$AE$5:$AE$220,$B$294),"")</f>
        <v>6.5830793585199947</v>
      </c>
      <c r="P300" s="255" cm="1">
        <f t="array" ref="P300">IFERROR(SUMPRODUCT(--($F$5:$F$220=F300),--($AE$5:$AE$220=$B$294),$J$5:$J$220,$P$5:$P$220)/SUMIFS($J$5:$J$220,$F$5:$F$220,F300,$AE$5:$AE$220,$B$294,$P$5:$P$220,"&gt;0"),"")</f>
        <v>8.6954449353684371</v>
      </c>
      <c r="Q300" s="254" cm="1">
        <f t="array" ref="Q300">IFERROR(SUMPRODUCT(--($F$5:$F$220=F300),--($AE$5:$AE$220=$B$294),$J$5:$J$220,$Q$5:$Q$220)/SUMIFS($J$5:$J$220,$AE$5:$AE$220,$B$294,$F$5:$F$220,F300),"")</f>
        <v>7.9486429717018572</v>
      </c>
      <c r="R300" s="254" cm="1">
        <f t="array" ref="R300">IFERROR(SUMPRODUCT(--($F$5:$F$220=F300),--($I$5:$I$220&gt;12),--($AE$5:$AE$220=$B$294),$R$5:$R$220,$J$5:$J$220)/SUMIFS($J$5:$J$220,$I$5:$I$220,"&gt;12",$F$5:$F$220,F300,$AE$5:$AE$220,$B$294),"")</f>
        <v>3.7806569513195343</v>
      </c>
      <c r="S300" s="254" cm="1">
        <f t="array" ref="S300">IFERROR(SUMPRODUCT(--($F$5:$F$220=F300),--($I$5:$I$220&gt;12),--($AE$5:$AE$220=$B$294),$S$5:$S$220,$J$5:$J$220)/SUMIFS($J$5:$J$220,$I$5:$I$220,"&gt;12",$F$5:$F$220,F300,$AE$5:$AE$220,$B$294),"")</f>
        <v>2.6600399129675569</v>
      </c>
      <c r="T300" s="254" cm="1">
        <f t="array" ref="T300">IFERROR(SUMPRODUCT(--($F$5:$F$220=F300),--($AE$5:$AE$220=$B$294),$T$5:$T$220,$J$5:$J$220)/SUMIFS($J$5:$J$220,$F$5:$F$220,F300,$AE$5:$AE$220,$B$294),"")</f>
        <v>5.8241896527770365</v>
      </c>
      <c r="U300" s="254" cm="1">
        <f t="array" ref="U300">IFERROR(SUMPRODUCT(--($F$5:$F$220=F300),--($AE$5:$AE$220=$B$294),$U$5:$U$220,$J$5:$J$220)/SUMIFS($J$5:$J$220,$F$5:$F$220,F300,$AE$5:$AE$220,$B$294),"")</f>
        <v>24.508292674937348</v>
      </c>
      <c r="V300" s="254" cm="1">
        <f t="array" ref="V300">IFERROR(SUMPRODUCT(--($F$5:$F$220=F300),--($AE$5:$AE$220=$B$294),--($AR$5:$AR$220=$B$330),$V$5:$V$220,$J$5:$J$220)/SUMIFS($J$5:$J$220,$F$5:$F$220,F300,$AE$5:$AE$220,$B$294,$AR$5:$AR$220,$B$330),"")</f>
        <v>6.4135703737139327</v>
      </c>
      <c r="W300" s="254" cm="1">
        <f t="array" ref="W300">IFERROR(SUMPRODUCT(--($F$5:$F$220=F300),--($AE$5:$AE$220=$B$294),--($AR$5:$AR$220=$B$330),$W$5:$W$220,$J$5:$J$220)/SUMIFS($J$5:$J$220,$F$5:$F$220,F300,$AE$5:$AE$220,$B$294,$AR$5:$AR$220,$B$330),"")</f>
        <v>7.0068124414308777</v>
      </c>
      <c r="X300" s="256" cm="1">
        <f t="array" ref="X300">IFERROR((IFERROR(SUMPRODUCT(--($F$5:$F$220=F300),--($N$5:$N$220&gt;0),--($AE$5:$AE$220=$B$294),$J$5:$J$220,$Q$5:$Q$220)/SUMIFS($J$5:$J$220,$F$5:$F$220,F300,$N$5:$N$220,"&gt;0",$AE$5:$AE$220,$B$294),""))/N300-1,"NA")</f>
        <v>0.58280468565292964</v>
      </c>
      <c r="Y300" s="256"/>
      <c r="Z300" s="289">
        <f t="shared" si="203"/>
        <v>0.20743538681703932</v>
      </c>
      <c r="AG300" s="290"/>
      <c r="AH300" s="290"/>
    </row>
    <row r="301" spans="1:34" outlineLevel="7">
      <c r="B301" s="291"/>
      <c r="F301" s="184" t="s">
        <v>600</v>
      </c>
      <c r="H301" s="184">
        <f t="shared" si="201"/>
        <v>1</v>
      </c>
      <c r="I301" s="254" cm="1">
        <f t="array" ref="I301">IFERROR(SUMPRODUCT(--($F$5:$F$220=F301),--($AE$5:$AE$220=$B$294),$J$5:$J$220,$I$5:$I$220)/SUMIFS($J$5:$J$220,$F$5:$F$220,F301,$AE$5:$AE$220,$B$294)/12,"")</f>
        <v>5</v>
      </c>
      <c r="J301" s="253">
        <f t="shared" si="202"/>
        <v>52896</v>
      </c>
      <c r="K301" s="253"/>
      <c r="L301" s="253"/>
      <c r="M301" s="253"/>
      <c r="N301" s="254" t="str" cm="1">
        <f t="array" ref="N301">IFERROR(SUMPRODUCT(--($F$5:$F$220=F301),--($AE$5:$AE$220=$B$294),$J$5:$J$220,$N$5:$N$220)/SUMIFS($J$5:$J$220,$F$5:$F$220,F301,$AE$5:$AE$220,$B$294,$N$5:$N$220,"&gt;0"),"")</f>
        <v/>
      </c>
      <c r="O301" s="254" cm="1">
        <f t="array" ref="O301">IFERROR(SUMPRODUCT(--($F$5:$F$220=F301),--($AE$5:$AE$220=$B$294),$J$5:$J$220,$O$5:$O$220)/SUMIFS($J$5:$J$220,$F$5:$F$220,F301,$AE$5:$AE$220,$B$294),"")</f>
        <v>7.8</v>
      </c>
      <c r="P301" s="255" t="str" cm="1">
        <f t="array" ref="P301">IFERROR(SUMPRODUCT(--($F$5:$F$220=F301),--($AE$5:$AE$220=$B$294),$J$5:$J$220,$P$5:$P$220)/SUMIFS($J$5:$J$220,$F$5:$F$220,F301,$AE$5:$AE$220,$B$294,$P$5:$P$220,"&gt;0"),"")</f>
        <v/>
      </c>
      <c r="Q301" s="254" cm="1">
        <f t="array" ref="Q301">IFERROR(SUMPRODUCT(--($F$5:$F$220=F301),--($AE$5:$AE$220=$B$294),$J$5:$J$220,$Q$5:$Q$220)/SUMIFS($J$5:$J$220,$AE$5:$AE$220,$B$294,$F$5:$F$220,F301),"")</f>
        <v>8.2799999999999994</v>
      </c>
      <c r="R301" s="254" cm="1">
        <f t="array" ref="R301">IFERROR(SUMPRODUCT(--($F$5:$F$220=F301),--($I$5:$I$220&gt;12),--($AE$5:$AE$220=$B$294),$R$5:$R$220,$J$5:$J$220)/SUMIFS($J$5:$J$220,$I$5:$I$220,"&gt;12",$F$5:$F$220,F301,$AE$5:$AE$220,$B$294),"")</f>
        <v>3</v>
      </c>
      <c r="S301" s="254" cm="1">
        <f t="array" ref="S301">IFERROR(SUMPRODUCT(--($F$5:$F$220=F301),--($I$5:$I$220&gt;12),--($AE$5:$AE$220=$B$294),$S$5:$S$220,$J$5:$J$220)/SUMIFS($J$5:$J$220,$I$5:$I$220,"&gt;12",$F$5:$F$220,F301,$AE$5:$AE$220,$B$294),"")</f>
        <v>2.5</v>
      </c>
      <c r="T301" s="254" cm="1">
        <f t="array" ref="T301">IFERROR(SUMPRODUCT(--($F$5:$F$220=F301),--($AE$5:$AE$220=$B$294),$T$5:$T$220,$J$5:$J$220)/SUMIFS($J$5:$J$220,$F$5:$F$220,F301,$AE$5:$AE$220,$B$294),"")</f>
        <v>11.2768542788</v>
      </c>
      <c r="U301" s="254" cm="1">
        <f t="array" ref="U301">IFERROR(SUMPRODUCT(--($F$5:$F$220=F301),--($AE$5:$AE$220=$B$294),$U$5:$U$220,$J$5:$J$220)/SUMIFS($J$5:$J$220,$F$5:$F$220,F301,$AE$5:$AE$220,$B$294),"")</f>
        <v>31.6</v>
      </c>
      <c r="V301" s="254" cm="1">
        <f t="array" ref="V301">IFERROR(SUMPRODUCT(--($F$5:$F$220=F301),--($AE$5:$AE$220=$B$294),--($AR$5:$AR$220=$B$330),$V$5:$V$220,$J$5:$J$220)/SUMIFS($J$5:$J$220,$F$5:$F$220,F301,$AE$5:$AE$220,$B$294,$AR$5:$AR$220,$B$330),"")</f>
        <v>6</v>
      </c>
      <c r="W301" s="254" cm="1">
        <f t="array" ref="W301">IFERROR(SUMPRODUCT(--($F$5:$F$220=F301),--($AE$5:$AE$220=$B$294),--($AR$5:$AR$220=$B$330),$W$5:$W$220,$J$5:$J$220)/SUMIFS($J$5:$J$220,$F$5:$F$220,F301,$AE$5:$AE$220,$B$294,$AR$5:$AR$220,$B$330),"")</f>
        <v>11.09</v>
      </c>
      <c r="X301" s="256" t="str" cm="1">
        <f t="array" ref="X301">IFERROR((IFERROR(SUMPRODUCT(--($F$5:$F$220=F301),--($N$5:$N$220&gt;0),--($AE$5:$AE$220=$B$294),$J$5:$J$220,$Q$5:$Q$220)/SUMIFS($J$5:$J$220,$F$5:$F$220,F301,$N$5:$N$220,"&gt;0",$AE$5:$AE$220,$B$294),""))/N301-1,"NA")</f>
        <v>NA</v>
      </c>
      <c r="Y301" s="256"/>
      <c r="Z301" s="289">
        <f t="shared" si="203"/>
        <v>6.1538461538461542E-2</v>
      </c>
      <c r="AG301" s="290"/>
      <c r="AH301" s="290"/>
    </row>
    <row r="302" spans="1:34" outlineLevel="7">
      <c r="A302" s="184" t="s">
        <v>756</v>
      </c>
      <c r="B302" s="291"/>
      <c r="F302" s="184" t="s">
        <v>221</v>
      </c>
      <c r="H302" s="184">
        <f t="shared" si="201"/>
        <v>1</v>
      </c>
      <c r="I302" s="254" cm="1">
        <f t="array" ref="I302">IFERROR(SUMPRODUCT(--($F$5:$F$220=F302),--($AE$5:$AE$220=$B$294),$J$5:$J$220,$I$5:$I$220)/SUMIFS($J$5:$J$220,$F$5:$F$220,F302,$AE$5:$AE$220,$B$294)/12,"")</f>
        <v>3</v>
      </c>
      <c r="J302" s="253">
        <f t="shared" si="202"/>
        <v>39000</v>
      </c>
      <c r="K302" s="253"/>
      <c r="L302" s="253"/>
      <c r="M302" s="253"/>
      <c r="N302" s="254" cm="1">
        <f t="array" ref="N302">IFERROR(SUMPRODUCT(--($F$5:$F$220=F302),--($AE$5:$AE$220=$B$294),$J$5:$J$220,$N$5:$N$220)/SUMIFS($J$5:$J$220,$F$5:$F$220,F302,$AE$5:$AE$220,$B$294,$N$5:$N$220,"&gt;0"),"")</f>
        <v>4.25</v>
      </c>
      <c r="O302" s="254" cm="1">
        <f t="array" ref="O302">IFERROR(SUMPRODUCT(--($F$5:$F$220=F302),--($AE$5:$AE$220=$B$294),$J$5:$J$220,$O$5:$O$220)/SUMIFS($J$5:$J$220,$F$5:$F$220,F302,$AE$5:$AE$220,$B$294),"")</f>
        <v>4.6349999999999998</v>
      </c>
      <c r="P302" s="255" cm="1">
        <f t="array" ref="P302">IFERROR(SUMPRODUCT(--($F$5:$F$220=F302),--($AE$5:$AE$220=$B$294),$J$5:$J$220,$P$5:$P$220)/SUMIFS($J$5:$J$220,$F$5:$F$220,F302,$AE$5:$AE$220,$B$294,$P$5:$P$220,"&gt;0"),"")</f>
        <v>4.43</v>
      </c>
      <c r="Q302" s="254" cm="1">
        <f t="array" ref="Q302">IFERROR(SUMPRODUCT(--($F$5:$F$220=F302),--($AE$5:$AE$220=$B$294),$J$5:$J$220,$Q$5:$Q$220)/SUMIFS($J$5:$J$220,$AE$5:$AE$220,$B$294,$F$5:$F$220,F302),"")</f>
        <v>5.75</v>
      </c>
      <c r="R302" s="254" cm="1">
        <f t="array" ref="R302">IFERROR(SUMPRODUCT(--($F$5:$F$220=F302),--($I$5:$I$220&gt;12),--($AE$5:$AE$220=$B$294),$R$5:$R$220,$J$5:$J$220)/SUMIFS($J$5:$J$220,$I$5:$I$220,"&gt;12",$F$5:$F$220,F302,$AE$5:$AE$220,$B$294),"")</f>
        <v>6</v>
      </c>
      <c r="S302" s="254" cm="1">
        <f t="array" ref="S302">IFERROR(SUMPRODUCT(--($F$5:$F$220=F302),--($I$5:$I$220&gt;12),--($AE$5:$AE$220=$B$294),$S$5:$S$220,$J$5:$J$220)/SUMIFS($J$5:$J$220,$I$5:$I$220,"&gt;12",$F$5:$F$220,F302,$AE$5:$AE$220,$B$294),"")</f>
        <v>3</v>
      </c>
      <c r="T302" s="254" cm="1">
        <f t="array" ref="T302">IFERROR(SUMPRODUCT(--($F$5:$F$220=F302),--($AE$5:$AE$220=$B$294),$T$5:$T$220,$J$5:$J$220)/SUMIFS($J$5:$J$220,$F$5:$F$220,F302,$AE$5:$AE$220,$B$294),"")</f>
        <v>10.650318669100001</v>
      </c>
      <c r="U302" s="254" cm="1">
        <f t="array" ref="U302">IFERROR(SUMPRODUCT(--($F$5:$F$220=F302),--($AE$5:$AE$220=$B$294),$U$5:$U$220,$J$5:$J$220)/SUMIFS($J$5:$J$220,$F$5:$F$220,F302,$AE$5:$AE$220,$B$294),"")</f>
        <v>13.09</v>
      </c>
      <c r="V302" s="254" cm="1">
        <f t="array" ref="V302">IFERROR(SUMPRODUCT(--($F$5:$F$220=F302),--($AE$5:$AE$220=$B$294),--($AR$5:$AR$220=$B$330),$V$5:$V$220,$J$5:$J$220)/SUMIFS($J$5:$J$220,$F$5:$F$220,F302,$AE$5:$AE$220,$B$294,$AR$5:$AR$220,$B$330),"")</f>
        <v>0</v>
      </c>
      <c r="W302" s="254" cm="1">
        <f t="array" ref="W302">IFERROR(SUMPRODUCT(--($F$5:$F$220=F302),--($AE$5:$AE$220=$B$294),--($AR$5:$AR$220=$B$330),$W$5:$W$220,$J$5:$J$220)/SUMIFS($J$5:$J$220,$F$5:$F$220,F302,$AE$5:$AE$220,$B$294,$AR$5:$AR$220,$B$330),"")</f>
        <v>8.09</v>
      </c>
      <c r="X302" s="256" cm="1">
        <f t="array" ref="X302">IFERROR((IFERROR(SUMPRODUCT(--($F$5:$F$220=F302),--($N$5:$N$220&gt;0),--($AE$5:$AE$220=$B$294),$J$5:$J$220,$Q$5:$Q$220)/SUMIFS($J$5:$J$220,$F$5:$F$220,F302,$N$5:$N$220,"&gt;0",$AE$5:$AE$220,$B$294),""))/N302-1,"NA")</f>
        <v>0.35294117647058831</v>
      </c>
      <c r="Y302" s="256"/>
      <c r="Z302" s="289">
        <f t="shared" si="203"/>
        <v>0.24056094929881344</v>
      </c>
      <c r="AG302" s="290"/>
      <c r="AH302" s="290"/>
    </row>
    <row r="303" spans="1:34" outlineLevel="7">
      <c r="B303" s="291"/>
      <c r="F303" s="184" t="s">
        <v>158</v>
      </c>
      <c r="H303" s="184">
        <f t="shared" si="201"/>
        <v>6</v>
      </c>
      <c r="I303" s="254" cm="1">
        <f t="array" ref="I303">IFERROR(SUMPRODUCT(--($F$5:$F$220=F303),--($AE$5:$AE$220=$B$294),$J$5:$J$220,$I$5:$I$220)/SUMIFS($J$5:$J$220,$F$5:$F$220,F303,$AE$5:$AE$220,$B$294)/12,"")</f>
        <v>4.0267743446077509</v>
      </c>
      <c r="J303" s="253">
        <f t="shared" si="202"/>
        <v>243442</v>
      </c>
      <c r="K303" s="253"/>
      <c r="L303" s="253"/>
      <c r="M303" s="253"/>
      <c r="N303" s="254" cm="1">
        <f t="array" ref="N303">IFERROR(SUMPRODUCT(--($F$5:$F$220=F303),--($AE$5:$AE$220=$B$294),$J$5:$J$220,$N$5:$N$220)/SUMIFS($J$5:$J$220,$F$5:$F$220,F303,$AE$5:$AE$220,$B$294,$N$5:$N$220,"&gt;0"),"")</f>
        <v>2.800227569605902</v>
      </c>
      <c r="O303" s="254" cm="1">
        <f t="array" ref="O303">IFERROR(SUMPRODUCT(--($F$5:$F$220=F303),--($AE$5:$AE$220=$B$294),$J$5:$J$220,$O$5:$O$220)/SUMIFS($J$5:$J$220,$F$5:$F$220,F303,$AE$5:$AE$220,$B$294),"")</f>
        <v>3.2683357021384967</v>
      </c>
      <c r="P303" s="255" cm="1">
        <f t="array" ref="P303">IFERROR(SUMPRODUCT(--($F$5:$F$220=F303),--($AE$5:$AE$220=$B$294),$J$5:$J$220,$P$5:$P$220)/SUMIFS($J$5:$J$220,$F$5:$F$220,F303,$AE$5:$AE$220,$B$294,$P$5:$P$220,"&gt;0"),"")</f>
        <v>3.9612108650344684</v>
      </c>
      <c r="Q303" s="254" cm="1">
        <f t="array" ref="Q303">IFERROR(SUMPRODUCT(--($F$5:$F$220=F303),--($AE$5:$AE$220=$B$294),$J$5:$J$220,$Q$5:$Q$220)/SUMIFS($J$5:$J$220,$AE$5:$AE$220,$B$294,$F$5:$F$220,F303),"")</f>
        <v>3.8950897955159749</v>
      </c>
      <c r="R303" s="254" cm="1">
        <f t="array" ref="R303">IFERROR(SUMPRODUCT(--($F$5:$F$220=F303),--($I$5:$I$220&gt;12),--($AE$5:$AE$220=$B$294),$R$5:$R$220,$J$5:$J$220)/SUMIFS($J$5:$J$220,$I$5:$I$220,"&gt;12",$F$5:$F$220,F303,$AE$5:$AE$220,$B$294),"")</f>
        <v>3.1747449084381496</v>
      </c>
      <c r="S303" s="254" cm="1">
        <f t="array" ref="S303">IFERROR(SUMPRODUCT(--($F$5:$F$220=F303),--($I$5:$I$220&gt;12),--($AE$5:$AE$220=$B$294),$S$5:$S$220,$J$5:$J$220)/SUMIFS($J$5:$J$220,$I$5:$I$220,"&gt;12",$F$5:$F$220,F303,$AE$5:$AE$220,$B$294),"")</f>
        <v>1.8617001174817822</v>
      </c>
      <c r="T303" s="254" cm="1">
        <f t="array" ref="T303">IFERROR(SUMPRODUCT(--($F$5:$F$220=F303),--($AE$5:$AE$220=$B$294),$T$5:$T$220,$J$5:$J$220)/SUMIFS($J$5:$J$220,$F$5:$F$220,F303,$AE$5:$AE$220,$B$294),"")</f>
        <v>9.9394757742940349</v>
      </c>
      <c r="U303" s="254" cm="1">
        <f t="array" ref="U303">IFERROR(SUMPRODUCT(--($F$5:$F$220=F303),--($AE$5:$AE$220=$B$294),$U$5:$U$220,$J$5:$J$220)/SUMIFS($J$5:$J$220,$F$5:$F$220,F303,$AE$5:$AE$220,$B$294),"")</f>
        <v>16.987176083009505</v>
      </c>
      <c r="V303" s="254" cm="1">
        <f t="array" ref="V303">IFERROR(SUMPRODUCT(--($F$5:$F$220=F303),--($AE$5:$AE$220=$B$294),--($AR$5:$AR$220=$B$330),$V$5:$V$220,$J$5:$J$220)/SUMIFS($J$5:$J$220,$F$5:$F$220,F303,$AE$5:$AE$220,$B$294,$AR$5:$AR$220,$B$330),"")</f>
        <v>2.7900987317568271</v>
      </c>
      <c r="W303" s="254" cm="1">
        <f t="array" ref="W303">IFERROR(SUMPRODUCT(--($F$5:$F$220=F303),--($AE$5:$AE$220=$B$294),--($AR$5:$AR$220=$B$330),$W$5:$W$220,$J$5:$J$220)/SUMIFS($J$5:$J$220,$F$5:$F$220,F303,$AE$5:$AE$220,$B$294,$AR$5:$AR$220,$B$330),"")</f>
        <v>5.431691625245243</v>
      </c>
      <c r="X303" s="256" cm="1">
        <f t="array" ref="X303">IFERROR((IFERROR(SUMPRODUCT(--($F$5:$F$220=F303),--($N$5:$N$220&gt;0),--($AE$5:$AE$220=$B$294),$J$5:$J$220,$Q$5:$Q$220)/SUMIFS($J$5:$J$220,$F$5:$F$220,F303,$N$5:$N$220,"&gt;0",$AE$5:$AE$220,$B$294),""))/N303-1,"NA")</f>
        <v>0.39099044584585729</v>
      </c>
      <c r="Y303" s="256"/>
      <c r="Z303" s="289">
        <f t="shared" si="203"/>
        <v>0.19176551936430153</v>
      </c>
      <c r="AG303" s="290"/>
      <c r="AH303" s="290"/>
    </row>
    <row r="304" spans="1:34" outlineLevel="7">
      <c r="B304" s="291"/>
      <c r="F304" s="184" t="s">
        <v>173</v>
      </c>
      <c r="H304" s="184">
        <f t="shared" si="201"/>
        <v>17</v>
      </c>
      <c r="I304" s="254" cm="1">
        <f t="array" ref="I304">IFERROR(SUMPRODUCT(--($F$5:$F$220=F304),--($AE$5:$AE$220=$B$294),$J$5:$J$220,$I$5:$I$220)/SUMIFS($J$5:$J$220,$F$5:$F$220,F304,$AE$5:$AE$220,$B$294)/12,"")</f>
        <v>4.837263022766999</v>
      </c>
      <c r="J304" s="253">
        <f t="shared" si="202"/>
        <v>519846</v>
      </c>
      <c r="K304" s="253"/>
      <c r="L304" s="253"/>
      <c r="M304" s="253"/>
      <c r="N304" s="254" cm="1">
        <f t="array" ref="N304">IFERROR(SUMPRODUCT(--($F$5:$F$220=F304),--($AE$5:$AE$220=$B$294),$J$5:$J$220,$N$5:$N$220)/SUMIFS($J$5:$J$220,$F$5:$F$220,F304,$AE$5:$AE$220,$B$294,$N$5:$N$220,"&gt;0"),"")</f>
        <v>9.8985725108606992</v>
      </c>
      <c r="O304" s="254" cm="1">
        <f t="array" ref="O304">IFERROR(SUMPRODUCT(--($F$5:$F$220=F304),--($AE$5:$AE$220=$B$294),$J$5:$J$220,$O$5:$O$220)/SUMIFS($J$5:$J$220,$F$5:$F$220,F304,$AE$5:$AE$220,$B$294),"")</f>
        <v>13.728145066038788</v>
      </c>
      <c r="P304" s="255" cm="1">
        <f t="array" ref="P304">IFERROR(SUMPRODUCT(--($F$5:$F$220=F304),--($AE$5:$AE$220=$B$294),$J$5:$J$220,$P$5:$P$220)/SUMIFS($J$5:$J$220,$F$5:$F$220,F304,$AE$5:$AE$220,$B$294,$P$5:$P$220,"&gt;0"),"")</f>
        <v>13.915674375703254</v>
      </c>
      <c r="Q304" s="254" cm="1">
        <f t="array" ref="Q304">IFERROR(SUMPRODUCT(--($F$5:$F$220=F304),--($AE$5:$AE$220=$B$294),$J$5:$J$220,$Q$5:$Q$220)/SUMIFS($J$5:$J$220,$AE$5:$AE$220,$B$294,$F$5:$F$220,F304),"")</f>
        <v>14.91108680263001</v>
      </c>
      <c r="R304" s="254" cm="1">
        <f t="array" ref="R304">IFERROR(SUMPRODUCT(--($F$5:$F$220=F304),--($I$5:$I$220&gt;12),--($AE$5:$AE$220=$B$294),$R$5:$R$220,$J$5:$J$220)/SUMIFS($J$5:$J$220,$I$5:$I$220,"&gt;12",$F$5:$F$220,F304,$AE$5:$AE$220,$B$294),"")</f>
        <v>3.4281570888301536</v>
      </c>
      <c r="S304" s="254" cm="1">
        <f t="array" ref="S304">IFERROR(SUMPRODUCT(--($F$5:$F$220=F304),--($I$5:$I$220&gt;12),--($AE$5:$AE$220=$B$294),$S$5:$S$220,$J$5:$J$220)/SUMIFS($J$5:$J$220,$I$5:$I$220,"&gt;12",$F$5:$F$220,F304,$AE$5:$AE$220,$B$294),"")</f>
        <v>2.6429444296964872</v>
      </c>
      <c r="T304" s="254" cm="1">
        <f t="array" ref="T304">IFERROR(SUMPRODUCT(--($F$5:$F$220=F304),--($AE$5:$AE$220=$B$294),$T$5:$T$220,$J$5:$J$220)/SUMIFS($J$5:$J$220,$F$5:$F$220,F304,$AE$5:$AE$220,$B$294),"")</f>
        <v>11.388842143785947</v>
      </c>
      <c r="U304" s="254" cm="1">
        <f t="array" ref="U304">IFERROR(SUMPRODUCT(--($F$5:$F$220=F304),--($AE$5:$AE$220=$B$294),$U$5:$U$220,$J$5:$J$220)/SUMIFS($J$5:$J$220,$F$5:$F$220,F304,$AE$5:$AE$220,$B$294),"")</f>
        <v>8.4681795358625429</v>
      </c>
      <c r="V304" s="254" cm="1">
        <f t="array" ref="V304">IFERROR(SUMPRODUCT(--($F$5:$F$220=F304),--($AE$5:$AE$220=$B$294),--($AR$5:$AR$220=$B$330),$V$5:$V$220,$J$5:$J$220)/SUMIFS($J$5:$J$220,$F$5:$F$220,F304,$AE$5:$AE$220,$B$294,$AR$5:$AR$220,$B$330),"")</f>
        <v>5.5253264838160474</v>
      </c>
      <c r="W304" s="254" cm="1">
        <f t="array" ref="W304">IFERROR(SUMPRODUCT(--($F$5:$F$220=F304),--($AE$5:$AE$220=$B$294),--($AR$5:$AR$220=$B$330),$W$5:$W$220,$J$5:$J$220)/SUMIFS($J$5:$J$220,$F$5:$F$220,F304,$AE$5:$AE$220,$B$294,$AR$5:$AR$220,$B$330),"")</f>
        <v>5.0913344749195479</v>
      </c>
      <c r="X304" s="256" cm="1">
        <f t="array" ref="X304">IFERROR((IFERROR(SUMPRODUCT(--($F$5:$F$220=F304),--($N$5:$N$220&gt;0),--($AE$5:$AE$220=$B$294),$J$5:$J$220,$Q$5:$Q$220)/SUMIFS($J$5:$J$220,$F$5:$F$220,F304,$N$5:$N$220,"&gt;0",$AE$5:$AE$220,$B$294),""))/N304-1,"NA")</f>
        <v>0.51267860493539974</v>
      </c>
      <c r="Y304" s="256"/>
      <c r="Z304" s="289">
        <f t="shared" si="203"/>
        <v>8.6169087731861715E-2</v>
      </c>
      <c r="AG304" s="290"/>
      <c r="AH304" s="290"/>
    </row>
    <row r="305" spans="1:62" outlineLevel="7">
      <c r="B305" s="291"/>
      <c r="F305" s="184" t="s">
        <v>274</v>
      </c>
      <c r="H305" s="184">
        <f t="shared" si="201"/>
        <v>6</v>
      </c>
      <c r="I305" s="254" cm="1">
        <f t="array" ref="I305">IFERROR(SUMPRODUCT(--($F$5:$F$220=F305),--($AE$5:$AE$220=$B$294),$J$5:$J$220,$I$5:$I$220)/SUMIFS($J$5:$J$220,$F$5:$F$220,F305,$AE$5:$AE$220,$B$294)/12,"")</f>
        <v>5.2247151636366747</v>
      </c>
      <c r="J305" s="253">
        <f t="shared" si="202"/>
        <v>155996</v>
      </c>
      <c r="K305" s="253"/>
      <c r="L305" s="253"/>
      <c r="M305" s="253"/>
      <c r="N305" s="254" cm="1">
        <f t="array" ref="N305">IFERROR(SUMPRODUCT(--($F$5:$F$220=F305),--($AE$5:$AE$220=$B$294),$J$5:$J$220,$N$5:$N$220)/SUMIFS($J$5:$J$220,$F$5:$F$220,F305,$AE$5:$AE$220,$B$294,$N$5:$N$220,"&gt;0"),"")</f>
        <v>5.7897951229518698</v>
      </c>
      <c r="O305" s="254" cm="1">
        <f t="array" ref="O305">IFERROR(SUMPRODUCT(--($F$5:$F$220=F305),--($AE$5:$AE$220=$B$294),$J$5:$J$220,$O$5:$O$220)/SUMIFS($J$5:$J$220,$F$5:$F$220,F305,$AE$5:$AE$220,$B$294),"")</f>
        <v>6.5333730352060311</v>
      </c>
      <c r="P305" s="255" cm="1">
        <f t="array" ref="P305">IFERROR(SUMPRODUCT(--($F$5:$F$220=F305),--($AE$5:$AE$220=$B$294),$J$5:$J$220,$P$5:$P$220)/SUMIFS($J$5:$J$220,$F$5:$F$220,F305,$AE$5:$AE$220,$B$294,$P$5:$P$220,"&gt;0"),"")</f>
        <v>7.9749439789224947</v>
      </c>
      <c r="Q305" s="254" cm="1">
        <f t="array" ref="Q305">IFERROR(SUMPRODUCT(--($F$5:$F$220=F305),--($AE$5:$AE$220=$B$294),$J$5:$J$220,$Q$5:$Q$220)/SUMIFS($J$5:$J$220,$AE$5:$AE$220,$B$294,$F$5:$F$220,F305),"")</f>
        <v>8.4589380496935824</v>
      </c>
      <c r="R305" s="254" cm="1">
        <f t="array" ref="R305">IFERROR(SUMPRODUCT(--($F$5:$F$220=F305),--($I$5:$I$220&gt;12),--($AE$5:$AE$220=$B$294),$R$5:$R$220,$J$5:$J$220)/SUMIFS($J$5:$J$220,$I$5:$I$220,"&gt;12",$F$5:$F$220,F305,$AE$5:$AE$220,$B$294),"")</f>
        <v>3.7831354650119233</v>
      </c>
      <c r="S305" s="254" cm="1">
        <f t="array" ref="S305">IFERROR(SUMPRODUCT(--($F$5:$F$220=F305),--($I$5:$I$220&gt;12),--($AE$5:$AE$220=$B$294),$S$5:$S$220,$J$5:$J$220)/SUMIFS($J$5:$J$220,$I$5:$I$220,"&gt;12",$F$5:$F$220,F305,$AE$5:$AE$220,$B$294),"")</f>
        <v>2.9720185132952128</v>
      </c>
      <c r="T305" s="254" cm="1">
        <f t="array" ref="T305">IFERROR(SUMPRODUCT(--($F$5:$F$220=F305),--($AE$5:$AE$220=$B$294),$T$5:$T$220,$J$5:$J$220)/SUMIFS($J$5:$J$220,$F$5:$F$220,F305,$AE$5:$AE$220,$B$294),"")</f>
        <v>8.5151077663026076</v>
      </c>
      <c r="U305" s="254" cm="1">
        <f t="array" ref="U305">IFERROR(SUMPRODUCT(--($F$5:$F$220=F305),--($AE$5:$AE$220=$B$294),$U$5:$U$220,$J$5:$J$220)/SUMIFS($J$5:$J$220,$F$5:$F$220,F305,$AE$5:$AE$220,$B$294),"")</f>
        <v>11.321696069129978</v>
      </c>
      <c r="V305" s="254" cm="1">
        <f t="array" ref="V305">IFERROR(SUMPRODUCT(--($F$5:$F$220=F305),--($AE$5:$AE$220=$B$294),--($AR$5:$AR$220=$B$330),$V$5:$V$220,$J$5:$J$220)/SUMIFS($J$5:$J$220,$F$5:$F$220,F305,$AE$5:$AE$220,$B$294,$AR$5:$AR$220,$B$330),"")</f>
        <v>2.7967673972516587</v>
      </c>
      <c r="W305" s="254" cm="1">
        <f t="array" ref="W305">IFERROR(SUMPRODUCT(--($F$5:$F$220=F305),--($AE$5:$AE$220=$B$294),--($AR$5:$AR$220=$B$330),$W$5:$W$220,$J$5:$J$220)/SUMIFS($J$5:$J$220,$F$5:$F$220,F305,$AE$5:$AE$220,$B$294,$AR$5:$AR$220,$B$330),"")</f>
        <v>7.8169739945284737</v>
      </c>
      <c r="X305" s="256" cm="1">
        <f t="array" ref="X305">IFERROR((IFERROR(SUMPRODUCT(--($F$5:$F$220=F305),--($N$5:$N$220&gt;0),--($AE$5:$AE$220=$B$294),$J$5:$J$220,$Q$5:$Q$220)/SUMIFS($J$5:$J$220,$F$5:$F$220,F305,$N$5:$N$220,"&gt;0",$AE$5:$AE$220,$B$294),""))/N305-1,"NA")</f>
        <v>0.46100818251076148</v>
      </c>
      <c r="Y305" s="256"/>
      <c r="Z305" s="289">
        <f t="shared" si="203"/>
        <v>0.29472754794672884</v>
      </c>
      <c r="AG305" s="290"/>
      <c r="AH305" s="290"/>
    </row>
    <row r="306" spans="1:62" outlineLevel="7">
      <c r="B306" s="291"/>
      <c r="F306" s="184" t="s">
        <v>177</v>
      </c>
      <c r="H306" s="184">
        <f t="shared" si="201"/>
        <v>5</v>
      </c>
      <c r="I306" s="254" cm="1">
        <f t="array" ref="I306">IFERROR(SUMPRODUCT(--($F$5:$F$220=F306),--($AE$5:$AE$220=$B$294),$J$5:$J$220,$I$5:$I$220)/SUMIFS($J$5:$J$220,$F$5:$F$220,F306,$AE$5:$AE$220,$B$294)/12,"")</f>
        <v>3.2860332855465688</v>
      </c>
      <c r="J306" s="253">
        <f t="shared" si="202"/>
        <v>113002</v>
      </c>
      <c r="K306" s="253"/>
      <c r="L306" s="253"/>
      <c r="M306" s="253"/>
      <c r="N306" s="254" cm="1">
        <f t="array" ref="N306">IFERROR(SUMPRODUCT(--($F$5:$F$220=F306),--($AE$5:$AE$220=$B$294),$J$5:$J$220,$N$5:$N$220)/SUMIFS($J$5:$J$220,$F$5:$F$220,F306,$AE$5:$AE$220,$B$294,$N$5:$N$220,"&gt;0"),"")</f>
        <v>8.5337814043788338</v>
      </c>
      <c r="O306" s="254" cm="1">
        <f t="array" ref="O306">IFERROR(SUMPRODUCT(--($F$5:$F$220=F306),--($AE$5:$AE$220=$B$294),$J$5:$J$220,$O$5:$O$220)/SUMIFS($J$5:$J$220,$F$5:$F$220,F306,$AE$5:$AE$220,$B$294),"")</f>
        <v>7.8208270650077001</v>
      </c>
      <c r="P306" s="255" cm="1">
        <f t="array" ref="P306">IFERROR(SUMPRODUCT(--($F$5:$F$220=F306),--($AE$5:$AE$220=$B$294),$J$5:$J$220,$P$5:$P$220)/SUMIFS($J$5:$J$220,$F$5:$F$220,F306,$AE$5:$AE$220,$B$294,$P$5:$P$220,"&gt;0"),"")</f>
        <v>9.3466386821564704</v>
      </c>
      <c r="Q306" s="254" cm="1">
        <f t="array" ref="Q306">IFERROR(SUMPRODUCT(--($F$5:$F$220=F306),--($AE$5:$AE$220=$B$294),$J$5:$J$220,$Q$5:$Q$220)/SUMIFS($J$5:$J$220,$AE$5:$AE$220,$B$294,$F$5:$F$220,F306),"")</f>
        <v>9.4763411267057212</v>
      </c>
      <c r="R306" s="254" cm="1">
        <f t="array" ref="R306">IFERROR(SUMPRODUCT(--($F$5:$F$220=F306),--($I$5:$I$220&gt;12),--($AE$5:$AE$220=$B$294),$R$5:$R$220,$J$5:$J$220)/SUMIFS($J$5:$J$220,$I$5:$I$220,"&gt;12",$F$5:$F$220,F306,$AE$5:$AE$220,$B$294),"")</f>
        <v>3.0574326118121804</v>
      </c>
      <c r="S306" s="254" cm="1">
        <f t="array" ref="S306">IFERROR(SUMPRODUCT(--($F$5:$F$220=F306),--($I$5:$I$220&gt;12),--($AE$5:$AE$220=$B$294),$S$5:$S$220,$J$5:$J$220)/SUMIFS($J$5:$J$220,$I$5:$I$220,"&gt;12",$F$5:$F$220,F306,$AE$5:$AE$220,$B$294),"")</f>
        <v>2.1189005504327358</v>
      </c>
      <c r="T306" s="254" cm="1">
        <f t="array" ref="T306">IFERROR(SUMPRODUCT(--($F$5:$F$220=F306),--($AE$5:$AE$220=$B$294),$T$5:$T$220,$J$5:$J$220)/SUMIFS($J$5:$J$220,$F$5:$F$220,F306,$AE$5:$AE$220,$B$294),"")</f>
        <v>2.2398187054402965</v>
      </c>
      <c r="U306" s="254" cm="1">
        <f t="array" ref="U306">IFERROR(SUMPRODUCT(--($F$5:$F$220=F306),--($AE$5:$AE$220=$B$294),$U$5:$U$220,$J$5:$J$220)/SUMIFS($J$5:$J$220,$F$5:$F$220,F306,$AE$5:$AE$220,$B$294),"")</f>
        <v>1.5650229199483194</v>
      </c>
      <c r="V306" s="254" cm="1">
        <f t="array" ref="V306">IFERROR(SUMPRODUCT(--($F$5:$F$220=F306),--($AE$5:$AE$220=$B$294),--($AR$5:$AR$220=$B$330),$V$5:$V$220,$J$5:$J$220)/SUMIFS($J$5:$J$220,$F$5:$F$220,F306,$AE$5:$AE$220,$B$294,$AR$5:$AR$220,$B$330),"")</f>
        <v>2.3805366957646297</v>
      </c>
      <c r="W306" s="254" cm="1">
        <f t="array" ref="W306">IFERROR(SUMPRODUCT(--($F$5:$F$220=F306),--($AE$5:$AE$220=$B$294),--($AR$5:$AR$220=$B$330),$W$5:$W$220,$J$5:$J$220)/SUMIFS($J$5:$J$220,$F$5:$F$220,F306,$AE$5:$AE$220,$B$294,$AR$5:$AR$220,$B$330),"")</f>
        <v>3.2476931781441967</v>
      </c>
      <c r="X306" s="256" cm="1">
        <f t="array" ref="X306">IFERROR((IFERROR(SUMPRODUCT(--($F$5:$F$220=F306),--($N$5:$N$220&gt;0),--($AE$5:$AE$220=$B$294),$J$5:$J$220,$Q$5:$Q$220)/SUMIFS($J$5:$J$220,$F$5:$F$220,F306,$N$5:$N$220,"&gt;0",$AE$5:$AE$220,$B$294),""))/N306-1,"NA")</f>
        <v>9.5586128718020857E-2</v>
      </c>
      <c r="Y306" s="256"/>
      <c r="Z306" s="289">
        <f t="shared" si="203"/>
        <v>0.21168017754863766</v>
      </c>
      <c r="AG306" s="290"/>
      <c r="AH306" s="290"/>
    </row>
    <row r="307" spans="1:62">
      <c r="B307" s="292"/>
      <c r="C307" s="293"/>
      <c r="D307" s="293"/>
      <c r="E307" s="293"/>
      <c r="F307" s="294" t="s">
        <v>27</v>
      </c>
      <c r="G307" s="294"/>
      <c r="H307" s="294">
        <f>SUM(H295:H306)</f>
        <v>149</v>
      </c>
      <c r="I307" s="295" cm="1">
        <f t="array" ref="I307">IFERROR(SUMPRODUCT(--($AE$5:$AE$220=$B$294),$J$5:$J$220,$I$5:$I$220)/SUMIFS($J$5:$J$220,$AE$5:$AE$220,$B$294)/12,"")</f>
        <v>4.9790470061614096</v>
      </c>
      <c r="J307" s="296">
        <f>SUM(J295:J306)</f>
        <v>4566217</v>
      </c>
      <c r="K307" s="296"/>
      <c r="L307" s="296"/>
      <c r="M307" s="296"/>
      <c r="N307" s="295" cm="1">
        <f t="array" ref="N307">IFERROR(SUMPRODUCT(--($AE$5:$AE$220=$B$294),$J$5:$J$220,$N$5:$N$220)/SUMIFS($J$5:$J$220,$AE$5:$AE$220,$B$294,$N$5:$N$220,"&gt;0"),"")</f>
        <v>5.8044039936648408</v>
      </c>
      <c r="O307" s="295" cm="1">
        <f t="array" ref="O307">IFERROR(SUMPRODUCT(--($AE$5:$AE$220=$B$294),$J$5:$J$220,$O$5:$O$220)/SUMIFS($J$5:$J$220,$AE$5:$AE$220,$B$294),"")</f>
        <v>6.7744673698161986</v>
      </c>
      <c r="P307" s="297" cm="1">
        <f t="array" ref="P307">IFERROR(SUMPRODUCT(--($AE$5:$AE$220=$B$294),$J$5:$J$220,$P$5:$P$220)/SUMIFS($J$5:$J$220,$AE$5:$AE$220,$B$294,$P$5:$P$220,"&gt;0"),"")</f>
        <v>7.9506300593271462</v>
      </c>
      <c r="Q307" s="295" cm="1">
        <f t="array" ref="Q307">IFERROR(SUMPRODUCT(--($AE$5:$AE$220=$B$294),$J$5:$J$220,$Q$5:$Q$220)/SUMIFS($J$5:$J$220,$AE$5:$AE$220,$B$294),"")</f>
        <v>7.7075896084220252</v>
      </c>
      <c r="R307" s="295" cm="1">
        <f t="array" ref="R307">SUMPRODUCT(--($AE$5:$AE$220=$B$294),--($I$5:$I$220&gt;12),$R$5:$R$220,$J$5:$J$220)/SUMIFS($J$5:$J$220,$I$5:$I$220,"&gt;12",$AE$5:$AE$220,$B$294)</f>
        <v>3.6272542172218274</v>
      </c>
      <c r="S307" s="295" cm="1">
        <f t="array" ref="S307">SUMPRODUCT(--($AE$5:$AE$220=$B$294),--($I$5:$I$220&gt;12),$S$5:$S$220,$J$5:$J$220)/SUMIFS($J$5:$J$220,$I$5:$I$220,"&gt;12",$AE$5:$AE$220,$B$294)</f>
        <v>2.7820838540962902</v>
      </c>
      <c r="T307" s="295" cm="1">
        <f t="array" ref="T307">IFERROR(SUMPRODUCT(--($AE$5:$AE$220=$B$294),$T$5:$T$220,$J$5:$J$220)/SUMIFS($J$5:$J$220,$AE$5:$AE$220,$B$294),"")</f>
        <v>9.4331447844447425</v>
      </c>
      <c r="U307" s="295" cm="1">
        <f t="array" ref="U307">IFERROR(SUMPRODUCT(--($AE$5:$AE$220=$B$294),$U$5:$U$220,$J$5:$J$220)/SUMIFS($J$5:$J$220,$AE$5:$AE$220,$B$294),"")</f>
        <v>13.937204555543465</v>
      </c>
      <c r="V307" s="295" cm="1">
        <f t="array" ref="V307">IFERROR(SUMPRODUCT(--($AE$5:$AE$220=$B$294),--($AR$5:$AR$220=$B$330),$V$5:$V$220,$J$5:$J$220)/SUMIFS($J$5:$J$220,$AE$5:$AE$220,$B$294,$AR$5:$AR$220,$B$330),"")</f>
        <v>3.7380622350045956</v>
      </c>
      <c r="W307" s="295" cm="1">
        <f t="array" ref="W307">IFERROR(SUMPRODUCT(--($AE$5:$AE$220=$B$294),--($AR$5:$AR$220=$B$330),$W$5:$W$220,$J$5:$J$220)/SUMIFS($J$5:$J$220,$AE$5:$AE$220,$B$294,$AR$5:$AR$220,$B$330),"")</f>
        <v>6.0417347115855851</v>
      </c>
      <c r="X307" s="326" cm="1">
        <f t="array" ref="X307">IFERROR((IFERROR(SUMPRODUCT(--($N$5:$N$220&gt;0),--($AE$5:$AE$220=$B$294),$J$5:$J$220,$Q$5:$Q$220)/SUMIFS($J$5:$J$220,$N$5:$N$220,"&gt;0",$AE$5:$AE$220,$B$294),""))/N307-1,"NA")</f>
        <v>0.34051259410205237</v>
      </c>
      <c r="Y307" s="326"/>
      <c r="Z307" s="327">
        <f>IFERROR(Q307/O307-1,"NA")</f>
        <v>0.1377410485086068</v>
      </c>
      <c r="AG307" s="290"/>
      <c r="AH307" s="290"/>
    </row>
    <row r="308" spans="1:62">
      <c r="N308" s="222"/>
      <c r="O308" s="222"/>
      <c r="P308" s="222"/>
      <c r="Q308" s="222"/>
      <c r="T308" s="222"/>
      <c r="U308" s="222"/>
    </row>
    <row r="309" spans="1:62">
      <c r="N309" s="222"/>
      <c r="O309" s="222"/>
      <c r="P309" s="222"/>
      <c r="Q309" s="222"/>
      <c r="T309" s="222"/>
      <c r="U309" s="222"/>
    </row>
    <row r="310" spans="1:62" s="246" customFormat="1">
      <c r="A310" s="250"/>
      <c r="B310" s="280" t="s">
        <v>161</v>
      </c>
      <c r="C310" s="281"/>
      <c r="D310" s="281"/>
      <c r="E310" s="281"/>
      <c r="F310" s="282"/>
      <c r="G310" s="282"/>
      <c r="H310" s="282" t="s">
        <v>730</v>
      </c>
      <c r="I310" s="283" t="s">
        <v>731</v>
      </c>
      <c r="J310" s="283" t="s">
        <v>732</v>
      </c>
      <c r="K310" s="283"/>
      <c r="L310" s="283"/>
      <c r="M310" s="283"/>
      <c r="N310" s="284" t="s">
        <v>94</v>
      </c>
      <c r="O310" s="284" t="s">
        <v>95</v>
      </c>
      <c r="P310" s="285" t="s">
        <v>58</v>
      </c>
      <c r="Q310" s="284" t="s">
        <v>96</v>
      </c>
      <c r="R310" s="283" t="s">
        <v>734</v>
      </c>
      <c r="S310" s="283" t="s">
        <v>735</v>
      </c>
      <c r="T310" s="283" t="s">
        <v>736</v>
      </c>
      <c r="U310" s="283" t="s">
        <v>737</v>
      </c>
      <c r="V310" s="283" t="s">
        <v>64</v>
      </c>
      <c r="W310" s="283" t="s">
        <v>738</v>
      </c>
      <c r="X310" s="283" t="s">
        <v>755</v>
      </c>
      <c r="Y310" s="283"/>
      <c r="Z310" s="286" t="s">
        <v>740</v>
      </c>
      <c r="AD310" s="287"/>
      <c r="AG310" s="288" t="s">
        <v>741</v>
      </c>
      <c r="AH310" s="288" t="s">
        <v>742</v>
      </c>
    </row>
    <row r="311" spans="1:62">
      <c r="B311" s="251" t="s">
        <v>743</v>
      </c>
      <c r="F311" s="184" t="s">
        <v>153</v>
      </c>
      <c r="H311" s="184">
        <f t="shared" ref="H311:H325" si="204">COUNTIFS($F$5:$F$220,F311,$AE$5:$AE$220,$B$310)</f>
        <v>6</v>
      </c>
      <c r="I311" s="253" cm="1">
        <f t="array" ref="I311">IFERROR(SUMPRODUCT(--($F$5:$F$220=F311),--($AE$5:$AE$220=$B$310),$J$5:$J$220,$I$5:$I$220)/SUMIFS($J$5:$J$220,$F$5:$F$220,F311,$AE$5:$AE$220,$B$310)/12,"")</f>
        <v>4.6200521892368167</v>
      </c>
      <c r="J311" s="253">
        <f t="shared" ref="J311:J325" si="205">SUMIFS($J$5:$J$220,$F$5:$F$220,F311,$AE$5:$AE$220,$B$310)</f>
        <v>122950</v>
      </c>
      <c r="K311" s="253"/>
      <c r="L311" s="253"/>
      <c r="M311" s="253"/>
      <c r="N311" s="254" cm="1">
        <f t="array" ref="N311">IFERROR(SUMPRODUCT(--($F$5:$F$220=F311),--($AE$5:$AE$220=$B$310),$J$5:$J$220,$N$5:$N$220)/SUMIFS($J$5:$J$220,$F$5:$F$220,F311,$AE$5:$AE$220,$B$310,$N$5:$N$220,"&gt;0"),"")</f>
        <v>7.413926055045871</v>
      </c>
      <c r="O311" s="254" cm="1">
        <f t="array" ref="O311">IFERROR(SUMPRODUCT(--($F$5:$F$220=F311),--($AE$5:$AE$220=$B$310),$J$5:$J$220,$O$5:$O$220)/SUMIFS($J$5:$J$220,$F$5:$F$220,F311,$AE$5:$AE$220,$B$310),"")</f>
        <v>9.4801938999593336</v>
      </c>
      <c r="P311" s="255" cm="1">
        <f t="array" ref="P311">IFERROR(SUMPRODUCT(--($F$5:$F$220=F311),--($AE$5:$AE$220=$B$310),$J$5:$J$220,$P$5:$P$220)/SUMIFS($J$5:$J$220,$F$5:$F$220,F311,$AE$5:$AE$220,$B$310,$P$5:$P$220,"&gt;0"),"")</f>
        <v>8.7557922732818216</v>
      </c>
      <c r="Q311" s="254" cm="1">
        <f t="array" ref="Q311">IFERROR(SUMPRODUCT(--($F$5:$F$220=F311),--($AE$5:$AE$220=$B$310),$J$5:$J$220,$Q$5:$Q$220)/SUMIFS($J$5:$J$220,$AE$5:$AE$220,$B$310,$F$5:$F$220,F311),"")</f>
        <v>8.7355230581537207</v>
      </c>
      <c r="R311" s="254" cm="1">
        <f t="array" ref="R311">IFERROR(SUMPRODUCT(--($F$5:$F$220=F311),--($I$5:$I$220&gt;12),--($AE$5:$AE$220=$B$310),$R$5:$R$220,$J$5:$J$220)/SUMIFS($J$5:$J$220,$I$5:$I$220,"&gt;12",$F$5:$F$220,F311,$AE$5:$AE$220,$B$310),"")</f>
        <v>3.7575965839772265</v>
      </c>
      <c r="S311" s="254" cm="1">
        <f t="array" ref="S311">IFERROR(SUMPRODUCT(--($F$5:$F$220=F311),--($I$5:$I$220&gt;12),--($AE$5:$AE$220=$B$310),$S$5:$S$220,$J$5:$J$220)/SUMIFS($J$5:$J$220,$I$5:$I$220,"&gt;12",$F$5:$F$220,F311,$AE$5:$AE$220,$B$310),"")</f>
        <v>3.4595384302562016</v>
      </c>
      <c r="T311" s="254" cm="1">
        <f t="array" ref="T311">IFERROR(SUMPRODUCT(--($F$5:$F$220=F311),--($AE$5:$AE$220=$B$310),$T$5:$T$220,$J$5:$J$220)/SUMIFS($J$5:$J$220,$F$5:$F$220,F311,$AE$5:$AE$220,$B$310),"")</f>
        <v>10.61478532254676</v>
      </c>
      <c r="U311" s="254" cm="1">
        <f t="array" ref="U311">IFERROR(SUMPRODUCT(--($F$5:$F$220=F311),--($AE$5:$AE$220=$B$310),$U$5:$U$220,$J$5:$J$220)/SUMIFS($J$5:$J$220,$F$5:$F$220,F311,$AE$5:$AE$220,$B$310),"")</f>
        <v>4.1066612444082962</v>
      </c>
      <c r="V311" s="254" cm="1">
        <f t="array" ref="V311">IFERROR(SUMPRODUCT(--($F$5:$F$220=F311),--($AE$5:$AE$220=$B$310),--($AR$5:$AR$220=$B$330),$V$5:$V$220,$J$5:$J$220)/SUMIFS($J$5:$J$220,$F$5:$F$220,F311,$AE$5:$AE$220,$B$310,$AR$5:$AR$220,$B$330),"")</f>
        <v>3.6766285770094735</v>
      </c>
      <c r="W311" s="254" cm="1">
        <f t="array" ref="W311">IFERROR(SUMPRODUCT(--($F$5:$F$220=F311),--($AE$5:$AE$220=$B$310),--($AR$5:$AR$220=$B$330),$W$5:$W$220,$J$5:$J$220)/SUMIFS($J$5:$J$220,$F$5:$F$220,F311,$AE$5:$AE$220,$B$310,$AR$5:$AR$220,$B$330),"")</f>
        <v>5.148270617945391</v>
      </c>
      <c r="X311" s="256" cm="1">
        <f t="array" ref="X311">IFERROR((IFERROR(SUMPRODUCT(--($F$5:$F$220=F311),--($N$5:$N$220&gt;0),--($AE$5:$AE$220=$B$310),$J$5:$J$220,$Q$5:$Q$220)/SUMIFS($J$5:$J$220,$F$5:$F$220,F311,$N$5:$N$220,"&gt;0",$AE$5:$AE$220,$B$310),""))/N311-1,"NA")</f>
        <v>0.11327507467536257</v>
      </c>
      <c r="Y311" s="256"/>
      <c r="Z311" s="289">
        <f t="shared" ref="Z311:Z326" si="206">IFERROR(Q311/O311-1,"NA")</f>
        <v>-7.8550169929415437E-2</v>
      </c>
      <c r="AG311" s="290"/>
      <c r="AH311" s="290"/>
    </row>
    <row r="312" spans="1:62">
      <c r="B312" s="291"/>
      <c r="F312" s="184" t="s">
        <v>207</v>
      </c>
      <c r="H312" s="184">
        <f t="shared" si="204"/>
        <v>9</v>
      </c>
      <c r="I312" s="254" cm="1">
        <f t="array" ref="I312">IFERROR(SUMPRODUCT(--($F$5:$F$220=F312),--($AE$5:$AE$220=$B$310),$J$5:$J$220,$I$5:$I$220)/SUMIFS($J$5:$J$220,$F$5:$F$220,F312,$AE$5:$AE$220,$B$310)/12,"")</f>
        <v>5.7134467248045055</v>
      </c>
      <c r="J312" s="253">
        <f t="shared" si="205"/>
        <v>102859</v>
      </c>
      <c r="K312" s="253"/>
      <c r="L312" s="253"/>
      <c r="M312" s="253"/>
      <c r="N312" s="254" cm="1">
        <f t="array" ref="N312">IFERROR(SUMPRODUCT(--($F$5:$F$220=F312),--($AE$5:$AE$220=$B$310),$J$5:$J$220,$N$5:$N$220)/SUMIFS($J$5:$J$220,$F$5:$F$220,F312,$AE$5:$AE$220,$B$310,$N$5:$N$220,"&gt;0"),"")</f>
        <v>8.8393177504573988</v>
      </c>
      <c r="O312" s="254" cm="1">
        <f t="array" ref="O312">IFERROR(SUMPRODUCT(--($F$5:$F$220=F312),--($AE$5:$AE$220=$B$310),$J$5:$J$220,$O$5:$O$220)/SUMIFS($J$5:$J$220,$F$5:$F$220,F312,$AE$5:$AE$220,$B$310),"")</f>
        <v>10.570096549645632</v>
      </c>
      <c r="P312" s="255" cm="1">
        <f t="array" ref="P312">IFERROR(SUMPRODUCT(--($F$5:$F$220=F312),--($AE$5:$AE$220=$B$310),$J$5:$J$220,$P$5:$P$220)/SUMIFS($J$5:$J$220,$F$5:$F$220,F312,$AE$5:$AE$220,$B$310,$P$5:$P$220,"&gt;0"),"")</f>
        <v>10.325290240741252</v>
      </c>
      <c r="Q312" s="254" cm="1">
        <f t="array" ref="Q312">IFERROR(SUMPRODUCT(--($F$5:$F$220=F312),--($AE$5:$AE$220=$B$310),$J$5:$J$220,$Q$5:$Q$220)/SUMIFS($J$5:$J$220,$AE$5:$AE$220,$B$310,$F$5:$F$220,F312),"")</f>
        <v>10.938760827929496</v>
      </c>
      <c r="R312" s="254" cm="1">
        <f t="array" ref="R312">IFERROR(SUMPRODUCT(--($F$5:$F$220=F312),--($I$5:$I$220&gt;12),--($AE$5:$AE$220=$B$310),$R$5:$R$220,$J$5:$J$220)/SUMIFS($J$5:$J$220,$I$5:$I$220,"&gt;12",$F$5:$F$220,F312,$AE$5:$AE$220,$B$310),"")</f>
        <v>3.6837175162115128</v>
      </c>
      <c r="S312" s="254" cm="1">
        <f t="array" ref="S312">IFERROR(SUMPRODUCT(--($F$5:$F$220=F312),--($I$5:$I$220&gt;12),--($AE$5:$AE$220=$B$310),$S$5:$S$220,$J$5:$J$220)/SUMIFS($J$5:$J$220,$I$5:$I$220,"&gt;12",$F$5:$F$220,F312,$AE$5:$AE$220,$B$310),"")</f>
        <v>4</v>
      </c>
      <c r="T312" s="254" cm="1">
        <f t="array" ref="T312">IFERROR(SUMPRODUCT(--($F$5:$F$220=F312),--($AE$5:$AE$220=$B$310),$T$5:$T$220,$J$5:$J$220)/SUMIFS($J$5:$J$220,$F$5:$F$220,F312,$AE$5:$AE$220,$B$310),"")</f>
        <v>11.469086027989023</v>
      </c>
      <c r="U312" s="254" cm="1">
        <f t="array" ref="U312">IFERROR(SUMPRODUCT(--($F$5:$F$220=F312),--($AE$5:$AE$220=$B$310),$U$5:$U$220,$J$5:$J$220)/SUMIFS($J$5:$J$220,$F$5:$F$220,F312,$AE$5:$AE$220,$B$310),"")</f>
        <v>6.4063407188481323</v>
      </c>
      <c r="V312" s="254" cm="1">
        <f t="array" ref="V312">IFERROR(SUMPRODUCT(--($F$5:$F$220=F312),--($AE$5:$AE$220=$B$310),--($AR$5:$AR$220=$B$330),$V$5:$V$220,$J$5:$J$220)/SUMIFS($J$5:$J$220,$F$5:$F$220,F312,$AE$5:$AE$220,$B$310,$AR$5:$AR$220,$B$330),"")</f>
        <v>8.3789039786016097</v>
      </c>
      <c r="W312" s="254" cm="1">
        <f t="array" ref="W312">IFERROR(SUMPRODUCT(--($F$5:$F$220=F312),--($AE$5:$AE$220=$B$310),--($AR$5:$AR$220=$B$330),$W$5:$W$220,$J$5:$J$220)/SUMIFS($J$5:$J$220,$F$5:$F$220,F312,$AE$5:$AE$220,$B$310,$AR$5:$AR$220,$B$330),"")</f>
        <v>4.6622388194704678</v>
      </c>
      <c r="X312" s="256" cm="1">
        <f t="array" ref="X312">IFERROR((IFERROR(SUMPRODUCT(--($F$5:$F$220=F312),--($N$5:$N$220&gt;0),--($AE$5:$AE$220=$B$310),$J$5:$J$220,$Q$5:$Q$220)/SUMIFS($J$5:$J$220,$F$5:$F$220,F312,$N$5:$N$220,"&gt;0",$AE$5:$AE$220,$B$310),""))/N312-1,"NA")</f>
        <v>0.31662005414761518</v>
      </c>
      <c r="Y312" s="256"/>
      <c r="Z312" s="289">
        <f t="shared" si="206"/>
        <v>3.4878042651012908E-2</v>
      </c>
      <c r="AG312" s="290"/>
      <c r="AH312" s="290"/>
    </row>
    <row r="313" spans="1:62">
      <c r="B313" s="291"/>
      <c r="F313" s="184" t="s">
        <v>201</v>
      </c>
      <c r="H313" s="184">
        <f t="shared" si="204"/>
        <v>2</v>
      </c>
      <c r="I313" s="254" cm="1">
        <f t="array" ref="I313">IFERROR(SUMPRODUCT(--($F$5:$F$220=F313),--($AE$5:$AE$220=$B$310),$J$5:$J$220,$I$5:$I$220)/SUMIFS($J$5:$J$220,$F$5:$F$220,F313,$AE$5:$AE$220,$B$310)/12,"")</f>
        <v>3.460306977075462</v>
      </c>
      <c r="J313" s="253">
        <f t="shared" si="205"/>
        <v>102961</v>
      </c>
      <c r="K313" s="253"/>
      <c r="L313" s="253"/>
      <c r="M313" s="253"/>
      <c r="N313" s="254" cm="1">
        <f t="array" ref="N313">IFERROR(SUMPRODUCT(--($F$5:$F$220=F313),--($AE$5:$AE$220=$B$310),$J$5:$J$220,$N$5:$N$220)/SUMIFS($J$5:$J$220,$F$5:$F$220,F313,$AE$5:$AE$220,$B$310,$N$5:$N$220,"&gt;0"),"")</f>
        <v>6.7581612455201485</v>
      </c>
      <c r="O313" s="254" cm="1">
        <f t="array" ref="O313">IFERROR(SUMPRODUCT(--($F$5:$F$220=F313),--($AE$5:$AE$220=$B$310),$J$5:$J$220,$O$5:$O$220)/SUMIFS($J$5:$J$220,$F$5:$F$220,F313,$AE$5:$AE$220,$B$310),"")</f>
        <v>9.0426625615524312</v>
      </c>
      <c r="P313" s="255" cm="1">
        <f t="array" ref="P313">IFERROR(SUMPRODUCT(--($F$5:$F$220=F313),--($AE$5:$AE$220=$B$310),$J$5:$J$220,$P$5:$P$220)/SUMIFS($J$5:$J$220,$F$5:$F$220,F313,$AE$5:$AE$220,$B$310,$P$5:$P$220,"&gt;0"),"")</f>
        <v>10.048364235001603</v>
      </c>
      <c r="Q313" s="254" cm="1">
        <f t="array" ref="Q313">IFERROR(SUMPRODUCT(--($F$5:$F$220=F313),--($AE$5:$AE$220=$B$310),$J$5:$J$220,$Q$5:$Q$220)/SUMIFS($J$5:$J$220,$AE$5:$AE$220,$B$310,$F$5:$F$220,F313),"")</f>
        <v>10.47477200104894</v>
      </c>
      <c r="R313" s="254" cm="1">
        <f t="array" ref="R313">IFERROR(SUMPRODUCT(--($F$5:$F$220=F313),--($I$5:$I$220&gt;12),--($AE$5:$AE$220=$B$310),$R$5:$R$220,$J$5:$J$220)/SUMIFS($J$5:$J$220,$I$5:$I$220,"&gt;12",$F$5:$F$220,F313,$AE$5:$AE$220,$B$310),"")</f>
        <v>3.7769932304464797</v>
      </c>
      <c r="S313" s="254" cm="1">
        <f t="array" ref="S313">IFERROR(SUMPRODUCT(--($F$5:$F$220=F313),--($I$5:$I$220&gt;12),--($AE$5:$AE$220=$B$310),$S$5:$S$220,$J$5:$J$220)/SUMIFS($J$5:$J$220,$I$5:$I$220,"&gt;12",$F$5:$F$220,F313,$AE$5:$AE$220,$B$310),"")</f>
        <v>4</v>
      </c>
      <c r="T313" s="254" cm="1">
        <f t="array" ref="T313">IFERROR(SUMPRODUCT(--($F$5:$F$220=F313),--($AE$5:$AE$220=$B$310),$T$5:$T$220,$J$5:$J$220)/SUMIFS($J$5:$J$220,$F$5:$F$220,F313,$AE$5:$AE$220,$B$310),"")</f>
        <v>1.5610473992571081</v>
      </c>
      <c r="U313" s="254" cm="1">
        <f t="array" ref="U313">IFERROR(SUMPRODUCT(--($F$5:$F$220=F313),--($AE$5:$AE$220=$B$310),$U$5:$U$220,$J$5:$J$220)/SUMIFS($J$5:$J$220,$F$5:$F$220,F313,$AE$5:$AE$220,$B$310),"")</f>
        <v>0</v>
      </c>
      <c r="V313" s="254" cm="1">
        <f t="array" ref="V313">IFERROR(SUMPRODUCT(--($F$5:$F$220=F313),--($AE$5:$AE$220=$B$310),--($AR$5:$AR$220=$B$330),$V$5:$V$220,$J$5:$J$220)/SUMIFS($J$5:$J$220,$F$5:$F$220,F313,$AE$5:$AE$220,$B$310,$AR$5:$AR$220,$B$330),"")</f>
        <v>1</v>
      </c>
      <c r="W313" s="254" cm="1">
        <f t="array" ref="W313">IFERROR(SUMPRODUCT(--($F$5:$F$220=F313),--($AE$5:$AE$220=$B$310),--($AR$5:$AR$220=$B$330),$W$5:$W$220,$J$5:$J$220)/SUMIFS($J$5:$J$220,$F$5:$F$220,F313,$AE$5:$AE$220,$B$310,$AR$5:$AR$220,$B$330),"")</f>
        <v>9</v>
      </c>
      <c r="X313" s="256" cm="1">
        <f t="array" ref="X313">IFERROR((IFERROR(SUMPRODUCT(--($F$5:$F$220=F313),--($N$5:$N$220&gt;0),--($AE$5:$AE$220=$B$310),$J$5:$J$220,$Q$5:$Q$220)/SUMIFS($J$5:$J$220,$F$5:$F$220,F313,$N$5:$N$220,"&gt;0",$AE$5:$AE$220,$B$310),""))/N313-1,"NA")</f>
        <v>0.54994407805709877</v>
      </c>
      <c r="Y313" s="256"/>
      <c r="Z313" s="289">
        <f t="shared" si="206"/>
        <v>0.15837254013939961</v>
      </c>
      <c r="AG313" s="290"/>
      <c r="AH313" s="290"/>
    </row>
    <row r="314" spans="1:62">
      <c r="B314" s="291"/>
      <c r="F314" s="184" t="s">
        <v>144</v>
      </c>
      <c r="H314" s="184">
        <f t="shared" si="204"/>
        <v>6</v>
      </c>
      <c r="I314" s="254" cm="1">
        <f t="array" ref="I314">IFERROR(SUMPRODUCT(--($F$5:$F$220=F314),--($AE$5:$AE$220=$B$310),$J$5:$J$220,$I$5:$I$220)/SUMIFS($J$5:$J$220,$F$5:$F$220,F314,$AE$5:$AE$220,$B$310)/12,"")</f>
        <v>6.0716232941046471</v>
      </c>
      <c r="J314" s="253">
        <f t="shared" si="205"/>
        <v>150825</v>
      </c>
      <c r="K314" s="253"/>
      <c r="L314" s="253"/>
      <c r="M314" s="253"/>
      <c r="N314" s="254" cm="1">
        <f t="array" ref="N314">IFERROR(SUMPRODUCT(--($F$5:$F$220=F314),--($AE$5:$AE$220=$B$310),$J$5:$J$220,$N$5:$N$220)/SUMIFS($J$5:$J$220,$F$5:$F$220,F314,$AE$5:$AE$220,$B$310,$N$5:$N$220,"&gt;0"),"")</f>
        <v>5.321648081235983</v>
      </c>
      <c r="O314" s="254" cm="1">
        <f t="array" ref="O314">IFERROR(SUMPRODUCT(--($F$5:$F$220=F314),--($AE$5:$AE$220=$B$310),$J$5:$J$220,$O$5:$O$220)/SUMIFS($J$5:$J$220,$F$5:$F$220,F314,$AE$5:$AE$220,$B$310),"")</f>
        <v>7.0261508370628212</v>
      </c>
      <c r="P314" s="255" cm="1">
        <f t="array" ref="P314">IFERROR(SUMPRODUCT(--($F$5:$F$220=F314),--($AE$5:$AE$220=$B$310),$J$5:$J$220,$P$5:$P$220)/SUMIFS($J$5:$J$220,$F$5:$F$220,F314,$AE$5:$AE$220,$B$310,$P$5:$P$220,"&gt;0"),"")</f>
        <v>7.4469104008476075</v>
      </c>
      <c r="Q314" s="254" cm="1">
        <f t="array" ref="Q314">IFERROR(SUMPRODUCT(--($F$5:$F$220=F314),--($AE$5:$AE$220=$B$310),$J$5:$J$220,$Q$5:$Q$220)/SUMIFS($J$5:$J$220,$AE$5:$AE$220,$B$310,$F$5:$F$220,F314),"")</f>
        <v>7.5761243162605663</v>
      </c>
      <c r="R314" s="254" cm="1">
        <f t="array" ref="R314">IFERROR(SUMPRODUCT(--($F$5:$F$220=F314),--($I$5:$I$220&gt;12),--($AE$5:$AE$220=$B$310),$R$5:$R$220,$J$5:$J$220)/SUMIFS($J$5:$J$220,$I$5:$I$220,"&gt;12",$F$5:$F$220,F314,$AE$5:$AE$220,$B$310),"")</f>
        <v>3.4212663683076414</v>
      </c>
      <c r="S314" s="254" cm="1">
        <f t="array" ref="S314">IFERROR(SUMPRODUCT(--($F$5:$F$220=F314),--($I$5:$I$220&gt;12),--($AE$5:$AE$220=$B$310),$S$5:$S$220,$J$5:$J$220)/SUMIFS($J$5:$J$220,$I$5:$I$220,"&gt;12",$F$5:$F$220,F314,$AE$5:$AE$220,$B$310),"")</f>
        <v>3.0459970164097463</v>
      </c>
      <c r="T314" s="254" cm="1">
        <f t="array" ref="T314">IFERROR(SUMPRODUCT(--($F$5:$F$220=F314),--($AE$5:$AE$220=$B$310),$T$5:$T$220,$J$5:$J$220)/SUMIFS($J$5:$J$220,$F$5:$F$220,F314,$AE$5:$AE$220,$B$310),"")</f>
        <v>13.564189825855829</v>
      </c>
      <c r="U314" s="254" cm="1">
        <f t="array" ref="U314">IFERROR(SUMPRODUCT(--($F$5:$F$220=F314),--($AE$5:$AE$220=$B$310),$U$5:$U$220,$J$5:$J$220)/SUMIFS($J$5:$J$220,$F$5:$F$220,F314,$AE$5:$AE$220,$B$310),"")</f>
        <v>12.690630863583623</v>
      </c>
      <c r="V314" s="254" cm="1">
        <f t="array" ref="V314">IFERROR(SUMPRODUCT(--($F$5:$F$220=F314),--($AE$5:$AE$220=$B$310),--($AR$5:$AR$220=$B$330),$V$5:$V$220,$J$5:$J$220)/SUMIFS($J$5:$J$220,$F$5:$F$220,F314,$AE$5:$AE$220,$B$310,$AR$5:$AR$220,$B$330),"")</f>
        <v>3.663018484663823</v>
      </c>
      <c r="W314" s="254" cm="1">
        <f t="array" ref="W314">IFERROR(SUMPRODUCT(--($F$5:$F$220=F314),--($AE$5:$AE$220=$B$310),--($AR$5:$AR$220=$B$330),$W$5:$W$220,$J$5:$J$220)/SUMIFS($J$5:$J$220,$F$5:$F$220,F314,$AE$5:$AE$220,$B$310,$AR$5:$AR$220,$B$330),"")</f>
        <v>7.2202803168799514</v>
      </c>
      <c r="X314" s="256" cm="1">
        <f t="array" ref="X314">IFERROR((IFERROR(SUMPRODUCT(--($F$5:$F$220=F314),--($N$5:$N$220&gt;0),--($AE$5:$AE$220=$B$310),$J$5:$J$220,$Q$5:$Q$220)/SUMIFS($J$5:$J$220,$F$5:$F$220,F314,$N$5:$N$220,"&gt;0",$AE$5:$AE$220,$B$310),""))/N314-1,"NA")</f>
        <v>0.27700145571483525</v>
      </c>
      <c r="Y314" s="256"/>
      <c r="Z314" s="289">
        <f t="shared" si="206"/>
        <v>7.8275216680041115E-2</v>
      </c>
      <c r="AG314" s="290"/>
      <c r="AH314" s="290"/>
    </row>
    <row r="315" spans="1:62">
      <c r="B315" s="291"/>
      <c r="F315" s="184" t="s">
        <v>185</v>
      </c>
      <c r="H315" s="184">
        <f t="shared" si="204"/>
        <v>0</v>
      </c>
      <c r="I315" s="254" t="str" cm="1">
        <f t="array" ref="I315">IFERROR(SUMPRODUCT(--($F$5:$F$220=F315),--($AE$5:$AE$220=$B$310),$J$5:$J$220,$I$5:$I$220)/SUMIFS($J$5:$J$220,$F$5:$F$220,F315,$AE$5:$AE$220,$B$310)/12,"")</f>
        <v/>
      </c>
      <c r="J315" s="253">
        <f t="shared" si="205"/>
        <v>0</v>
      </c>
      <c r="K315" s="253"/>
      <c r="L315" s="253"/>
      <c r="M315" s="253"/>
      <c r="N315" s="254" t="str" cm="1">
        <f t="array" ref="N315">IFERROR(SUMPRODUCT(--($F$5:$F$220=F315),--($AE$5:$AE$220=$B$310),$J$5:$J$220,$N$5:$N$220)/SUMIFS($J$5:$J$220,$F$5:$F$220,F315,$AE$5:$AE$220,$B$310,$N$5:$N$220,"&gt;0"),"")</f>
        <v/>
      </c>
      <c r="O315" s="254" t="str" cm="1">
        <f t="array" ref="O315">IFERROR(SUMPRODUCT(--($F$5:$F$220=F315),--($AE$5:$AE$220=$B$310),$J$5:$J$220,$O$5:$O$220)/SUMIFS($J$5:$J$220,$F$5:$F$220,F315,$AE$5:$AE$220,$B$310),"")</f>
        <v/>
      </c>
      <c r="P315" s="255" t="str" cm="1">
        <f t="array" ref="P315">IFERROR(SUMPRODUCT(--($F$5:$F$220=F315),--($AE$5:$AE$220=$B$310),$J$5:$J$220,$P$5:$P$220)/SUMIFS($J$5:$J$220,$F$5:$F$220,F315,$AE$5:$AE$220,$B$310,$P$5:$P$220,"&gt;0"),"")</f>
        <v/>
      </c>
      <c r="Q315" s="254" t="str" cm="1">
        <f t="array" ref="Q315">IFERROR(SUMPRODUCT(--($F$5:$F$220=F315),--($AE$5:$AE$220=$B$310),$J$5:$J$220,$Q$5:$Q$220)/SUMIFS($J$5:$J$220,$AE$5:$AE$220,$B$310,$F$5:$F$220,F315),"")</f>
        <v/>
      </c>
      <c r="R315" s="254" t="str" cm="1">
        <f t="array" ref="R315">IFERROR(SUMPRODUCT(--($F$5:$F$220=F315),--($I$5:$I$220&gt;12),--($AE$5:$AE$220=$B$310),$R$5:$R$220,$J$5:$J$220)/SUMIFS($J$5:$J$220,$I$5:$I$220,"&gt;12",$F$5:$F$220,F315,$AE$5:$AE$220,$B$310),"")</f>
        <v/>
      </c>
      <c r="S315" s="254" t="str" cm="1">
        <f t="array" ref="S315">IFERROR(SUMPRODUCT(--($F$5:$F$220=F315),--($I$5:$I$220&gt;12),--($AE$5:$AE$220=$B$310),$S$5:$S$220,$J$5:$J$220)/SUMIFS($J$5:$J$220,$I$5:$I$220,"&gt;12",$F$5:$F$220,F315,$AE$5:$AE$220,$B$310),"")</f>
        <v/>
      </c>
      <c r="T315" s="254" t="str" cm="1">
        <f t="array" ref="T315">IFERROR(SUMPRODUCT(--($F$5:$F$220=F315),--($AE$5:$AE$220=$B$310),$T$5:$T$220,$J$5:$J$220)/SUMIFS($J$5:$J$220,$F$5:$F$220,F315,$AE$5:$AE$220,$B$310),"")</f>
        <v/>
      </c>
      <c r="U315" s="254" t="str" cm="1">
        <f t="array" ref="U315">IFERROR(SUMPRODUCT(--($F$5:$F$220=F315),--($AE$5:$AE$220=$B$310),$U$5:$U$220,$J$5:$J$220)/SUMIFS($J$5:$J$220,$F$5:$F$220,F315,$AE$5:$AE$220,$B$310),"")</f>
        <v/>
      </c>
      <c r="V315" s="254" t="str" cm="1">
        <f t="array" ref="V315">IFERROR(SUMPRODUCT(--($F$5:$F$220=F315),--($AE$5:$AE$220=$B$310),--($AR$5:$AR$220=$B$330),$V$5:$V$220,$J$5:$J$220)/SUMIFS($J$5:$J$220,$F$5:$F$220,F315,$AE$5:$AE$220,$B$310,$AR$5:$AR$220,$B$330),"")</f>
        <v/>
      </c>
      <c r="W315" s="254" t="str" cm="1">
        <f t="array" ref="W315">IFERROR(SUMPRODUCT(--($F$5:$F$220=F315),--($AE$5:$AE$220=$B$310),--($AR$5:$AR$220=$B$330),$W$5:$W$220,$J$5:$J$220)/SUMIFS($J$5:$J$220,$F$5:$F$220,F315,$AE$5:$AE$220,$B$310,$AR$5:$AR$220,$B$330),"")</f>
        <v/>
      </c>
      <c r="X315" s="256" t="str" cm="1">
        <f t="array" ref="X315">IFERROR((IFERROR(SUMPRODUCT(--($F$5:$F$220=F315),--($N$5:$N$220&gt;0),--($AE$5:$AE$220=$B$310),$J$5:$J$220,$Q$5:$Q$220)/SUMIFS($J$5:$J$220,$F$5:$F$220,F315,$N$5:$N$220,"&gt;0",$AE$5:$AE$220,$B$310),""))/N315-1,"NA")</f>
        <v>NA</v>
      </c>
      <c r="Y315" s="256"/>
      <c r="Z315" s="289" t="str">
        <f t="shared" si="206"/>
        <v>NA</v>
      </c>
      <c r="AG315" s="290"/>
      <c r="AH315" s="290"/>
    </row>
    <row r="316" spans="1:62">
      <c r="B316" s="291"/>
      <c r="F316" s="184" t="s">
        <v>214</v>
      </c>
      <c r="H316" s="184">
        <f t="shared" si="204"/>
        <v>7</v>
      </c>
      <c r="I316" s="254" cm="1">
        <f t="array" ref="I316">IFERROR(SUMPRODUCT(--($F$5:$F$220=F316),--($AE$5:$AE$220=$B$310),$J$5:$J$220,$I$5:$I$220)/SUMIFS($J$5:$J$220,$F$5:$F$220,F316,$AE$5:$AE$220,$B$310)/12,"")</f>
        <v>3.5313786008230452</v>
      </c>
      <c r="J316" s="253">
        <f t="shared" si="205"/>
        <v>162000</v>
      </c>
      <c r="K316" s="253"/>
      <c r="L316" s="253"/>
      <c r="M316" s="253"/>
      <c r="N316" s="254" cm="1">
        <f t="array" ref="N316">IFERROR(SUMPRODUCT(--($F$5:$F$220=F316),--($AE$5:$AE$220=$B$310),$J$5:$J$220,$N$5:$N$220)/SUMIFS($J$5:$J$220,$F$5:$F$220,F316,$AE$5:$AE$220,$B$310,$N$5:$N$220,"&gt;0"),"")</f>
        <v>4.5252222222222223</v>
      </c>
      <c r="O316" s="254" cm="1">
        <f t="array" ref="O316">IFERROR(SUMPRODUCT(--($F$5:$F$220=F316),--($AE$5:$AE$220=$B$310),$J$5:$J$220,$O$5:$O$220)/SUMIFS($J$5:$J$220,$F$5:$F$220,F316,$AE$5:$AE$220,$B$310),"")</f>
        <v>5.4114814814814816</v>
      </c>
      <c r="P316" s="255" cm="1">
        <f t="array" ref="P316">IFERROR(SUMPRODUCT(--($F$5:$F$220=F316),--($AE$5:$AE$220=$B$310),$J$5:$J$220,$P$5:$P$220)/SUMIFS($J$5:$J$220,$F$5:$F$220,F316,$AE$5:$AE$220,$B$310,$P$5:$P$220,"&gt;0"),"")</f>
        <v>6.8145679012345681</v>
      </c>
      <c r="Q316" s="254" cm="1">
        <f t="array" ref="Q316">IFERROR(SUMPRODUCT(--($F$5:$F$220=F316),--($AE$5:$AE$220=$B$310),$J$5:$J$220,$Q$5:$Q$220)/SUMIFS($J$5:$J$220,$AE$5:$AE$220,$B$310,$F$5:$F$220,F316),"")</f>
        <v>7.4380493827160494</v>
      </c>
      <c r="R316" s="254" cm="1">
        <f t="array" ref="R316">IFERROR(SUMPRODUCT(--($F$5:$F$220=F316),--($I$5:$I$220&gt;12),--($AE$5:$AE$220=$B$310),$R$5:$R$220,$J$5:$J$220)/SUMIFS($J$5:$J$220,$I$5:$I$220,"&gt;12",$F$5:$F$220,F316,$AE$5:$AE$220,$B$310),"")</f>
        <v>1.8487654320987654</v>
      </c>
      <c r="S316" s="254" cm="1">
        <f t="array" ref="S316">IFERROR(SUMPRODUCT(--($F$5:$F$220=F316),--($I$5:$I$220&gt;12),--($AE$5:$AE$220=$B$310),$S$5:$S$220,$J$5:$J$220)/SUMIFS($J$5:$J$220,$I$5:$I$220,"&gt;12",$F$5:$F$220,F316,$AE$5:$AE$220,$B$310),"")</f>
        <v>3</v>
      </c>
      <c r="T316" s="254" cm="1">
        <f t="array" ref="T316">IFERROR(SUMPRODUCT(--($F$5:$F$220=F316),--($AE$5:$AE$220=$B$310),$T$5:$T$220,$J$5:$J$220)/SUMIFS($J$5:$J$220,$F$5:$F$220,F316,$AE$5:$AE$220,$B$310),"")</f>
        <v>4.7069745913592715</v>
      </c>
      <c r="U316" s="254" cm="1">
        <f t="array" ref="U316">IFERROR(SUMPRODUCT(--($F$5:$F$220=F316),--($AE$5:$AE$220=$B$310),$U$5:$U$220,$J$5:$J$220)/SUMIFS($J$5:$J$220,$F$5:$F$220,F316,$AE$5:$AE$220,$B$310),"")</f>
        <v>8.9840123456790124</v>
      </c>
      <c r="V316" s="254" cm="1">
        <f t="array" ref="V316">IFERROR(SUMPRODUCT(--($F$5:$F$220=F316),--($AE$5:$AE$220=$B$310),--($AR$5:$AR$220=$B$330),$V$5:$V$220,$J$5:$J$220)/SUMIFS($J$5:$J$220,$F$5:$F$220,F316,$AE$5:$AE$220,$B$310,$AR$5:$AR$220,$B$330),"")</f>
        <v>4.8787878787878789</v>
      </c>
      <c r="W316" s="254" cm="1">
        <f t="array" ref="W316">IFERROR(SUMPRODUCT(--($F$5:$F$220=F316),--($AE$5:$AE$220=$B$310),--($AR$5:$AR$220=$B$330),$W$5:$W$220,$J$5:$J$220)/SUMIFS($J$5:$J$220,$F$5:$F$220,F316,$AE$5:$AE$220,$B$310,$AR$5:$AR$220,$B$330),"")</f>
        <v>9</v>
      </c>
      <c r="X316" s="256" cm="1">
        <f t="array" ref="X316">IFERROR((IFERROR(SUMPRODUCT(--($F$5:$F$220=F316),--($N$5:$N$220&gt;0),--($AE$5:$AE$220=$B$310),$J$5:$J$220,$Q$5:$Q$220)/SUMIFS($J$5:$J$220,$F$5:$F$220,F316,$N$5:$N$220,"&gt;0",$AE$5:$AE$220,$B$310),""))/N316-1,"NA")</f>
        <v>0.64368709810308755</v>
      </c>
      <c r="Y316" s="256"/>
      <c r="Z316" s="289">
        <f t="shared" si="206"/>
        <v>0.37449410261674987</v>
      </c>
      <c r="AG316" s="290"/>
      <c r="AH316" s="290"/>
    </row>
    <row r="317" spans="1:62">
      <c r="B317" s="291"/>
      <c r="F317" s="184" t="s">
        <v>244</v>
      </c>
      <c r="H317" s="184">
        <f t="shared" si="204"/>
        <v>6</v>
      </c>
      <c r="I317" s="254" cm="1">
        <f t="array" ref="I317">IFERROR(SUMPRODUCT(--($F$5:$F$220=F317),--($AE$5:$AE$220=$B$310),$J$5:$J$220,$I$5:$I$220)/SUMIFS($J$5:$J$220,$F$5:$F$220,F317,$AE$5:$AE$220,$B$310)/12,"")</f>
        <v>4.2058786610878665</v>
      </c>
      <c r="J317" s="253">
        <f t="shared" si="205"/>
        <v>262900</v>
      </c>
      <c r="K317" s="253"/>
      <c r="L317" s="253"/>
      <c r="M317" s="253"/>
      <c r="N317" s="254" cm="1">
        <f t="array" ref="N317">IFERROR(SUMPRODUCT(--($F$5:$F$220=F317),--($AE$5:$AE$220=$B$310),$J$5:$J$220,$N$5:$N$220)/SUMIFS($J$5:$J$220,$F$5:$F$220,F317,$AE$5:$AE$220,$B$310,$N$5:$N$220,"&gt;0"),"")</f>
        <v>4.2126445416508176</v>
      </c>
      <c r="O317" s="254" cm="1">
        <f t="array" ref="O317">IFERROR(SUMPRODUCT(--($F$5:$F$220=F317),--($AE$5:$AE$220=$B$310),$J$5:$J$220,$O$5:$O$220)/SUMIFS($J$5:$J$220,$F$5:$F$220,F317,$AE$5:$AE$220,$B$310),"")</f>
        <v>5.0539326359832639</v>
      </c>
      <c r="P317" s="255" cm="1">
        <f t="array" ref="P317">IFERROR(SUMPRODUCT(--($F$5:$F$220=F317),--($AE$5:$AE$220=$B$310),$J$5:$J$220,$P$5:$P$220)/SUMIFS($J$5:$J$220,$F$5:$F$220,F317,$AE$5:$AE$220,$B$310,$P$5:$P$220,"&gt;0"),"")</f>
        <v>5.4396196272346904</v>
      </c>
      <c r="Q317" s="254" cm="1">
        <f t="array" ref="Q317">IFERROR(SUMPRODUCT(--($F$5:$F$220=F317),--($AE$5:$AE$220=$B$310),$J$5:$J$220,$Q$5:$Q$220)/SUMIFS($J$5:$J$220,$AE$5:$AE$220,$B$310,$F$5:$F$220,F317),"")</f>
        <v>5.6326635602890835</v>
      </c>
      <c r="R317" s="254" cm="1">
        <f t="array" ref="R317">IFERROR(SUMPRODUCT(--($F$5:$F$220=F317),--($I$5:$I$220&gt;12),--($AE$5:$AE$220=$B$310),$R$5:$R$220,$J$5:$J$220)/SUMIFS($J$5:$J$220,$I$5:$I$220,"&gt;12",$F$5:$F$220,F317,$AE$5:$AE$220,$B$310),"")</f>
        <v>2.8534697603651575</v>
      </c>
      <c r="S317" s="254" cm="1">
        <f t="array" ref="S317">IFERROR(SUMPRODUCT(--($F$5:$F$220=F317),--($I$5:$I$220&gt;12),--($AE$5:$AE$220=$B$310),$S$5:$S$220,$J$5:$J$220)/SUMIFS($J$5:$J$220,$I$5:$I$220,"&gt;12",$F$5:$F$220,F317,$AE$5:$AE$220,$B$310),"")</f>
        <v>2.7167447698744769</v>
      </c>
      <c r="T317" s="254" cm="1">
        <f t="array" ref="T317">IFERROR(SUMPRODUCT(--($F$5:$F$220=F317),--($AE$5:$AE$220=$B$310),$T$5:$T$220,$J$5:$J$220)/SUMIFS($J$5:$J$220,$F$5:$F$220,F317,$AE$5:$AE$220,$B$310),"")</f>
        <v>3.7763920328250569</v>
      </c>
      <c r="U317" s="254" cm="1">
        <f t="array" ref="U317">IFERROR(SUMPRODUCT(--($F$5:$F$220=F317),--($AE$5:$AE$220=$B$310),$U$5:$U$220,$J$5:$J$220)/SUMIFS($J$5:$J$220,$F$5:$F$220,F317,$AE$5:$AE$220,$B$310),"")</f>
        <v>2.6622155306200082</v>
      </c>
      <c r="V317" s="254" cm="1">
        <f t="array" ref="V317">IFERROR(SUMPRODUCT(--($F$5:$F$220=F317),--($AE$5:$AE$220=$B$310),--($AR$5:$AR$220=$B$330),$V$5:$V$220,$J$5:$J$220)/SUMIFS($J$5:$J$220,$F$5:$F$220,F317,$AE$5:$AE$220,$B$310,$AR$5:$AR$220,$B$330),"")</f>
        <v>3.9172075771625381</v>
      </c>
      <c r="W317" s="254" cm="1">
        <f t="array" ref="W317">IFERROR(SUMPRODUCT(--($F$5:$F$220=F317),--($AE$5:$AE$220=$B$310),--($AR$5:$AR$220=$B$330),$W$5:$W$220,$J$5:$J$220)/SUMIFS($J$5:$J$220,$F$5:$F$220,F317,$AE$5:$AE$220,$B$310,$AR$5:$AR$220,$B$330),"")</f>
        <v>6</v>
      </c>
      <c r="X317" s="256" cm="1">
        <f t="array" ref="X317">IFERROR((IFERROR(SUMPRODUCT(--($F$5:$F$220=F317),--($N$5:$N$220&gt;0),--($AE$5:$AE$220=$B$310),$J$5:$J$220,$Q$5:$Q$220)/SUMIFS($J$5:$J$220,$F$5:$F$220,F317,$N$5:$N$220,"&gt;0",$AE$5:$AE$220,$B$310),""))/N317-1,"NA")</f>
        <v>0.337084936694374</v>
      </c>
      <c r="Y317" s="256"/>
      <c r="Z317" s="289">
        <f t="shared" si="206"/>
        <v>0.11451100875095555</v>
      </c>
      <c r="AG317" s="290"/>
      <c r="AH317" s="290"/>
    </row>
    <row r="318" spans="1:62">
      <c r="B318" s="291"/>
      <c r="F318" s="184" t="s">
        <v>181</v>
      </c>
      <c r="H318" s="184">
        <f t="shared" si="204"/>
        <v>3</v>
      </c>
      <c r="I318" s="254" cm="1">
        <f t="array" ref="I318">IFERROR(SUMPRODUCT(--($F$5:$F$220=F318),--($AE$5:$AE$220=$B$310),$J$5:$J$220,$I$5:$I$220)/SUMIFS($J$5:$J$220,$F$5:$F$220,F318,$AE$5:$AE$220,$B$310)/12,"")</f>
        <v>7.7230054756207913</v>
      </c>
      <c r="J318" s="253">
        <f t="shared" si="205"/>
        <v>93201</v>
      </c>
      <c r="K318" s="253"/>
      <c r="L318" s="253"/>
      <c r="M318" s="253"/>
      <c r="N318" s="254" cm="1">
        <f t="array" ref="N318">IFERROR(SUMPRODUCT(--($F$5:$F$220=F318),--($AE$5:$AE$220=$B$310),$J$5:$J$220,$N$5:$N$220)/SUMIFS($J$5:$J$220,$F$5:$F$220,F318,$AE$5:$AE$220,$B$310,$N$5:$N$220,"&gt;0"),"")</f>
        <v>6.8365811072649292</v>
      </c>
      <c r="O318" s="254" cm="1">
        <f t="array" ref="O318">IFERROR(SUMPRODUCT(--($F$5:$F$220=F318),--($AE$5:$AE$220=$B$310),$J$5:$J$220,$O$5:$O$220)/SUMIFS($J$5:$J$220,$F$5:$F$220,F318,$AE$5:$AE$220,$B$310),"")</f>
        <v>8.9119354942543545</v>
      </c>
      <c r="P318" s="255" cm="1">
        <f t="array" ref="P318">IFERROR(SUMPRODUCT(--($F$5:$F$220=F318),--($AE$5:$AE$220=$B$310),$J$5:$J$220,$P$5:$P$220)/SUMIFS($J$5:$J$220,$F$5:$F$220,F318,$AE$5:$AE$220,$B$310,$P$5:$P$220,"&gt;0"),"")</f>
        <v>9.8361176382227651</v>
      </c>
      <c r="Q318" s="254" cm="1">
        <f t="array" ref="Q318">IFERROR(SUMPRODUCT(--($F$5:$F$220=F318),--($AE$5:$AE$220=$B$310),$J$5:$J$220,$Q$5:$Q$220)/SUMIFS($J$5:$J$220,$AE$5:$AE$220,$B$310,$F$5:$F$220,F318),"")</f>
        <v>11.342088604199526</v>
      </c>
      <c r="R318" s="254" cm="1">
        <f t="array" ref="R318">IFERROR(SUMPRODUCT(--($F$5:$F$220=F318),--($I$5:$I$220&gt;12),--($AE$5:$AE$220=$B$310),$R$5:$R$220,$J$5:$J$220)/SUMIFS($J$5:$J$220,$I$5:$I$220,"&gt;12",$F$5:$F$220,F318,$AE$5:$AE$220,$B$310),"")</f>
        <v>4.1677610755249406</v>
      </c>
      <c r="S318" s="254" cm="1">
        <f t="array" ref="S318">IFERROR(SUMPRODUCT(--($F$5:$F$220=F318),--($I$5:$I$220&gt;12),--($AE$5:$AE$220=$B$310),$S$5:$S$220,$J$5:$J$220)/SUMIFS($J$5:$J$220,$I$5:$I$220,"&gt;12",$F$5:$F$220,F318,$AE$5:$AE$220,$B$310),"")</f>
        <v>4</v>
      </c>
      <c r="T318" s="254" cm="1">
        <f t="array" ref="T318">IFERROR(SUMPRODUCT(--($F$5:$F$220=F318),--($AE$5:$AE$220=$B$310),$T$5:$T$220,$J$5:$J$220)/SUMIFS($J$5:$J$220,$F$5:$F$220,F318,$AE$5:$AE$220,$B$310),"")</f>
        <v>5.5855085646558944</v>
      </c>
      <c r="U318" s="254" cm="1">
        <f t="array" ref="U318">IFERROR(SUMPRODUCT(--($F$5:$F$220=F318),--($AE$5:$AE$220=$B$310),$U$5:$U$220,$J$5:$J$220)/SUMIFS($J$5:$J$220,$F$5:$F$220,F318,$AE$5:$AE$220,$B$310),"")</f>
        <v>13.287642836450251</v>
      </c>
      <c r="V318" s="254" cm="1">
        <f t="array" ref="V318">IFERROR(SUMPRODUCT(--($F$5:$F$220=F318),--($AE$5:$AE$220=$B$310),--($AR$5:$AR$220=$B$330),$V$5:$V$220,$J$5:$J$220)/SUMIFS($J$5:$J$220,$F$5:$F$220,F318,$AE$5:$AE$220,$B$310,$AR$5:$AR$220,$B$330),"")</f>
        <v>11.825540612147057</v>
      </c>
      <c r="W318" s="254" cm="1">
        <f t="array" ref="W318">IFERROR(SUMPRODUCT(--($F$5:$F$220=F318),--($AE$5:$AE$220=$B$310),--($AR$5:$AR$220=$B$330),$W$5:$W$220,$J$5:$J$220)/SUMIFS($J$5:$J$220,$F$5:$F$220,F318,$AE$5:$AE$220,$B$310,$AR$5:$AR$220,$B$330),"")</f>
        <v>6</v>
      </c>
      <c r="X318" s="256" cm="1">
        <f t="array" ref="X318">IFERROR((IFERROR(SUMPRODUCT(--($F$5:$F$220=F318),--($N$5:$N$220&gt;0),--($AE$5:$AE$220=$B$310),$J$5:$J$220,$Q$5:$Q$220)/SUMIFS($J$5:$J$220,$F$5:$F$220,F318,$N$5:$N$220,"&gt;0",$AE$5:$AE$220,$B$310),""))/N318-1,"NA")</f>
        <v>0.25895200339030677</v>
      </c>
      <c r="Y318" s="256"/>
      <c r="Z318" s="289">
        <f t="shared" si="206"/>
        <v>0.27268522213967161</v>
      </c>
      <c r="AG318" s="290"/>
      <c r="AH318" s="290"/>
    </row>
    <row r="319" spans="1:62">
      <c r="B319" s="291"/>
      <c r="F319" s="184" t="s">
        <v>600</v>
      </c>
      <c r="H319" s="184">
        <f t="shared" si="204"/>
        <v>0</v>
      </c>
      <c r="I319" s="254" t="str" cm="1">
        <f t="array" ref="I319">IFERROR(SUMPRODUCT(--($F$5:$F$220=F319),--($AE$5:$AE$220=$B$310),$J$5:$J$220,$I$5:$I$220)/SUMIFS($J$5:$J$220,$F$5:$F$220,F319,$AE$5:$AE$220,$B$310)/12,"")</f>
        <v/>
      </c>
      <c r="J319" s="253">
        <f t="shared" si="205"/>
        <v>0</v>
      </c>
      <c r="K319" s="253"/>
      <c r="L319" s="253"/>
      <c r="M319" s="253"/>
      <c r="N319" s="254" t="str" cm="1">
        <f t="array" ref="N319">IFERROR(SUMPRODUCT(--($F$5:$F$220=F319),--($AE$5:$AE$220=$B$310),$J$5:$J$220,$N$5:$N$220)/SUMIFS($J$5:$J$220,$F$5:$F$220,F319,$AE$5:$AE$220,$B$310,$N$5:$N$220,"&gt;0"),"")</f>
        <v/>
      </c>
      <c r="O319" s="254" t="str" cm="1">
        <f t="array" ref="O319">IFERROR(SUMPRODUCT(--($F$5:$F$220=F319),--($AE$5:$AE$220=$B$310),$J$5:$J$220,$O$5:$O$220)/SUMIFS($J$5:$J$220,$F$5:$F$220,F319,$AE$5:$AE$220,$B$310),"")</f>
        <v/>
      </c>
      <c r="P319" s="255" t="str" cm="1">
        <f t="array" ref="P319">IFERROR(SUMPRODUCT(--($F$5:$F$220=F319),--($AE$5:$AE$220=$B$310),$J$5:$J$220,$P$5:$P$220)/SUMIFS($J$5:$J$220,$F$5:$F$220,F319,$AE$5:$AE$220,$B$310,$P$5:$P$220,"&gt;0"),"")</f>
        <v/>
      </c>
      <c r="Q319" s="254" t="str" cm="1">
        <f t="array" ref="Q319">IFERROR(SUMPRODUCT(--($F$5:$F$220=F319),--($AE$5:$AE$220=$B$310),$J$5:$J$220,$Q$5:$Q$220)/SUMIFS($J$5:$J$220,$AE$5:$AE$220,$B$310,$F$5:$F$220,F319),"")</f>
        <v/>
      </c>
      <c r="R319" s="254" t="str" cm="1">
        <f t="array" ref="R319">IFERROR(SUMPRODUCT(--($F$5:$F$220=F319),--($I$5:$I$220&gt;12),--($AE$5:$AE$220=$B$310),$R$5:$R$220,$J$5:$J$220)/SUMIFS($J$5:$J$220,$I$5:$I$220,"&gt;12",$F$5:$F$220,F319,$AE$5:$AE$220,$B$310),"")</f>
        <v/>
      </c>
      <c r="S319" s="254" t="str" cm="1">
        <f t="array" ref="S319">IFERROR(SUMPRODUCT(--($F$5:$F$220=F319),--($I$5:$I$220&gt;12),--($AE$5:$AE$220=$B$310),$S$5:$S$220,$J$5:$J$220)/SUMIFS($J$5:$J$220,$I$5:$I$220,"&gt;12",$F$5:$F$220,F319,$AE$5:$AE$220,$B$310),"")</f>
        <v/>
      </c>
      <c r="T319" s="254" t="str" cm="1">
        <f t="array" ref="T319">IFERROR(SUMPRODUCT(--($F$5:$F$220=F319),--($AE$5:$AE$220=$B$310),$T$5:$T$220,$J$5:$J$220)/SUMIFS($J$5:$J$220,$F$5:$F$220,F319,$AE$5:$AE$220,$B$310),"")</f>
        <v/>
      </c>
      <c r="U319" s="254" t="str" cm="1">
        <f t="array" ref="U319">IFERROR(SUMPRODUCT(--($F$5:$F$220=F319),--($AE$5:$AE$220=$B$310),$U$5:$U$220,$J$5:$J$220)/SUMIFS($J$5:$J$220,$F$5:$F$220,F319,$AE$5:$AE$220,$B$310),"")</f>
        <v/>
      </c>
      <c r="V319" s="254" t="str" cm="1">
        <f t="array" ref="V319">IFERROR(SUMPRODUCT(--($F$5:$F$220=F319),--($AE$5:$AE$220=$B$310),--($AR$5:$AR$220=$B$330),$V$5:$V$220,$J$5:$J$220)/SUMIFS($J$5:$J$220,$F$5:$F$220,F319,$AE$5:$AE$220,$B$310,$AR$5:$AR$220,$B$330),"")</f>
        <v/>
      </c>
      <c r="W319" s="254" t="str" cm="1">
        <f t="array" ref="W319">IFERROR(SUMPRODUCT(--($F$5:$F$220=F319),--($AE$5:$AE$220=$B$310),--($AR$5:$AR$220=$B$330),$W$5:$W$220,$J$5:$J$220)/SUMIFS($J$5:$J$220,$F$5:$F$220,F319,$AE$5:$AE$220,$B$310,$AR$5:$AR$220,$B$330),"")</f>
        <v/>
      </c>
      <c r="X319" s="256" t="str" cm="1">
        <f t="array" ref="X319">IFERROR((IFERROR(SUMPRODUCT(--($F$5:$F$220=F319),--($N$5:$N$220&gt;0),--($AE$5:$AE$220=$B$310),$J$5:$J$220,$Q$5:$Q$220)/SUMIFS($J$5:$J$220,$F$5:$F$220,F319,$N$5:$N$220,"&gt;0",$AE$5:$AE$220,$B$310),""))/N319-1,"NA")</f>
        <v>NA</v>
      </c>
      <c r="Y319" s="256"/>
      <c r="Z319" s="289" t="str">
        <f t="shared" si="206"/>
        <v>NA</v>
      </c>
      <c r="AG319" s="290"/>
      <c r="AH319" s="290"/>
      <c r="BI319" s="186" t="s">
        <v>757</v>
      </c>
    </row>
    <row r="320" spans="1:62">
      <c r="B320" s="291"/>
      <c r="F320" s="184" t="s">
        <v>221</v>
      </c>
      <c r="H320" s="184">
        <f t="shared" si="204"/>
        <v>0</v>
      </c>
      <c r="I320" s="254" t="str" cm="1">
        <f t="array" ref="I320">IFERROR(SUMPRODUCT(--($F$5:$F$220=F320),--($AE$5:$AE$220=$B$310),$J$5:$J$220,$I$5:$I$220)/SUMIFS($J$5:$J$220,$F$5:$F$220,F320,$AE$5:$AE$220,$B$310)/12,"")</f>
        <v/>
      </c>
      <c r="J320" s="253">
        <f t="shared" si="205"/>
        <v>0</v>
      </c>
      <c r="K320" s="253"/>
      <c r="L320" s="253"/>
      <c r="M320" s="253"/>
      <c r="N320" s="254" t="str" cm="1">
        <f t="array" ref="N320">IFERROR(SUMPRODUCT(--($F$5:$F$220=F320),--($AE$5:$AE$220=$B$310),$J$5:$J$220,$N$5:$N$220)/SUMIFS($J$5:$J$220,$F$5:$F$220,F320,$AE$5:$AE$220,$B$310,$N$5:$N$220,"&gt;0"),"")</f>
        <v/>
      </c>
      <c r="O320" s="254" t="str" cm="1">
        <f t="array" ref="O320">IFERROR(SUMPRODUCT(--($F$5:$F$220=F320),--($AE$5:$AE$220=$B$310),$J$5:$J$220,$O$5:$O$220)/SUMIFS($J$5:$J$220,$F$5:$F$220,F320,$AE$5:$AE$220,$B$310),"")</f>
        <v/>
      </c>
      <c r="P320" s="255" t="str" cm="1">
        <f t="array" ref="P320">IFERROR(SUMPRODUCT(--($F$5:$F$220=F320),--($AE$5:$AE$220=$B$310),$J$5:$J$220,$P$5:$P$220)/SUMIFS($J$5:$J$220,$F$5:$F$220,F320,$AE$5:$AE$220,$B$310,$P$5:$P$220,"&gt;0"),"")</f>
        <v/>
      </c>
      <c r="Q320" s="254" t="str" cm="1">
        <f t="array" ref="Q320">IFERROR(SUMPRODUCT(--($F$5:$F$220=F320),--($AE$5:$AE$220=$B$310),$J$5:$J$220,$Q$5:$Q$220)/SUMIFS($J$5:$J$220,$AE$5:$AE$220,$B$310,$F$5:$F$220,F320),"")</f>
        <v/>
      </c>
      <c r="R320" s="254" t="str" cm="1">
        <f t="array" ref="R320">IFERROR(SUMPRODUCT(--($F$5:$F$220=F320),--($I$5:$I$220&gt;12),--($AE$5:$AE$220=$B$310),$R$5:$R$220,$J$5:$J$220)/SUMIFS($J$5:$J$220,$I$5:$I$220,"&gt;12",$F$5:$F$220,F320,$AE$5:$AE$220,$B$310),"")</f>
        <v/>
      </c>
      <c r="S320" s="254" t="str" cm="1">
        <f t="array" ref="S320">IFERROR(SUMPRODUCT(--($F$5:$F$220=F320),--($I$5:$I$220&gt;12),--($AE$5:$AE$220=$B$310),$S$5:$S$220,$J$5:$J$220)/SUMIFS($J$5:$J$220,$I$5:$I$220,"&gt;12",$F$5:$F$220,F320,$AE$5:$AE$220,$B$310),"")</f>
        <v/>
      </c>
      <c r="T320" s="254" t="str" cm="1">
        <f t="array" ref="T320">IFERROR(SUMPRODUCT(--($F$5:$F$220=F320),--($AE$5:$AE$220=$B$310),$T$5:$T$220,$J$5:$J$220)/SUMIFS($J$5:$J$220,$F$5:$F$220,F320,$AE$5:$AE$220,$B$310),"")</f>
        <v/>
      </c>
      <c r="U320" s="254" t="str" cm="1">
        <f t="array" ref="U320">IFERROR(SUMPRODUCT(--($F$5:$F$220=F320),--($AE$5:$AE$220=$B$310),$U$5:$U$220,$J$5:$J$220)/SUMIFS($J$5:$J$220,$F$5:$F$220,F320,$AE$5:$AE$220,$B$310),"")</f>
        <v/>
      </c>
      <c r="V320" s="254" t="str" cm="1">
        <f t="array" ref="V320">IFERROR(SUMPRODUCT(--($F$5:$F$220=F320),--($AE$5:$AE$220=$B$310),--($AR$5:$AR$220=$B$330),$V$5:$V$220,$J$5:$J$220)/SUMIFS($J$5:$J$220,$F$5:$F$220,F320,$AE$5:$AE$220,$B$310,$AR$5:$AR$220,$B$330),"")</f>
        <v/>
      </c>
      <c r="W320" s="254" t="str" cm="1">
        <f t="array" ref="W320">IFERROR(SUMPRODUCT(--($F$5:$F$220=F320),--($AE$5:$AE$220=$B$310),--($AR$5:$AR$220=$B$330),$W$5:$W$220,$J$5:$J$220)/SUMIFS($J$5:$J$220,$F$5:$F$220,F320,$AE$5:$AE$220,$B$310,$AR$5:$AR$220,$B$330),"")</f>
        <v/>
      </c>
      <c r="X320" s="256" t="str" cm="1">
        <f t="array" ref="X320">IFERROR((IFERROR(SUMPRODUCT(--($F$5:$F$220=F320),--($N$5:$N$220&gt;0),--($AE$5:$AE$220=$B$310),$J$5:$J$220,$Q$5:$Q$220)/SUMIFS($J$5:$J$220,$F$5:$F$220,F320,$N$5:$N$220,"&gt;0",$AE$5:$AE$220,$B$310),""))/N320-1,"NA")</f>
        <v>NA</v>
      </c>
      <c r="Y320" s="256"/>
      <c r="Z320" s="289" t="str">
        <f t="shared" si="206"/>
        <v>NA</v>
      </c>
      <c r="AG320" s="290"/>
      <c r="AH320" s="290"/>
      <c r="BI320" s="186">
        <v>2024</v>
      </c>
      <c r="BJ320" s="186">
        <v>2025</v>
      </c>
    </row>
    <row r="321" spans="1:63">
      <c r="B321" s="291"/>
      <c r="F321" s="184" t="s">
        <v>158</v>
      </c>
      <c r="H321" s="184">
        <f t="shared" si="204"/>
        <v>17</v>
      </c>
      <c r="I321" s="254" cm="1">
        <f t="array" ref="I321">IFERROR(SUMPRODUCT(--($F$5:$F$220=F321),--($AE$5:$AE$220=$B$310),$J$5:$J$220,$I$5:$I$220)/SUMIFS($J$5:$J$220,$F$5:$F$220,F321,$AE$5:$AE$220,$B$310)/12,"")</f>
        <v>3.8379748679696353</v>
      </c>
      <c r="J321" s="253">
        <f t="shared" si="205"/>
        <v>313438</v>
      </c>
      <c r="K321" s="253"/>
      <c r="L321" s="253"/>
      <c r="M321" s="253"/>
      <c r="N321" s="254" cm="1">
        <f t="array" ref="N321">IFERROR(SUMPRODUCT(--($F$5:$F$220=F321),--($AE$5:$AE$220=$B$310),$J$5:$J$220,$N$5:$N$220)/SUMIFS($J$5:$J$220,$F$5:$F$220,F321,$AE$5:$AE$220,$B$310,$N$5:$N$220,"&gt;0"),"")</f>
        <v>3.127907512548342</v>
      </c>
      <c r="O321" s="254" cm="1">
        <f t="array" ref="O321">IFERROR(SUMPRODUCT(--($F$5:$F$220=F321),--($AE$5:$AE$220=$B$310),$J$5:$J$220,$O$5:$O$220)/SUMIFS($J$5:$J$220,$F$5:$F$220,F321,$AE$5:$AE$220,$B$310),"")</f>
        <v>4.1830641147531571</v>
      </c>
      <c r="P321" s="255" cm="1">
        <f t="array" ref="P321">IFERROR(SUMPRODUCT(--($F$5:$F$220=F321),--($AE$5:$AE$220=$B$310),$J$5:$J$220,$P$5:$P$220)/SUMIFS($J$5:$J$220,$F$5:$F$220,F321,$AE$5:$AE$220,$B$310,$P$5:$P$220,"&gt;0"),"")</f>
        <v>4.308486806096254</v>
      </c>
      <c r="Q321" s="254" cm="1">
        <f t="array" ref="Q321">IFERROR(SUMPRODUCT(--($F$5:$F$220=F321),--($AE$5:$AE$220=$B$310),$J$5:$J$220,$Q$5:$Q$220)/SUMIFS($J$5:$J$220,$AE$5:$AE$220,$B$310,$F$5:$F$220,F321),"")</f>
        <v>4.5351801632220727</v>
      </c>
      <c r="R321" s="254" cm="1">
        <f t="array" ref="R321">IFERROR(SUMPRODUCT(--($F$5:$F$220=F321),--($I$5:$I$220&gt;12),--($AE$5:$AE$220=$B$310),$R$5:$R$220,$J$5:$J$220)/SUMIFS($J$5:$J$220,$I$5:$I$220,"&gt;12",$F$5:$F$220,F321,$AE$5:$AE$220,$B$310),"")</f>
        <v>3.5245455241546972</v>
      </c>
      <c r="S321" s="254" cm="1">
        <f t="array" ref="S321">IFERROR(SUMPRODUCT(--($F$5:$F$220=F321),--($I$5:$I$220&gt;12),--($AE$5:$AE$220=$B$310),$S$5:$S$220,$J$5:$J$220)/SUMIFS($J$5:$J$220,$I$5:$I$220,"&gt;12",$F$5:$F$220,F321,$AE$5:$AE$220,$B$310),"")</f>
        <v>3.2440674072703373</v>
      </c>
      <c r="T321" s="254" cm="1">
        <f t="array" ref="T321">IFERROR(SUMPRODUCT(--($F$5:$F$220=F321),--($AE$5:$AE$220=$B$310),$T$5:$T$220,$J$5:$J$220)/SUMIFS($J$5:$J$220,$F$5:$F$220,F321,$AE$5:$AE$220,$B$310),"")</f>
        <v>6.208380007916805</v>
      </c>
      <c r="U321" s="254" cm="1">
        <f t="array" ref="U321">IFERROR(SUMPRODUCT(--($F$5:$F$220=F321),--($AE$5:$AE$220=$B$310),$U$5:$U$220,$J$5:$J$220)/SUMIFS($J$5:$J$220,$F$5:$F$220,F321,$AE$5:$AE$220,$B$310),"")</f>
        <v>7.5191106375104484</v>
      </c>
      <c r="V321" s="254" cm="1">
        <f t="array" ref="V321">IFERROR(SUMPRODUCT(--($F$5:$F$220=F321),--($AE$5:$AE$220=$B$310),--($AR$5:$AR$220=$B$330),$V$5:$V$220,$J$5:$J$220)/SUMIFS($J$5:$J$220,$F$5:$F$220,F321,$AE$5:$AE$220,$B$310,$AR$5:$AR$220,$B$330),"")</f>
        <v>4.152250773941434</v>
      </c>
      <c r="W321" s="254" cm="1">
        <f t="array" ref="W321">IFERROR(SUMPRODUCT(--($F$5:$F$220=F321),--($AE$5:$AE$220=$B$310),--($AR$5:$AR$220=$B$330),$W$5:$W$220,$J$5:$J$220)/SUMIFS($J$5:$J$220,$F$5:$F$220,F321,$AE$5:$AE$220,$B$310,$AR$5:$AR$220,$B$330),"")</f>
        <v>6.9757244599326711</v>
      </c>
      <c r="X321" s="256" cm="1">
        <f t="array" ref="X321">IFERROR((IFERROR(SUMPRODUCT(--($F$5:$F$220=F321),--($N$5:$N$220&gt;0),--($AE$5:$AE$220=$B$310),$J$5:$J$220,$Q$5:$Q$220)/SUMIFS($J$5:$J$220,$F$5:$F$220,F321,$N$5:$N$220,"&gt;0",$AE$5:$AE$220,$B$310),""))/N321-1,"NA")</f>
        <v>0.43913761073051494</v>
      </c>
      <c r="Y321" s="256"/>
      <c r="Z321" s="289">
        <f t="shared" si="206"/>
        <v>8.417658415204432E-2</v>
      </c>
      <c r="AG321" s="290"/>
      <c r="AH321" s="290"/>
      <c r="BH321" s="186" t="s">
        <v>758</v>
      </c>
      <c r="BI321" s="321">
        <f>1.25/12*5*151799</f>
        <v>79061.979166666672</v>
      </c>
      <c r="BJ321" s="321">
        <f>1.25*151799</f>
        <v>189748.75</v>
      </c>
    </row>
    <row r="322" spans="1:63">
      <c r="B322" s="291"/>
      <c r="F322" s="184" t="s">
        <v>474</v>
      </c>
      <c r="H322" s="184">
        <f t="shared" si="204"/>
        <v>3</v>
      </c>
      <c r="I322" s="254" cm="1">
        <f t="array" ref="I322">IFERROR(SUMPRODUCT(--($F$5:$F$220=F322),--($AE$5:$AE$220=$B$310),$J$5:$J$220,$I$5:$I$220)/SUMIFS($J$5:$J$220,$F$5:$F$220,F322,$AE$5:$AE$220,$B$310)/12,"")</f>
        <v>9.1632556658896505</v>
      </c>
      <c r="J322" s="253">
        <f t="shared" si="205"/>
        <v>97381</v>
      </c>
      <c r="K322" s="253"/>
      <c r="L322" s="253"/>
      <c r="M322" s="253"/>
      <c r="N322" s="254" cm="1">
        <f t="array" ref="N322">IFERROR(SUMPRODUCT(--($F$5:$F$220=F322),--($AE$5:$AE$220=$B$310),$J$5:$J$220,$N$5:$N$220)/SUMIFS($J$5:$J$220,$F$5:$F$220,F322,$AE$5:$AE$220,$B$310,$N$5:$N$220,"&gt;0"),"")</f>
        <v>8.5</v>
      </c>
      <c r="O322" s="254" cm="1">
        <f t="array" ref="O322">IFERROR(SUMPRODUCT(--($F$5:$F$220=F322),--($AE$5:$AE$220=$B$310),$J$5:$J$220,$O$5:$O$220)/SUMIFS($J$5:$J$220,$F$5:$F$220,F322,$AE$5:$AE$220,$B$310),"")</f>
        <v>11.889715858329653</v>
      </c>
      <c r="P322" s="255" cm="1">
        <f t="array" ref="P322">IFERROR(SUMPRODUCT(--($F$5:$F$220=F322),--($AE$5:$AE$220=$B$310),$J$5:$J$220,$P$5:$P$220)/SUMIFS($J$5:$J$220,$F$5:$F$220,F322,$AE$5:$AE$220,$B$310,$P$5:$P$220,"&gt;0"),"")</f>
        <v>12.84</v>
      </c>
      <c r="Q322" s="254" cm="1">
        <f t="array" ref="Q322">IFERROR(SUMPRODUCT(--($F$5:$F$220=F322),--($AE$5:$AE$220=$B$310),$J$5:$J$220,$Q$5:$Q$220)/SUMIFS($J$5:$J$220,$AE$5:$AE$220,$B$310,$F$5:$F$220,F322),"")</f>
        <v>12.865647816309135</v>
      </c>
      <c r="R322" s="254" cm="1">
        <f t="array" ref="R322">IFERROR(SUMPRODUCT(--($F$5:$F$220=F322),--($I$5:$I$220&gt;12),--($AE$5:$AE$220=$B$310),$R$5:$R$220,$J$5:$J$220)/SUMIFS($J$5:$J$220,$I$5:$I$220,"&gt;12",$F$5:$F$220,F322,$AE$5:$AE$220,$B$310),"")</f>
        <v>3.835275875170721</v>
      </c>
      <c r="S322" s="254" cm="1">
        <f t="array" ref="S322">IFERROR(SUMPRODUCT(--($F$5:$F$220=F322),--($I$5:$I$220&gt;12),--($AE$5:$AE$220=$B$310),$S$5:$S$220,$J$5:$J$220)/SUMIFS($J$5:$J$220,$I$5:$I$220,"&gt;12",$F$5:$F$220,F322,$AE$5:$AE$220,$B$310),"")</f>
        <v>3.7399184645875478</v>
      </c>
      <c r="T322" s="254" cm="1">
        <f t="array" ref="T322">IFERROR(SUMPRODUCT(--($F$5:$F$220=F322),--($AE$5:$AE$220=$B$310),$T$5:$T$220,$J$5:$J$220)/SUMIFS($J$5:$J$220,$F$5:$F$220,F322,$AE$5:$AE$220,$B$310),"")</f>
        <v>7.3046099586643454</v>
      </c>
      <c r="U322" s="254" cm="1">
        <f t="array" ref="U322">IFERROR(SUMPRODUCT(--($F$5:$F$220=F322),--($AE$5:$AE$220=$B$310),$U$5:$U$220,$J$5:$J$220)/SUMIFS($J$5:$J$220,$F$5:$F$220,F322,$AE$5:$AE$220,$B$310),"")</f>
        <v>10.959156817038231</v>
      </c>
      <c r="V322" s="254" cm="1">
        <f t="array" ref="V322">IFERROR(SUMPRODUCT(--($F$5:$F$220=F322),--($AE$5:$AE$220=$B$310),--($AR$5:$AR$220=$B$330),$V$5:$V$220,$J$5:$J$220)/SUMIFS($J$5:$J$220,$F$5:$F$220,F322,$AE$5:$AE$220,$B$310,$AR$5:$AR$220,$B$330),"")</f>
        <v>7.4524939628611877</v>
      </c>
      <c r="W322" s="254" cm="1">
        <f t="array" ref="W322">IFERROR(SUMPRODUCT(--($F$5:$F$220=F322),--($AE$5:$AE$220=$B$310),--($AR$5:$AR$220=$B$330),$W$5:$W$220,$J$5:$J$220)/SUMIFS($J$5:$J$220,$F$5:$F$220,F322,$AE$5:$AE$220,$B$310,$AR$5:$AR$220,$B$330),"")</f>
        <v>7.6642518111416438</v>
      </c>
      <c r="X322" s="256" cm="1">
        <f t="array" ref="X322">IFERROR((IFERROR(SUMPRODUCT(--($F$5:$F$220=F322),--($N$5:$N$220&gt;0),--($AE$5:$AE$220=$B$310),$J$5:$J$220,$Q$5:$Q$220)/SUMIFS($J$5:$J$220,$F$5:$F$220,F322,$N$5:$N$220,"&gt;0",$AE$5:$AE$220,$B$310),""))/N322-1,"NA")</f>
        <v>0.17058823529411749</v>
      </c>
      <c r="Y322" s="256"/>
      <c r="Z322" s="289">
        <f t="shared" si="206"/>
        <v>8.2082025307254725E-2</v>
      </c>
      <c r="AG322" s="290"/>
      <c r="AH322" s="290"/>
      <c r="BH322" s="186" t="s">
        <v>64</v>
      </c>
      <c r="BI322" s="321">
        <v>590380</v>
      </c>
      <c r="BJ322" s="321">
        <v>122555</v>
      </c>
    </row>
    <row r="323" spans="1:63">
      <c r="B323" s="291"/>
      <c r="F323" s="184" t="s">
        <v>173</v>
      </c>
      <c r="H323" s="184">
        <f t="shared" si="204"/>
        <v>8</v>
      </c>
      <c r="I323" s="254" cm="1">
        <f t="array" ref="I323">IFERROR(SUMPRODUCT(--($F$5:$F$220=F323),--($AE$5:$AE$220=$B$310),$J$5:$J$220,$I$5:$I$220)/SUMIFS($J$5:$J$220,$F$5:$F$220,F323,$AE$5:$AE$220,$B$310)/12,"")</f>
        <v>6.1307208110516926</v>
      </c>
      <c r="J323" s="253">
        <f t="shared" si="205"/>
        <v>179520</v>
      </c>
      <c r="K323" s="253"/>
      <c r="L323" s="253"/>
      <c r="M323" s="253"/>
      <c r="N323" s="254" cm="1">
        <f t="array" ref="N323">IFERROR(SUMPRODUCT(--($F$5:$F$220=F323),--($AE$5:$AE$220=$B$310),$J$5:$J$220,$N$5:$N$220)/SUMIFS($J$5:$J$220,$F$5:$F$220,F323,$AE$5:$AE$220,$B$310,$N$5:$N$220,"&gt;0"),"")</f>
        <v>11.412396167557933</v>
      </c>
      <c r="O323" s="254" cm="1">
        <f t="array" ref="O323">IFERROR(SUMPRODUCT(--($F$5:$F$220=F323),--($AE$5:$AE$220=$B$310),$J$5:$J$220,$O$5:$O$220)/SUMIFS($J$5:$J$220,$F$5:$F$220,F323,$AE$5:$AE$220,$B$310),"")</f>
        <v>15.776672014260248</v>
      </c>
      <c r="P323" s="255" cm="1">
        <f t="array" ref="P323">IFERROR(SUMPRODUCT(--($F$5:$F$220=F323),--($AE$5:$AE$220=$B$310),$J$5:$J$220,$P$5:$P$220)/SUMIFS($J$5:$J$220,$F$5:$F$220,F323,$AE$5:$AE$220,$B$310,$P$5:$P$220,"&gt;0"),"")</f>
        <v>15.178938279857398</v>
      </c>
      <c r="Q323" s="254" cm="1">
        <f t="array" ref="Q323">IFERROR(SUMPRODUCT(--($F$5:$F$220=F323),--($AE$5:$AE$220=$B$310),$J$5:$J$220,$Q$5:$Q$220)/SUMIFS($J$5:$J$220,$AE$5:$AE$220,$B$310,$F$5:$F$220,F323),"")</f>
        <v>15.707709447415329</v>
      </c>
      <c r="R323" s="254" cm="1">
        <f t="array" ref="R323">IFERROR(SUMPRODUCT(--($F$5:$F$220=F323),--($I$5:$I$220&gt;12),--($AE$5:$AE$220=$B$310),$R$5:$R$220,$J$5:$J$220)/SUMIFS($J$5:$J$220,$I$5:$I$220,"&gt;12",$F$5:$F$220,F323,$AE$5:$AE$220,$B$310),"")</f>
        <v>3.5430815508021389</v>
      </c>
      <c r="S323" s="254" cm="1">
        <f t="array" ref="S323">IFERROR(SUMPRODUCT(--($F$5:$F$220=F323),--($I$5:$I$220&gt;12),--($AE$5:$AE$220=$B$310),$S$5:$S$220,$J$5:$J$220)/SUMIFS($J$5:$J$220,$I$5:$I$220,"&gt;12",$F$5:$F$220,F323,$AE$5:$AE$220,$B$310),"")</f>
        <v>3.4325646167557933</v>
      </c>
      <c r="T323" s="254" cm="1">
        <f t="array" ref="T323">IFERROR(SUMPRODUCT(--($F$5:$F$220=F323),--($AE$5:$AE$220=$B$310),$T$5:$T$220,$J$5:$J$220)/SUMIFS($J$5:$J$220,$F$5:$F$220,F323,$AE$5:$AE$220,$B$310),"")</f>
        <v>2.7844758847967408</v>
      </c>
      <c r="U323" s="254" cm="1">
        <f t="array" ref="U323">IFERROR(SUMPRODUCT(--($F$5:$F$220=F323),--($AE$5:$AE$220=$B$310),$U$5:$U$220,$J$5:$J$220)/SUMIFS($J$5:$J$220,$F$5:$F$220,F323,$AE$5:$AE$220,$B$310),"")</f>
        <v>0</v>
      </c>
      <c r="V323" s="254" cm="1">
        <f t="array" ref="V323">IFERROR(SUMPRODUCT(--($F$5:$F$220=F323),--($AE$5:$AE$220=$B$310),--($AR$5:$AR$220=$B$330),$V$5:$V$220,$J$5:$J$220)/SUMIFS($J$5:$J$220,$F$5:$F$220,F323,$AE$5:$AE$220,$B$310,$AR$5:$AR$220,$B$330),"")</f>
        <v>1.3937007874015748</v>
      </c>
      <c r="W323" s="254" cm="1">
        <f t="array" ref="W323">IFERROR(SUMPRODUCT(--($F$5:$F$220=F323),--($AE$5:$AE$220=$B$310),--($AR$5:$AR$220=$B$330),$W$5:$W$220,$J$5:$J$220)/SUMIFS($J$5:$J$220,$F$5:$F$220,F323,$AE$5:$AE$220,$B$310,$AR$5:$AR$220,$B$330),"")</f>
        <v>5.21259842519685</v>
      </c>
      <c r="X323" s="256" cm="1">
        <f t="array" ref="X323">IFERROR((IFERROR(SUMPRODUCT(--($F$5:$F$220=F323),--($N$5:$N$220&gt;0),--($AE$5:$AE$220=$B$310),$J$5:$J$220,$Q$5:$Q$220)/SUMIFS($J$5:$J$220,$F$5:$F$220,F323,$N$5:$N$220,"&gt;0",$AE$5:$AE$220,$B$310),""))/N323-1,"NA")</f>
        <v>0.37637260543650775</v>
      </c>
      <c r="Y323" s="256"/>
      <c r="Z323" s="289">
        <f t="shared" si="206"/>
        <v>-4.3711732602784714E-3</v>
      </c>
      <c r="AG323" s="290"/>
      <c r="AH323" s="290"/>
      <c r="BH323" s="186" t="s">
        <v>106</v>
      </c>
      <c r="BI323" s="321">
        <v>0</v>
      </c>
      <c r="BJ323" s="321">
        <v>429037</v>
      </c>
    </row>
    <row r="324" spans="1:63">
      <c r="B324" s="291"/>
      <c r="F324" s="184" t="s">
        <v>274</v>
      </c>
      <c r="H324" s="184">
        <f t="shared" si="204"/>
        <v>0</v>
      </c>
      <c r="I324" s="254" t="str" cm="1">
        <f t="array" ref="I324">IFERROR(SUMPRODUCT(--($F$5:$F$220=F324),--($AE$5:$AE$220=$B$310),$J$5:$J$220,$I$5:$I$220)/SUMIFS($J$5:$J$220,$F$5:$F$220,F324,$AE$5:$AE$220,$B$310)/12,"")</f>
        <v/>
      </c>
      <c r="J324" s="253">
        <f t="shared" si="205"/>
        <v>0</v>
      </c>
      <c r="K324" s="253"/>
      <c r="L324" s="253"/>
      <c r="M324" s="253"/>
      <c r="N324" s="254" t="str" cm="1">
        <f t="array" ref="N324">IFERROR(SUMPRODUCT(--($F$5:$F$220=F324),--($AE$5:$AE$220=$B$310),$J$5:$J$220,$N$5:$N$220)/SUMIFS($J$5:$J$220,$F$5:$F$220,F324,$AE$5:$AE$220,$B$310,$N$5:$N$220,"&gt;0"),"")</f>
        <v/>
      </c>
      <c r="O324" s="254" t="str" cm="1">
        <f t="array" ref="O324">IFERROR(SUMPRODUCT(--($F$5:$F$220=F324),--($AE$5:$AE$220=$B$310),$J$5:$J$220,$O$5:$O$220)/SUMIFS($J$5:$J$220,$F$5:$F$220,F324,$AE$5:$AE$220,$B$310),"")</f>
        <v/>
      </c>
      <c r="P324" s="255" t="str" cm="1">
        <f t="array" ref="P324">IFERROR(SUMPRODUCT(--($F$5:$F$220=F324),--($AE$5:$AE$220=$B$310),$J$5:$J$220,$P$5:$P$220)/SUMIFS($J$5:$J$220,$F$5:$F$220,F324,$AE$5:$AE$220,$B$310,$P$5:$P$220,"&gt;0"),"")</f>
        <v/>
      </c>
      <c r="Q324" s="254" t="str" cm="1">
        <f t="array" ref="Q324">IFERROR(SUMPRODUCT(--($F$5:$F$220=F324),--($AE$5:$AE$220=$B$310),$J$5:$J$220,$Q$5:$Q$220)/SUMIFS($J$5:$J$220,$AE$5:$AE$220,$B$310,$F$5:$F$220,F324),"")</f>
        <v/>
      </c>
      <c r="R324" s="254" t="str" cm="1">
        <f t="array" ref="R324">IFERROR(SUMPRODUCT(--($F$5:$F$220=F324),--($I$5:$I$220&gt;12),--($AE$5:$AE$220=$B$310),$R$5:$R$220,$J$5:$J$220)/SUMIFS($J$5:$J$220,$I$5:$I$220,"&gt;12",$F$5:$F$220,F324,$AE$5:$AE$220,$B$310),"")</f>
        <v/>
      </c>
      <c r="S324" s="254" t="str" cm="1">
        <f t="array" ref="S324">IFERROR(SUMPRODUCT(--($F$5:$F$220=F324),--($I$5:$I$220&gt;12),--($AE$5:$AE$220=$B$310),$S$5:$S$220,$J$5:$J$220)/SUMIFS($J$5:$J$220,$I$5:$I$220,"&gt;12",$F$5:$F$220,F324,$AE$5:$AE$220,$B$310),"")</f>
        <v/>
      </c>
      <c r="T324" s="254" t="str" cm="1">
        <f t="array" ref="T324">IFERROR(SUMPRODUCT(--($F$5:$F$220=F324),--($AE$5:$AE$220=$B$310),$T$5:$T$220,$J$5:$J$220)/SUMIFS($J$5:$J$220,$F$5:$F$220,F324,$AE$5:$AE$220,$B$310),"")</f>
        <v/>
      </c>
      <c r="U324" s="254" t="str" cm="1">
        <f t="array" ref="U324">IFERROR(SUMPRODUCT(--($F$5:$F$220=F324),--($AE$5:$AE$220=$B$310),$U$5:$U$220,$J$5:$J$220)/SUMIFS($J$5:$J$220,$F$5:$F$220,F324,$AE$5:$AE$220,$B$310),"")</f>
        <v/>
      </c>
      <c r="V324" s="254" t="str" cm="1">
        <f t="array" ref="V324">IFERROR(SUMPRODUCT(--($F$5:$F$220=F324),--($AE$5:$AE$220=$B$310),--($AR$5:$AR$220=$B$330),$V$5:$V$220,$J$5:$J$220)/SUMIFS($J$5:$J$220,$F$5:$F$220,F324,$AE$5:$AE$220,$B$310,$AR$5:$AR$220,$B$330),"")</f>
        <v/>
      </c>
      <c r="W324" s="254" t="str" cm="1">
        <f t="array" ref="W324">IFERROR(SUMPRODUCT(--($F$5:$F$220=F324),--($AE$5:$AE$220=$B$310),--($AR$5:$AR$220=$B$330),$W$5:$W$220,$J$5:$J$220)/SUMIFS($J$5:$J$220,$F$5:$F$220,F324,$AE$5:$AE$220,$B$310,$AR$5:$AR$220,$B$330),"")</f>
        <v/>
      </c>
      <c r="X324" s="256" t="str" cm="1">
        <f t="array" ref="X324">IFERROR((IFERROR(SUMPRODUCT(--($F$5:$F$220=F324),--($N$5:$N$220&gt;0),--($AE$5:$AE$220=$B$310),$J$5:$J$220,$Q$5:$Q$220)/SUMIFS($J$5:$J$220,$F$5:$F$220,F324,$N$5:$N$220,"&gt;0",$AE$5:$AE$220,$B$310),""))/N324-1,"NA")</f>
        <v>NA</v>
      </c>
      <c r="Y324" s="256"/>
      <c r="Z324" s="289" t="str">
        <f t="shared" si="206"/>
        <v>NA</v>
      </c>
      <c r="AG324" s="290"/>
      <c r="AH324" s="290"/>
      <c r="BI324" s="321">
        <f>SUM(BI321:BI323)</f>
        <v>669441.97916666663</v>
      </c>
      <c r="BJ324" s="321">
        <f>SUM(BJ321:BJ323)</f>
        <v>741340.75</v>
      </c>
      <c r="BK324" s="321">
        <f>SUM(BI324:BJ324)</f>
        <v>1410782.7291666665</v>
      </c>
    </row>
    <row r="325" spans="1:63">
      <c r="B325" s="291"/>
      <c r="F325" s="184" t="s">
        <v>177</v>
      </c>
      <c r="H325" s="184">
        <f t="shared" si="204"/>
        <v>0</v>
      </c>
      <c r="I325" s="254" t="str" cm="1">
        <f t="array" ref="I325">IFERROR(SUMPRODUCT(--($F$5:$F$220=F325),--($AE$5:$AE$220=$B$310),$J$5:$J$220,$I$5:$I$220)/SUMIFS($J$5:$J$220,$F$5:$F$220,F325,$AE$5:$AE$220,$B$310)/12,"")</f>
        <v/>
      </c>
      <c r="J325" s="253">
        <f t="shared" si="205"/>
        <v>0</v>
      </c>
      <c r="K325" s="253"/>
      <c r="L325" s="253"/>
      <c r="M325" s="253"/>
      <c r="N325" s="254" t="str" cm="1">
        <f t="array" ref="N325">IFERROR(SUMPRODUCT(--($F$5:$F$220=F325),--($AE$5:$AE$220=$B$310),$J$5:$J$220,$N$5:$N$220)/SUMIFS($J$5:$J$220,$F$5:$F$220,F325,$AE$5:$AE$220,$B$310,$N$5:$N$220,"&gt;0"),"")</f>
        <v/>
      </c>
      <c r="O325" s="254" t="str" cm="1">
        <f t="array" ref="O325">IFERROR(SUMPRODUCT(--($F$5:$F$220=F325),--($AE$5:$AE$220=$B$310),$J$5:$J$220,$O$5:$O$220)/SUMIFS($J$5:$J$220,$F$5:$F$220,F325,$AE$5:$AE$220,$B$310),"")</f>
        <v/>
      </c>
      <c r="P325" s="255" t="str" cm="1">
        <f t="array" ref="P325">IFERROR(SUMPRODUCT(--($F$5:$F$220=F325),--($AE$5:$AE$220=$B$310),$J$5:$J$220,$P$5:$P$220)/SUMIFS($J$5:$J$220,$F$5:$F$220,F325,$AE$5:$AE$220,$B$310,$P$5:$P$220,"&gt;0"),"")</f>
        <v/>
      </c>
      <c r="Q325" s="254" t="str" cm="1">
        <f t="array" ref="Q325">IFERROR(SUMPRODUCT(--($F$5:$F$220=F325),--($AE$5:$AE$220=$B$310),$J$5:$J$220,$Q$5:$Q$220)/SUMIFS($J$5:$J$220,$AE$5:$AE$220,$B$310,$F$5:$F$220,F325),"")</f>
        <v/>
      </c>
      <c r="R325" s="254" t="str" cm="1">
        <f t="array" ref="R325">IFERROR(SUMPRODUCT(--($F$5:$F$220=F325),--($I$5:$I$220&gt;12),--($AE$5:$AE$220=$B$310),$R$5:$R$220,$J$5:$J$220)/SUMIFS($J$5:$J$220,$I$5:$I$220,"&gt;12",$F$5:$F$220,F325,$AE$5:$AE$220,$B$310),"")</f>
        <v/>
      </c>
      <c r="S325" s="254" t="str" cm="1">
        <f t="array" ref="S325">IFERROR(SUMPRODUCT(--($F$5:$F$220=F325),--($I$5:$I$220&gt;12),--($AE$5:$AE$220=$B$310),$S$5:$S$220,$J$5:$J$220)/SUMIFS($J$5:$J$220,$I$5:$I$220,"&gt;12",$F$5:$F$220,F325,$AE$5:$AE$220,$B$310),"")</f>
        <v/>
      </c>
      <c r="T325" s="254" t="str" cm="1">
        <f t="array" ref="T325">IFERROR(SUMPRODUCT(--($F$5:$F$220=F325),--($AE$5:$AE$220=$B$310),$T$5:$T$220,$J$5:$J$220)/SUMIFS($J$5:$J$220,$F$5:$F$220,F325,$AE$5:$AE$220,$B$310),"")</f>
        <v/>
      </c>
      <c r="U325" s="254" t="str" cm="1">
        <f t="array" ref="U325">IFERROR(SUMPRODUCT(--($F$5:$F$220=F325),--($AE$5:$AE$220=$B$310),$U$5:$U$220,$J$5:$J$220)/SUMIFS($J$5:$J$220,$F$5:$F$220,F325,$AE$5:$AE$220,$B$310),"")</f>
        <v/>
      </c>
      <c r="V325" s="254" t="str" cm="1">
        <f t="array" ref="V325">IFERROR(SUMPRODUCT(--($F$5:$F$220=F325),--($AE$5:$AE$220=$B$310),--($AR$5:$AR$220=$B$330),$V$5:$V$220,$J$5:$J$220)/SUMIFS($J$5:$J$220,$F$5:$F$220,F325,$AE$5:$AE$220,$B$310,$AR$5:$AR$220,$B$330),"")</f>
        <v/>
      </c>
      <c r="W325" s="254" t="str" cm="1">
        <f t="array" ref="W325">IFERROR(SUMPRODUCT(--($F$5:$F$220=F325),--($AE$5:$AE$220=$B$310),--($AR$5:$AR$220=$B$330),$W$5:$W$220,$J$5:$J$220)/SUMIFS($J$5:$J$220,$F$5:$F$220,F325,$AE$5:$AE$220,$B$310,$AR$5:$AR$220,$B$330),"")</f>
        <v/>
      </c>
      <c r="X325" s="256" t="str" cm="1">
        <f t="array" ref="X325">IFERROR((IFERROR(SUMPRODUCT(--($F$5:$F$220=F325),--($N$5:$N$220&gt;0),--($AE$5:$AE$220=$B$310),$J$5:$J$220,$Q$5:$Q$220)/SUMIFS($J$5:$J$220,$F$5:$F$220,F325,$N$5:$N$220,"&gt;0",$AE$5:$AE$220,$B$310),""))/N325-1,"NA")</f>
        <v>NA</v>
      </c>
      <c r="Y325" s="256"/>
      <c r="Z325" s="289" t="str">
        <f t="shared" si="206"/>
        <v>NA</v>
      </c>
      <c r="AG325" s="290"/>
      <c r="AH325" s="290"/>
    </row>
    <row r="326" spans="1:63">
      <c r="B326" s="292"/>
      <c r="C326" s="293"/>
      <c r="D326" s="293"/>
      <c r="E326" s="293"/>
      <c r="F326" s="294" t="s">
        <v>27</v>
      </c>
      <c r="G326" s="294"/>
      <c r="H326" s="294">
        <f>SUM(H311:H325)</f>
        <v>67</v>
      </c>
      <c r="I326" s="295" cm="1">
        <f t="array" ref="I326">IFERROR(SUMPRODUCT(--($AE$5:$AE$220=$B$310),$J$5:$J$220,$I$5:$I$220)/SUMIFS($J$5:$J$220,$AE$5:$AE$220,$B$310)/12,"")</f>
        <v>5.0510384951633096</v>
      </c>
      <c r="J326" s="296">
        <f>SUM(J311:J325)</f>
        <v>1588035</v>
      </c>
      <c r="K326" s="296"/>
      <c r="L326" s="296"/>
      <c r="M326" s="296"/>
      <c r="N326" s="295" cm="1">
        <f t="array" ref="N326">IFERROR(SUMPRODUCT(--($AE$5:$AE$220=$B$310),$J$5:$J$220,$N$5:$N$220)/SUMIFS($J$5:$J$220,$AE$5:$AE$220,B310,$N$5:$N$220,"&gt;0"),"")</f>
        <v>5.869900160518652</v>
      </c>
      <c r="O326" s="295" cm="1">
        <f t="array" ref="O326">IFERROR(SUMPRODUCT(--($AE$5:$AE$220=$B$310),$J$5:$J$220,$O$5:$O$220)/SUMIFS($J$5:$J$220,$AE$5:$AE$220,$B$310),"")</f>
        <v>7.9221882395539138</v>
      </c>
      <c r="P326" s="297" cm="1">
        <f t="array" ref="P326">IFERROR(SUMPRODUCT(--($AE$5:$AE$220=$B$310),$J$5:$J$220,$P$5:$P$220)/SUMIFS($J$5:$J$220,$AE$5:$AE$220,$B$310,$P$5:$P$220,"&gt;0"),"")</f>
        <v>8.1304630854779028</v>
      </c>
      <c r="Q326" s="295" cm="1">
        <f t="array" ref="Q326">IFERROR(SUMPRODUCT(--($AE$5:$AE$220=$B$310),$J$5:$J$220,$Q$5:$Q$220)/SUMIFS($J$5:$J$220,$AE$5:$AE$220,$B$310),"")</f>
        <v>8.6002167521496684</v>
      </c>
      <c r="R326" s="295" cm="1">
        <f t="array" ref="R326">SUMPRODUCT(--($AE$5:$AE$220=$B$310),--($I$5:$I$220&gt;12),$R$5:$R$220,$J$5:$J$220)/SUMIFS($J$5:$J$220,$I$5:$I$220,"&gt;12",$AE$5:$AE$220,$B$310)</f>
        <v>3.3363091493575396</v>
      </c>
      <c r="S326" s="295" cm="1">
        <f t="array" ref="S326">SUMPRODUCT(--($AE$5:$AE$220=$B$310),--($I$5:$I$220&gt;12),$S$5:$S$220,$J$5:$J$220)/SUMIFS($J$5:$J$220,$I$5:$I$220,"&gt;12",$AE$5:$AE$220,$B$310)</f>
        <v>3.323795728683562</v>
      </c>
      <c r="T326" s="295" cm="1">
        <f t="array" ref="T326">IFERROR(SUMPRODUCT(--($AE$5:$AE$220=$B$310),$T$5:$T$220,$J$5:$J$220)/SUMIFS($J$5:$J$220,$AE$5:$AE$220,$B$310),"")</f>
        <v>6.3754214397219808</v>
      </c>
      <c r="U326" s="295" cm="1">
        <f t="array" ref="U326">IFERROR(SUMPRODUCT(--($AE$5:$AE$220=$B$310),$U$5:$U$220,$J$5:$J$220)/SUMIFS($J$5:$J$220,$AE$5:$AE$220,$B$310),"")</f>
        <v>6.2313770874067655</v>
      </c>
      <c r="V326" s="295" cm="1">
        <f t="array" ref="V326">IFERROR(SUMPRODUCT(--($AE$5:$AE$220=$B$310),--($AR$5:$AR$220=$B$330),$V$5:$V$220,$J$5:$J$220)/SUMIFS($J$5:$J$220,$AE$5:$AE$220,$B$310,$AR$5:$AR$220,$B$330),"")</f>
        <v>5.577792914871603</v>
      </c>
      <c r="W326" s="295" cm="1">
        <f t="array" ref="W326">IFERROR(SUMPRODUCT(--($AE$5:$AE$220=$B$310),--($AR$5:$AR$220=$B$330),$W$5:$W$220,$J$5:$J$220)/SUMIFS($J$5:$J$220,$AE$5:$AE$220,$B$310,$AR$5:$AR$220,$B$330),"")</f>
        <v>6.4698598760659412</v>
      </c>
      <c r="X326" s="298" cm="1">
        <f t="array" ref="X326">IFERROR((IFERROR(SUMPRODUCT(--($N$5:$N$220&gt;0),--($AE$5:$AE$220=$B$310),$J$5:$J$220,$Q$5:$Q$220)/SUMIFS($J$5:$J$220,$N$5:$N$220,"&gt;0",$AE$5:$AE$220,$B$310),""))/N326-1,"NA")</f>
        <v>0.37096518130629885</v>
      </c>
      <c r="Y326" s="298"/>
      <c r="Z326" s="299">
        <f t="shared" si="206"/>
        <v>8.5586013875622591E-2</v>
      </c>
      <c r="AG326" s="290"/>
      <c r="AH326" s="290"/>
    </row>
    <row r="327" spans="1:63">
      <c r="J327" s="459">
        <f>SUMIFS($J$5:$J$220,$AE$5:$AE$220,$B$294,$AR$5:$AR$220,"New Lease",$AE$5:$AE$220,$B$310)</f>
        <v>0</v>
      </c>
      <c r="N327" s="222"/>
      <c r="O327" s="222"/>
      <c r="P327" s="222"/>
      <c r="Q327" s="222"/>
      <c r="T327" s="222"/>
      <c r="U327" s="222"/>
    </row>
    <row r="328" spans="1:63">
      <c r="N328" s="222"/>
      <c r="O328" s="222"/>
      <c r="P328" s="222"/>
      <c r="Q328" s="222"/>
      <c r="T328" s="222"/>
      <c r="U328" s="222"/>
    </row>
    <row r="329" spans="1:63">
      <c r="N329" s="222"/>
      <c r="O329" s="222"/>
      <c r="P329" s="222"/>
      <c r="Q329" s="222"/>
      <c r="T329" s="222"/>
      <c r="U329" s="222"/>
    </row>
    <row r="330" spans="1:63" s="246" customFormat="1">
      <c r="A330" s="250"/>
      <c r="B330" s="280" t="s">
        <v>143</v>
      </c>
      <c r="C330" s="458">
        <f>SUMIFS($J$5:$J$220,$AE$5:$AE$220,$B$294,$AR$5:$AR$220,"New Lease")</f>
        <v>2293436</v>
      </c>
      <c r="D330" s="281"/>
      <c r="E330" s="281"/>
      <c r="F330" s="282"/>
      <c r="G330" s="282"/>
      <c r="H330" s="282" t="s">
        <v>730</v>
      </c>
      <c r="I330" s="283" t="s">
        <v>731</v>
      </c>
      <c r="J330" s="283" t="s">
        <v>732</v>
      </c>
      <c r="K330" s="283"/>
      <c r="L330" s="283"/>
      <c r="M330" s="283"/>
      <c r="N330" s="284" t="s">
        <v>94</v>
      </c>
      <c r="O330" s="284" t="s">
        <v>95</v>
      </c>
      <c r="P330" s="285" t="s">
        <v>58</v>
      </c>
      <c r="Q330" s="283" t="s">
        <v>96</v>
      </c>
      <c r="R330" s="283" t="s">
        <v>734</v>
      </c>
      <c r="S330" s="283" t="s">
        <v>735</v>
      </c>
      <c r="T330" s="283" t="s">
        <v>736</v>
      </c>
      <c r="U330" s="283" t="s">
        <v>737</v>
      </c>
      <c r="V330" s="283" t="s">
        <v>64</v>
      </c>
      <c r="W330" s="283" t="s">
        <v>738</v>
      </c>
      <c r="X330" s="283" t="s">
        <v>755</v>
      </c>
      <c r="Y330" s="283"/>
      <c r="Z330" s="286" t="s">
        <v>740</v>
      </c>
      <c r="AD330" s="287"/>
      <c r="AG330" s="288" t="s">
        <v>741</v>
      </c>
      <c r="AH330" s="288" t="s">
        <v>742</v>
      </c>
    </row>
    <row r="331" spans="1:63">
      <c r="B331" s="251" t="s">
        <v>743</v>
      </c>
      <c r="F331" s="184" t="s">
        <v>153</v>
      </c>
      <c r="H331" s="184">
        <f t="shared" ref="H331:H345" si="207">COUNTIFS($F$5:$F$220,F331,$AR$5:$AR$220,$B$330)</f>
        <v>18</v>
      </c>
      <c r="I331" s="300" cm="1">
        <f t="array" ref="I331">IFERROR(SUMPRODUCT(--($F$5:$F$220=F331),--($AR$5:$AR$220=$B$330),$J$5:$J$220,$I$5:$I$220)/SUMIFS($J$5:$J$220,$F$5:$F$220,F331,$AR$5:$AR$220,$B$330)/12,"")</f>
        <v>6.8646348803099793</v>
      </c>
      <c r="J331" s="253">
        <f t="shared" ref="J331:J345" si="208">SUMIFS($J$5:$J$220,$F$5:$F$220,F331,$AR$5:$AR$220,$B$330)</f>
        <v>536121</v>
      </c>
      <c r="K331" s="253"/>
      <c r="L331" s="253"/>
      <c r="M331" s="253"/>
      <c r="N331" s="254" cm="1">
        <f t="array" ref="N331">IFERROR(SUMPRODUCT(--($F$5:$F$220=F331),--($AR$5:$AR$220=$B$330),$J$5:$J$220,$N$5:$N$220)/SUMIFS($J$5:$J$220,$F$5:$F$220,F331,$AR$5:$AR$220,$B$330,$N$5:$N$220,"&gt;0"),"")</f>
        <v>6.8434332843022228</v>
      </c>
      <c r="O331" s="222"/>
      <c r="P331" s="222"/>
      <c r="Q331" s="254" cm="1">
        <f t="array" ref="Q331">IFERROR(SUMPRODUCT(--($F$5:$F$220=F331),--($AR$5:$AR$220=$B$330),$J$5:$J$220,$Q$5:$Q$220)/SUMIFS($J$5:$J$220,$AR$5:$AR$220,$B$330,$F$5:$F$220,F331),"")</f>
        <v>7.8908221651455541</v>
      </c>
      <c r="R331" s="254" cm="1">
        <f t="array" ref="R331">SUMPRODUCT(--($F$5:$F$220=F331),--($I$5:$I$220&gt;12),--($AR$5:$AR$220=$B$330),$R$5:$R$220,$J$5:$J$220)/SUMIFS($J$5:$J$220,$I$5:$I$220,"&gt;12",$F$5:$F$220,F331,$AR$5:$AR$220,$B$330)</f>
        <v>4.000271393957707</v>
      </c>
      <c r="S331" s="254" cm="1">
        <f t="array" ref="S331">SUMPRODUCT(--($F$5:$F$220=F331),--($I$5:$I$220&gt;12),--($AR$5:$AR$220=$B$330),$S$5:$S$220,$J$5:$J$220)/SUMIFS($J$5:$J$220,$I$5:$I$220,"&gt;12",$F$5:$F$220,F331,$AR$5:$AR$220,$B$330)</f>
        <v>3.2728777645344986</v>
      </c>
      <c r="T331" s="254" cm="1">
        <f t="array" ref="T331">IFERROR(SUMPRODUCT(--($F$5:$F$220=F331),--($AR$5:$AR$220=$B$330),$T$5:$T$220,$J$5:$J$220)/SUMIFS($J$5:$J$220,$F$5:$F$220,F331,$AR$5:$AR$220,$B$330),"")</f>
        <v>11.14721955181149</v>
      </c>
      <c r="U331" s="254" cm="1">
        <f t="array" ref="U331">IFERROR(SUMPRODUCT(--($F$5:$F$220=F331),--($AR$5:$AR$220=$B$330),$U$5:$U$220,$J$5:$J$220)/SUMIFS($J$5:$J$220,$F$5:$F$220,F331,$AR$5:$AR$220,$B$330),"")</f>
        <v>13.439986019946987</v>
      </c>
      <c r="V331" s="254" cm="1">
        <f t="array" ref="V331">IFERROR(SUMPRODUCT(--($F$5:$F$220=F331),--($AR$5:$AR$220=$B$330),$V$5:$V$220,$J$5:$J$220)/SUMIFS($J$5:$J$220,$F$5:$F$220,F331,$AR$5:$AR$220,$B$330),"")</f>
        <v>3.9654490310955923</v>
      </c>
      <c r="W331" s="254" cm="1">
        <f t="array" ref="W331">IFERROR(SUMPRODUCT(--($F$5:$F$220=F331),--($AR$5:$AR$220=$B$330),$W$5:$W$220,$J$5:$J$220)/SUMIFS($J$5:$J$220,$F$5:$F$220,F331,$AR$5:$AR$220,$B$330),"")</f>
        <v>4.3607273171541499</v>
      </c>
      <c r="X331" s="256" cm="1">
        <f t="array" ref="X331">IFERROR((IFERROR(SUMPRODUCT(--($F$5:$F$220=F331),--($N$5:$N$220&gt;0),--($AR$5:$AR$220=$B$330),$J$5:$J$220,$Q$5:$Q$220)/SUMIFS($J$5:$J$220,$F$5:$F$220,F331,$N$5:$N$220,"&gt;0",$AR$5:$AR$220,$B$330),""))/N331-1,"NA")</f>
        <v>0.15603456205284472</v>
      </c>
      <c r="Y331" s="256"/>
      <c r="Z331" s="289" t="str">
        <f t="shared" ref="Z331:Z346" si="209">IFERROR(Q331/O331-1,"NA")</f>
        <v>NA</v>
      </c>
      <c r="AG331" s="290"/>
      <c r="AH331" s="290"/>
    </row>
    <row r="332" spans="1:63">
      <c r="B332" s="291"/>
      <c r="F332" s="184" t="s">
        <v>207</v>
      </c>
      <c r="H332" s="184">
        <f t="shared" si="207"/>
        <v>6</v>
      </c>
      <c r="I332" s="300" cm="1">
        <f t="array" ref="I332">IFERROR(SUMPRODUCT(--($F$5:$F$220=F332),--($AR$5:$AR$220=$B$330),$J$5:$J$220,$I$5:$I$220)/SUMIFS($J$5:$J$220,$F$5:$F$220,F332,$AR$5:$AR$220,$B$330)/12,"")</f>
        <v>6.0355853760439686</v>
      </c>
      <c r="J332" s="253">
        <f t="shared" si="208"/>
        <v>77389</v>
      </c>
      <c r="K332" s="253"/>
      <c r="L332" s="253"/>
      <c r="M332" s="253"/>
      <c r="N332" s="254" cm="1">
        <f t="array" ref="N332">IFERROR(SUMPRODUCT(--($F$5:$F$220=F332),--($AR$5:$AR$220=$B$330),$J$5:$J$220,$N$5:$N$220)/SUMIFS($J$5:$J$220,$F$5:$F$220,F332,$AR$5:$AR$220,$B$330,$N$5:$N$220,"&gt;0"),"")</f>
        <v>8.0467406779147606</v>
      </c>
      <c r="O332" s="254" cm="1">
        <f t="array" ref="O332">IFERROR(SUMPRODUCT(--($F$5:$F$220=F332),--($AR$5:$AR$220=$B$330),$J$5:$J$220,$O$5:$O$220)/SUMIFS($J$5:$J$220,$F$5:$F$220,F332,$AR$5:$AR$220,$B$330),"")</f>
        <v>9.8938612851955696</v>
      </c>
      <c r="P332" s="254" cm="1">
        <f t="array" ref="P332">IFERROR(SUMPRODUCT(--($F$5:$F$220=F332),--($AR$5:$AR$220=$B$330),$J$5:$J$220,$P$5:$P$220)/SUMIFS($J$5:$J$220,$F$5:$F$220,F332,$AR$5:$AR$220,$B$330,$P$5:$P$220,"&gt;0"),"")</f>
        <v>10.479651904114247</v>
      </c>
      <c r="Q332" s="254" cm="1">
        <f t="array" ref="Q332">IFERROR(SUMPRODUCT(--($F$5:$F$220=F332),--($AR$5:$AR$220=$B$330),$J$5:$J$220,$Q$5:$Q$220)/SUMIFS($J$5:$J$220,$AR$5:$AR$220,$B$330,$F$5:$F$220,F332),"")</f>
        <v>10.416005504658285</v>
      </c>
      <c r="R332" s="254" cm="1">
        <f t="array" ref="R332">SUMPRODUCT(--($F$5:$F$220=F332),--($I$5:$I$220&gt;12),--($AR$5:$AR$220=$B$330),$R$5:$R$220,$J$5:$J$220)/SUMIFS($J$5:$J$220,$I$5:$I$220,"&gt;12",$F$5:$F$220,F332,$AR$5:$AR$220,$B$330)</f>
        <v>3.7930842884647689</v>
      </c>
      <c r="S332" s="254" cm="1">
        <f t="array" ref="S332">SUMPRODUCT(--($F$5:$F$220=F332),--($I$5:$I$220&gt;12),--($AR$5:$AR$220=$B$330),$S$5:$S$220,$J$5:$J$220)/SUMIFS($J$5:$J$220,$I$5:$I$220,"&gt;12",$F$5:$F$220,F332,$AR$5:$AR$220,$B$330)</f>
        <v>4</v>
      </c>
      <c r="T332" s="254" cm="1">
        <f t="array" ref="T332">IFERROR(SUMPRODUCT(--($F$5:$F$220=F332),--($AR$5:$AR$220=$B$330),$T$5:$T$220,$J$5:$J$220)/SUMIFS($J$5:$J$220,$F$5:$F$220,F332,$AR$5:$AR$220,$B$330),"")</f>
        <v>15.136223559156486</v>
      </c>
      <c r="U332" s="254" cm="1">
        <f t="array" ref="U332">IFERROR(SUMPRODUCT(--($F$5:$F$220=F332),--($AR$5:$AR$220=$B$330),$U$5:$U$220,$J$5:$J$220)/SUMIFS($J$5:$J$220,$F$5:$F$220,F332,$AR$5:$AR$220,$B$330),"")</f>
        <v>8.219053095401156</v>
      </c>
      <c r="V332" s="254" cm="1">
        <f t="array" ref="V332">IFERROR(SUMPRODUCT(--($F$5:$F$220=F332),--($AR$5:$AR$220=$B$330),$V$5:$V$220,$J$5:$J$220)/SUMIFS($J$5:$J$220,$F$5:$F$220,F332,$AR$5:$AR$220,$B$330),"")</f>
        <v>8.3789039786016097</v>
      </c>
      <c r="W332" s="254" cm="1">
        <f t="array" ref="W332">IFERROR(SUMPRODUCT(--($F$5:$F$220=F332),--($AR$5:$AR$220=$B$330),$W$5:$W$220,$J$5:$J$220)/SUMIFS($J$5:$J$220,$F$5:$F$220,F332,$AR$5:$AR$220,$B$330),"")</f>
        <v>4.6622388194704678</v>
      </c>
      <c r="X332" s="256" cm="1">
        <f t="array" ref="X332">IFERROR((IFERROR(SUMPRODUCT(--($F$5:$F$220=F332),--($N$5:$N$220&gt;0),--($AR$5:$AR$220=$B$330),$J$5:$J$220,$Q$5:$Q$220)/SUMIFS($J$5:$J$220,$F$5:$F$220,F332,$N$5:$N$220,"&gt;0",$AR$5:$AR$220,$B$330),""))/N332-1,"NA")</f>
        <v>0.36105689861792167</v>
      </c>
      <c r="Y332" s="256"/>
      <c r="Z332" s="289">
        <f t="shared" si="209"/>
        <v>5.277456439014494E-2</v>
      </c>
      <c r="AA332" s="301"/>
      <c r="AG332" s="290"/>
      <c r="AH332" s="290"/>
    </row>
    <row r="333" spans="1:63">
      <c r="B333" s="291"/>
      <c r="F333" s="184" t="s">
        <v>201</v>
      </c>
      <c r="H333" s="184">
        <f t="shared" si="207"/>
        <v>1</v>
      </c>
      <c r="I333" s="300" cm="1">
        <f t="array" ref="I333">IFERROR(SUMPRODUCT(--($F$5:$F$220=F333),--($AR$5:$AR$220=$B$330),$J$5:$J$220,$I$5:$I$220)/SUMIFS($J$5:$J$220,$F$5:$F$220,F333,$AR$5:$AR$220,$B$330)/12,"")</f>
        <v>10</v>
      </c>
      <c r="J333" s="253">
        <f t="shared" si="208"/>
        <v>22961</v>
      </c>
      <c r="K333" s="253"/>
      <c r="L333" s="253"/>
      <c r="M333" s="253"/>
      <c r="N333" s="254" cm="1">
        <f t="array" ref="N333">IFERROR(SUMPRODUCT(--($F$5:$F$220=F333),--($AR$5:$AR$220=$B$330),$J$5:$J$220,$N$5:$N$220)/SUMIFS($J$5:$J$220,$F$5:$F$220,F333,$AR$5:$AR$220,$B$330,$N$5:$N$220,"&gt;0"),"")</f>
        <v>12.640000000000002</v>
      </c>
      <c r="O333" s="254" cm="1">
        <f t="array" ref="O333">IFERROR(SUMPRODUCT(--($F$5:$F$220=F333),--($AR$5:$AR$220=$B$330),$J$5:$J$220,$O$5:$O$220)/SUMIFS($J$5:$J$220,$F$5:$F$220,F333,$AR$5:$AR$220,$B$330),"")</f>
        <v>12.779999999999998</v>
      </c>
      <c r="P333" s="254" cm="1">
        <f t="array" ref="P333">IFERROR(SUMPRODUCT(--($F$5:$F$220=F333),--($AR$5:$AR$220=$B$330),$J$5:$J$220,$P$5:$P$220)/SUMIFS($J$5:$J$220,$F$5:$F$220,F333,$AR$5:$AR$220,$B$330,$P$5:$P$220,"&gt;0"),"")</f>
        <v>12.83</v>
      </c>
      <c r="Q333" s="254" cm="1">
        <f t="array" ref="Q333">IFERROR(SUMPRODUCT(--($F$5:$F$220=F333),--($AR$5:$AR$220=$B$330),$J$5:$J$220,$Q$5:$Q$220)/SUMIFS($J$5:$J$220,$AR$5:$AR$220,$B$330,$F$5:$F$220,F333),"")</f>
        <v>13</v>
      </c>
      <c r="R333" s="254" cm="1">
        <f t="array" ref="R333">SUMPRODUCT(--($F$5:$F$220=F333),--($I$5:$I$220&gt;12),--($AR$5:$AR$220=$B$330),$R$5:$R$220,$J$5:$J$220)/SUMIFS($J$5:$J$220,$I$5:$I$220,"&gt;12",$F$5:$F$220,F333,$AR$5:$AR$220,$B$330)</f>
        <v>3</v>
      </c>
      <c r="S333" s="254" cm="1">
        <f t="array" ref="S333">SUMPRODUCT(--($F$5:$F$220=F333),--($I$5:$I$220&gt;12),--($AR$5:$AR$220=$B$330),$S$5:$S$220,$J$5:$J$220)/SUMIFS($J$5:$J$220,$I$5:$I$220,"&gt;12",$F$5:$F$220,F333,$AR$5:$AR$220,$B$330)</f>
        <v>4</v>
      </c>
      <c r="T333" s="254" cm="1">
        <f t="array" ref="T333">IFERROR(SUMPRODUCT(--($F$5:$F$220=F333),--($AR$5:$AR$220=$B$330),$T$5:$T$220,$J$5:$J$220)/SUMIFS($J$5:$J$220,$F$5:$F$220,F333,$AR$5:$AR$220,$B$330),"")</f>
        <v>7.000000055525069</v>
      </c>
      <c r="U333" s="254" cm="1">
        <f t="array" ref="U333">IFERROR(SUMPRODUCT(--($F$5:$F$220=F333),--($AR$5:$AR$220=$B$330),$U$5:$U$220,$J$5:$J$220)/SUMIFS($J$5:$J$220,$F$5:$F$220,F333,$AR$5:$AR$220,$B$330),"")</f>
        <v>0</v>
      </c>
      <c r="V333" s="254" cm="1">
        <f t="array" ref="V333">IFERROR(SUMPRODUCT(--($F$5:$F$220=F333),--($AR$5:$AR$220=$B$330),$V$5:$V$220,$J$5:$J$220)/SUMIFS($J$5:$J$220,$F$5:$F$220,F333,$AR$5:$AR$220,$B$330),"")</f>
        <v>1</v>
      </c>
      <c r="W333" s="254" cm="1">
        <f t="array" ref="W333">IFERROR(SUMPRODUCT(--($F$5:$F$220=F333),--($AR$5:$AR$220=$B$330),$W$5:$W$220,$J$5:$J$220)/SUMIFS($J$5:$J$220,$F$5:$F$220,F333,$AR$5:$AR$220,$B$330),"")</f>
        <v>9</v>
      </c>
      <c r="X333" s="256" cm="1">
        <f t="array" ref="X333">IFERROR((IFERROR(SUMPRODUCT(--($F$5:$F$220=F333),--($N$5:$N$220&gt;0),--($AR$5:$AR$220=$B$330),$J$5:$J$220,$Q$5:$Q$220)/SUMIFS($J$5:$J$220,$F$5:$F$220,F333,$N$5:$N$220,"&gt;0",$AR$5:$AR$220,$B$330),""))/N333-1,"NA")</f>
        <v>2.8481012658227556E-2</v>
      </c>
      <c r="Y333" s="256"/>
      <c r="Z333" s="289">
        <f t="shared" si="209"/>
        <v>1.7214397496087885E-2</v>
      </c>
      <c r="AA333" s="301"/>
      <c r="AG333" s="290"/>
      <c r="AH333" s="290"/>
    </row>
    <row r="334" spans="1:63">
      <c r="B334" s="291"/>
      <c r="F334" s="184" t="s">
        <v>144</v>
      </c>
      <c r="H334" s="184">
        <f t="shared" si="207"/>
        <v>18</v>
      </c>
      <c r="I334" s="300" cm="1">
        <f t="array" ref="I334">IFERROR(SUMPRODUCT(--($F$5:$F$220=F334),--($AR$5:$AR$220=$B$330),$J$5:$J$220,$I$5:$I$220)/SUMIFS($J$5:$J$220,$F$5:$F$220,F334,$AR$5:$AR$220,$B$330)/12,"")</f>
        <v>5.2341698135396113</v>
      </c>
      <c r="J334" s="253">
        <f t="shared" si="208"/>
        <v>382655</v>
      </c>
      <c r="K334" s="253"/>
      <c r="L334" s="253"/>
      <c r="M334" s="253"/>
      <c r="N334" s="254" cm="1">
        <f t="array" ref="N334">IFERROR(SUMPRODUCT(--($F$5:$F$220=F334),--($AR$5:$AR$220=$B$330),$J$5:$J$220,$N$5:$N$220)/SUMIFS($J$5:$J$220,$F$5:$F$220,F334,$AR$5:$AR$220,$B$330,$N$5:$N$220,"&gt;0"),"")</f>
        <v>6.0090493740843156</v>
      </c>
      <c r="O334" s="254" cm="1">
        <f t="array" ref="O334">IFERROR(SUMPRODUCT(--($F$5:$F$220=F334),--($AR$5:$AR$220=$B$330),$J$5:$J$220,$O$5:$O$220)/SUMIFS($J$5:$J$220,$F$5:$F$220,F334,$AR$5:$AR$220,$B$330),"")</f>
        <v>6.635837425357046</v>
      </c>
      <c r="P334" s="255" cm="1">
        <f t="array" ref="P334">IFERROR(SUMPRODUCT(--($F$5:$F$220=F334),--($AR$5:$AR$220=$B$330),$J$5:$J$220,$P$5:$P$220)/SUMIFS($J$5:$J$220,$F$5:$F$220,F334,$AR$5:$AR$220,$B$330,$P$5:$P$220,"&gt;0"),"")</f>
        <v>7.848880649589578</v>
      </c>
      <c r="Q334" s="254" cm="1">
        <f t="array" ref="Q334">IFERROR(SUMPRODUCT(--($F$5:$F$220=F334),--($AR$5:$AR$220=$B$330),$J$5:$J$220,$Q$5:$Q$220)/SUMIFS($J$5:$J$220,$AR$5:$AR$220,$B$330,$F$5:$F$220,F334),"")</f>
        <v>7.5874105917863348</v>
      </c>
      <c r="R334" s="254" cm="1">
        <f t="array" ref="R334">SUMPRODUCT(--($F$5:$F$220=F334),--($I$5:$I$220&gt;12),--($AR$5:$AR$220=$B$330),$R$5:$R$220,$J$5:$J$220)/SUMIFS($J$5:$J$220,$I$5:$I$220,"&gt;12",$F$5:$F$220,F334,$AR$5:$AR$220,$B$330)</f>
        <v>3.7530477845578916</v>
      </c>
      <c r="S334" s="254" cm="1">
        <f t="array" ref="S334">SUMPRODUCT(--($F$5:$F$220=F334),--($I$5:$I$220&gt;12),--($AR$5:$AR$220=$B$330),$S$5:$S$220,$J$5:$J$220)/SUMIFS($J$5:$J$220,$I$5:$I$220,"&gt;12",$F$5:$F$220,F334,$AR$5:$AR$220,$B$330)</f>
        <v>2.701507885693379</v>
      </c>
      <c r="T334" s="254" cm="1">
        <f t="array" ref="T334">IFERROR(SUMPRODUCT(--($F$5:$F$220=F334),--($AR$5:$AR$220=$B$330),$T$5:$T$220,$J$5:$J$220)/SUMIFS($J$5:$J$220,$F$5:$F$220,F334,$AR$5:$AR$220,$B$330),"")</f>
        <v>17.341048043639066</v>
      </c>
      <c r="U334" s="254" cm="1">
        <f t="array" ref="U334">IFERROR(SUMPRODUCT(--($F$5:$F$220=F334),--($AR$5:$AR$220=$B$330),$U$5:$U$220,$J$5:$J$220)/SUMIFS($J$5:$J$220,$F$5:$F$220,F334,$AR$5:$AR$220,$B$330),"")</f>
        <v>18.377732343756122</v>
      </c>
      <c r="V334" s="254" cm="1">
        <f t="array" ref="V334">IFERROR(SUMPRODUCT(--($F$5:$F$220=F334),--($AR$5:$AR$220=$B$330),$V$5:$V$220,$J$5:$J$220)/SUMIFS($J$5:$J$220,$F$5:$F$220,F334,$AR$5:$AR$220,$B$330),"")</f>
        <v>3.1711541728188579</v>
      </c>
      <c r="W334" s="254" cm="1">
        <f t="array" ref="W334">IFERROR(SUMPRODUCT(--($F$5:$F$220=F334),--($AR$5:$AR$220=$B$330),$W$5:$W$220,$J$5:$J$220)/SUMIFS($J$5:$J$220,$F$5:$F$220,F334,$AR$5:$AR$220,$B$330),"")</f>
        <v>7.3166563876076358</v>
      </c>
      <c r="X334" s="256" cm="1">
        <f t="array" ref="X334">IFERROR((IFERROR(SUMPRODUCT(--($F$5:$F$220=F334),--($N$5:$N$220&gt;0),--($AR$5:$AR$220=$B$330),$J$5:$J$220,$Q$5:$Q$220)/SUMIFS($J$5:$J$220,$F$5:$F$220,F334,$N$5:$N$220,"&gt;0",$AR$5:$AR$220,$B$330),""))/N334-1,"NA")</f>
        <v>0.24674830112740809</v>
      </c>
      <c r="Y334" s="256"/>
      <c r="Z334" s="289">
        <f t="shared" si="209"/>
        <v>0.14339910781917453</v>
      </c>
      <c r="AA334" s="204"/>
      <c r="AG334" s="290"/>
      <c r="AH334" s="290"/>
    </row>
    <row r="335" spans="1:63">
      <c r="B335" s="291"/>
      <c r="F335" s="184" t="s">
        <v>185</v>
      </c>
      <c r="H335" s="184">
        <f t="shared" si="207"/>
        <v>4</v>
      </c>
      <c r="I335" s="300" cm="1">
        <f t="array" ref="I335">IFERROR(SUMPRODUCT(--($F$5:$F$220=F335),--($AR$5:$AR$220=$B$330),$J$5:$J$220,$I$5:$I$220)/SUMIFS($J$5:$J$220,$F$5:$F$220,F335,$AR$5:$AR$220,$B$330)/12,"")</f>
        <v>4.7258563295420384</v>
      </c>
      <c r="J335" s="253">
        <f t="shared" si="208"/>
        <v>319328</v>
      </c>
      <c r="K335" s="253"/>
      <c r="L335" s="253"/>
      <c r="M335" s="253"/>
      <c r="N335" s="254" cm="1">
        <f t="array" ref="N335">IFERROR(SUMPRODUCT(--($F$5:$F$220=F335),--($AR$5:$AR$220=$B$330),$J$5:$J$220,$N$5:$N$220)/SUMIFS($J$5:$J$220,$F$5:$F$220,F335,$AR$5:$AR$220,$B$330,$N$5:$N$220,"&gt;0"),"")</f>
        <v>4.0802756711805079</v>
      </c>
      <c r="O335" s="254" cm="1">
        <f t="array" ref="O335">IFERROR(SUMPRODUCT(--($F$5:$F$220=F335),--($AR$5:$AR$220=$B$330),$J$5:$J$220,$O$5:$O$220)/SUMIFS($J$5:$J$220,$F$5:$F$220,F335,$AR$5:$AR$220,$B$330),"")</f>
        <v>3.3446209226876435</v>
      </c>
      <c r="P335" s="255" cm="1">
        <f t="array" ref="P335">IFERROR(SUMPRODUCT(--($F$5:$F$220=F335),--($AR$5:$AR$220=$B$330),$J$5:$J$220,$P$5:$P$220)/SUMIFS($J$5:$J$220,$F$5:$F$220,F335,$AR$5:$AR$220,$B$330,$P$5:$P$220,"&gt;0"),"")</f>
        <v>5</v>
      </c>
      <c r="Q335" s="254" cm="1">
        <f t="array" ref="Q335">IFERROR(SUMPRODUCT(--($F$5:$F$220=F335),--($AR$5:$AR$220=$B$330),$J$5:$J$220,$Q$5:$Q$220)/SUMIFS($J$5:$J$220,$AR$5:$AR$220,$B$330,$F$5:$F$220,F335),"")</f>
        <v>3.6690971352339914</v>
      </c>
      <c r="R335" s="254" cm="1">
        <f t="array" ref="R335">SUMPRODUCT(--($F$5:$F$220=F335),--($I$5:$I$220&gt;12),--($AR$5:$AR$220=$B$330),$R$5:$R$220,$J$5:$J$220)/SUMIFS($J$5:$J$220,$I$5:$I$220,"&gt;12",$F$5:$F$220,F335,$AR$5:$AR$220,$B$330)</f>
        <v>3.5260002254734948</v>
      </c>
      <c r="S335" s="254" cm="1">
        <f t="array" ref="S335">SUMPRODUCT(--($F$5:$F$220=F335),--($I$5:$I$220&gt;12),--($AR$5:$AR$220=$B$330),$S$5:$S$220,$J$5:$J$220)/SUMIFS($J$5:$J$220,$I$5:$I$220,"&gt;12",$F$5:$F$220,F335,$AR$5:$AR$220,$B$330)</f>
        <v>3.3478774175769117</v>
      </c>
      <c r="T335" s="254" cm="1">
        <f t="array" ref="T335">IFERROR(SUMPRODUCT(--($F$5:$F$220=F335),--($AR$5:$AR$220=$B$330),$T$5:$T$220,$J$5:$J$220)/SUMIFS($J$5:$J$220,$F$5:$F$220,F335,$AR$5:$AR$220,$B$330),"")</f>
        <v>16.566492857659405</v>
      </c>
      <c r="U335" s="254" cm="1">
        <f t="array" ref="U335">IFERROR(SUMPRODUCT(--($F$5:$F$220=F335),--($AR$5:$AR$220=$B$330),$U$5:$U$220,$J$5:$J$220)/SUMIFS($J$5:$J$220,$F$5:$F$220,F335,$AR$5:$AR$220,$B$330),"")</f>
        <v>14.833021657981764</v>
      </c>
      <c r="V335" s="254" cm="1">
        <f t="array" ref="V335">IFERROR(SUMPRODUCT(--($F$5:$F$220=F335),--($AR$5:$AR$220=$B$330),$V$5:$V$220,$J$5:$J$220)/SUMIFS($J$5:$J$220,$F$5:$F$220,F335,$AR$5:$AR$220,$B$330),"")</f>
        <v>0</v>
      </c>
      <c r="W335" s="254" cm="1">
        <f t="array" ref="W335">IFERROR(SUMPRODUCT(--($F$5:$F$220=F335),--($AR$5:$AR$220=$B$330),$W$5:$W$220,$J$5:$J$220)/SUMIFS($J$5:$J$220,$F$5:$F$220,F335,$AR$5:$AR$220,$B$330),"")</f>
        <v>7.8093054476901482</v>
      </c>
      <c r="X335" s="256" cm="1">
        <f t="array" ref="X335">IFERROR((IFERROR(SUMPRODUCT(--($F$5:$F$220=F335),--($N$5:$N$220&gt;0),--($AR$5:$AR$220=$B$330),$J$5:$J$220,$Q$5:$Q$220)/SUMIFS($J$5:$J$220,$F$5:$F$220,F335,$N$5:$N$220,"&gt;0",$AR$5:$AR$220,$B$330),""))/N335-1,"NA")</f>
        <v>-1.682946874291702E-2</v>
      </c>
      <c r="Y335" s="256"/>
      <c r="Z335" s="289">
        <f t="shared" si="209"/>
        <v>9.701434633303907E-2</v>
      </c>
      <c r="AG335" s="290"/>
      <c r="AH335" s="290"/>
    </row>
    <row r="336" spans="1:63">
      <c r="B336" s="291"/>
      <c r="F336" s="184" t="s">
        <v>214</v>
      </c>
      <c r="H336" s="184">
        <f t="shared" si="207"/>
        <v>7</v>
      </c>
      <c r="I336" s="300" cm="1">
        <f t="array" ref="I336">IFERROR(SUMPRODUCT(--($F$5:$F$220=F336),--($AR$5:$AR$220=$B$330),$J$5:$J$220,$I$5:$I$220)/SUMIFS($J$5:$J$220,$F$5:$F$220,F336,$AR$5:$AR$220,$B$330)/12,"")</f>
        <v>4.5067871577823535</v>
      </c>
      <c r="J336" s="253">
        <f t="shared" si="208"/>
        <v>56823</v>
      </c>
      <c r="K336" s="253"/>
      <c r="L336" s="253"/>
      <c r="M336" s="253"/>
      <c r="N336" s="254" cm="1">
        <f t="array" ref="N336">IFERROR(SUMPRODUCT(--($F$5:$F$220=F336),--($AR$5:$AR$220=$B$330),$J$5:$J$220,$N$5:$N$220)/SUMIFS($J$5:$J$220,$F$5:$F$220,F336,$AR$5:$AR$220,$B$330,$N$5:$N$220,"&gt;0"),"")</f>
        <v>5.7302615138236286</v>
      </c>
      <c r="O336" s="254" cm="1">
        <f t="array" ref="O336">IFERROR(SUMPRODUCT(--($F$5:$F$220=F336),--($AR$5:$AR$220=$B$330),$J$5:$J$220,$O$5:$O$220)/SUMIFS($J$5:$J$220,$F$5:$F$220,F336,$AR$5:$AR$220,$B$330),"")</f>
        <v>5.9556403217007192</v>
      </c>
      <c r="P336" s="255" cm="1">
        <f t="array" ref="P336">IFERROR(SUMPRODUCT(--($F$5:$F$220=F336),--($AR$5:$AR$220=$B$330),$J$5:$J$220,$P$5:$P$220)/SUMIFS($J$5:$J$220,$F$5:$F$220,F336,$AR$5:$AR$220,$B$330,$P$5:$P$220,"&gt;0"),"")</f>
        <v>8.1324981359113462</v>
      </c>
      <c r="Q336" s="254" cm="1">
        <f t="array" ref="Q336">IFERROR(SUMPRODUCT(--($F$5:$F$220=F336),--($AR$5:$AR$220=$B$330),$J$5:$J$220,$Q$5:$Q$220)/SUMIFS($J$5:$J$220,$AR$5:$AR$220,$B$330,$F$5:$F$220,F336),"")</f>
        <v>8.2921352269327553</v>
      </c>
      <c r="R336" s="254" cm="1">
        <f t="array" ref="R336">SUMPRODUCT(--($F$5:$F$220=F336),--($I$5:$I$220&gt;12),--($AR$5:$AR$220=$B$330),$R$5:$R$220,$J$5:$J$220)/SUMIFS($J$5:$J$220,$I$5:$I$220,"&gt;12",$F$5:$F$220,F336,$AR$5:$AR$220,$B$330)</f>
        <v>3.8220526899318936</v>
      </c>
      <c r="S336" s="254" cm="1">
        <f t="array" ref="S336">SUMPRODUCT(--($F$5:$F$220=F336),--($I$5:$I$220&gt;12),--($AR$5:$AR$220=$B$330),$S$5:$S$220,$J$5:$J$220)/SUMIFS($J$5:$J$220,$I$5:$I$220,"&gt;12",$F$5:$F$220,F336,$AR$5:$AR$220,$B$330)</f>
        <v>2.9481459972194357</v>
      </c>
      <c r="T336" s="254" cm="1">
        <f t="array" ref="T336">IFERROR(SUMPRODUCT(--($F$5:$F$220=F336),--($AR$5:$AR$220=$B$330),$T$5:$T$220,$J$5:$J$220)/SUMIFS($J$5:$J$220,$F$5:$F$220,F336,$AR$5:$AR$220,$B$330),"")</f>
        <v>14.13655385396895</v>
      </c>
      <c r="U336" s="254" cm="1">
        <f t="array" ref="U336">IFERROR(SUMPRODUCT(--($F$5:$F$220=F336),--($AR$5:$AR$220=$B$330),$U$5:$U$220,$J$5:$J$220)/SUMIFS($J$5:$J$220,$F$5:$F$220,F336,$AR$5:$AR$220,$B$330),"")</f>
        <v>12.076733013040494</v>
      </c>
      <c r="V336" s="254" cm="1">
        <f t="array" ref="V336">IFERROR(SUMPRODUCT(--($F$5:$F$220=F336),--($AR$5:$AR$220=$B$330),$V$5:$V$220,$J$5:$J$220)/SUMIFS($J$5:$J$220,$F$5:$F$220,F336,$AR$5:$AR$220,$B$330),"")</f>
        <v>5.6732309100188303</v>
      </c>
      <c r="W336" s="254" cm="1">
        <f t="array" ref="W336">IFERROR(SUMPRODUCT(--($F$5:$F$220=F336),--($AR$5:$AR$220=$B$330),$W$5:$W$220,$J$5:$J$220)/SUMIFS($J$5:$J$220,$F$5:$F$220,F336,$AR$5:$AR$220,$B$330),"")</f>
        <v>8.7128574696865702</v>
      </c>
      <c r="X336" s="256" cm="1">
        <f t="array" ref="X336">IFERROR((IFERROR(SUMPRODUCT(--($F$5:$F$220=F336),--($N$5:$N$220&gt;0),--($AR$5:$AR$220=$B$330),$J$5:$J$220,$Q$5:$Q$220)/SUMIFS($J$5:$J$220,$F$5:$F$220,F336,$N$5:$N$220,"&gt;0",$AR$5:$AR$220,$B$330),""))/N336-1,"NA")</f>
        <v>0.44707797487582135</v>
      </c>
      <c r="Y336" s="256"/>
      <c r="Z336" s="289">
        <f t="shared" si="209"/>
        <v>0.39231632184342802</v>
      </c>
      <c r="AG336" s="290"/>
      <c r="AH336" s="290"/>
    </row>
    <row r="337" spans="1:34">
      <c r="B337" s="291"/>
      <c r="F337" s="184" t="s">
        <v>244</v>
      </c>
      <c r="H337" s="184">
        <f t="shared" si="207"/>
        <v>9</v>
      </c>
      <c r="I337" s="300" cm="1">
        <f t="array" ref="I337">IFERROR(SUMPRODUCT(--($F$5:$F$220=F337),--($AR$5:$AR$220=$B$330),$J$5:$J$220,$I$5:$I$220)/SUMIFS($J$5:$J$220,$F$5:$F$220,F337,$AR$5:$AR$220,$B$330)/12,"")</f>
        <v>4.7839549066413785</v>
      </c>
      <c r="J337" s="253">
        <f t="shared" si="208"/>
        <v>244648</v>
      </c>
      <c r="K337" s="253"/>
      <c r="L337" s="253"/>
      <c r="M337" s="253"/>
      <c r="N337" s="254" cm="1">
        <f t="array" ref="N337">IFERROR(SUMPRODUCT(--($F$5:$F$220=F337),--($AR$5:$AR$220=$B$330),$J$5:$J$220,$N$5:$N$220)/SUMIFS($J$5:$J$220,$F$5:$F$220,F337,$AR$5:$AR$220,$B$330,$N$5:$N$220,"&gt;0"),"")</f>
        <v>4.0810746230155397</v>
      </c>
      <c r="O337" s="254" cm="1">
        <f t="array" ref="O337">IFERROR(SUMPRODUCT(--($F$5:$F$220=F337),--($AR$5:$AR$220=$B$330),$J$5:$J$220,$O$5:$O$220)/SUMIFS($J$5:$J$220,$F$5:$F$220,F337,$AR$5:$AR$220,$B$330),"")</f>
        <v>5.3353684477289827</v>
      </c>
      <c r="P337" s="255" cm="1">
        <f t="array" ref="P337">IFERROR(SUMPRODUCT(--($F$5:$F$220=F337),--($AR$5:$AR$220=$B$330),$J$5:$J$220,$P$5:$P$220)/SUMIFS($J$5:$J$220,$F$5:$F$220,F337,$AR$5:$AR$220,$B$330,$P$5:$P$220,"&gt;0"),"")</f>
        <v>7.8909332441848186</v>
      </c>
      <c r="Q337" s="254" cm="1">
        <f t="array" ref="Q337">IFERROR(SUMPRODUCT(--($F$5:$F$220=F337),--($AR$5:$AR$220=$B$330),$J$5:$J$220,$Q$5:$Q$220)/SUMIFS($J$5:$J$220,$AR$5:$AR$220,$B$330,$F$5:$F$220,F337),"")</f>
        <v>6.133201170661521</v>
      </c>
      <c r="R337" s="254" cm="1">
        <f t="array" ref="R337">SUMPRODUCT(--($F$5:$F$220=F337),--($I$5:$I$220&gt;12),--($AR$5:$AR$220=$B$330),$R$5:$R$220,$J$5:$J$220)/SUMIFS($J$5:$J$220,$I$5:$I$220,"&gt;12",$F$5:$F$220,F337,$AR$5:$AR$220,$B$330)</f>
        <v>3.4787694974003465</v>
      </c>
      <c r="S337" s="254" cm="1">
        <f t="array" ref="S337">SUMPRODUCT(--($F$5:$F$220=F337),--($I$5:$I$220&gt;12),--($AR$5:$AR$220=$B$330),$S$5:$S$220,$J$5:$J$220)/SUMIFS($J$5:$J$220,$I$5:$I$220,"&gt;12",$F$5:$F$220,F337,$AR$5:$AR$220,$B$330)</f>
        <v>3</v>
      </c>
      <c r="T337" s="254" cm="1">
        <f t="array" ref="T337">IFERROR(SUMPRODUCT(--($F$5:$F$220=F337),--($AR$5:$AR$220=$B$330),$T$5:$T$220,$J$5:$J$220)/SUMIFS($J$5:$J$220,$F$5:$F$220,F337,$AR$5:$AR$220,$B$330),"")</f>
        <v>11.153517149771977</v>
      </c>
      <c r="U337" s="254" cm="1">
        <f t="array" ref="U337">IFERROR(SUMPRODUCT(--($F$5:$F$220=F337),--($AR$5:$AR$220=$B$330),$U$5:$U$220,$J$5:$J$220)/SUMIFS($J$5:$J$220,$F$5:$F$220,F337,$AR$5:$AR$220,$B$330),"")</f>
        <v>15.830897779667112</v>
      </c>
      <c r="V337" s="254" cm="1">
        <f t="array" ref="V337">IFERROR(SUMPRODUCT(--($F$5:$F$220=F337),--($AR$5:$AR$220=$B$330),$V$5:$V$220,$J$5:$J$220)/SUMIFS($J$5:$J$220,$F$5:$F$220,F337,$AR$5:$AR$220,$B$330),"")</f>
        <v>4.0777198260357741</v>
      </c>
      <c r="W337" s="254" cm="1">
        <f t="array" ref="W337">IFERROR(SUMPRODUCT(--($F$5:$F$220=F337),--($AR$5:$AR$220=$B$330),$W$5:$W$220,$J$5:$J$220)/SUMIFS($J$5:$J$220,$F$5:$F$220,F337,$AR$5:$AR$220,$B$330),"")</f>
        <v>3.6636982930577808</v>
      </c>
      <c r="X337" s="256" cm="1">
        <f t="array" ref="X337">IFERROR((IFERROR(SUMPRODUCT(--($F$5:$F$220=F337),--($N$5:$N$220&gt;0),--($AR$5:$AR$220=$B$330),$J$5:$J$220,$Q$5:$Q$220)/SUMIFS($J$5:$J$220,$F$5:$F$220,F337,$N$5:$N$220,"&gt;0",$AR$5:$AR$220,$B$330),""))/N337-1,"NA")</f>
        <v>0.4546728560310731</v>
      </c>
      <c r="Y337" s="256"/>
      <c r="Z337" s="289">
        <f t="shared" si="209"/>
        <v>0.1495365747930939</v>
      </c>
      <c r="AG337" s="290"/>
      <c r="AH337" s="290"/>
    </row>
    <row r="338" spans="1:34">
      <c r="B338" s="291"/>
      <c r="F338" s="184" t="s">
        <v>181</v>
      </c>
      <c r="H338" s="184">
        <f t="shared" si="207"/>
        <v>19</v>
      </c>
      <c r="I338" s="300" cm="1">
        <f t="array" ref="I338">IFERROR(SUMPRODUCT(--($F$5:$F$220=F338),--($AR$5:$AR$220=$B$330),$J$5:$J$220,$I$5:$I$220)/SUMIFS($J$5:$J$220,$F$5:$F$220,F338,$AR$5:$AR$220,$B$330)/12,"")</f>
        <v>6.5501370918052997</v>
      </c>
      <c r="J338" s="253">
        <f t="shared" si="208"/>
        <v>486900</v>
      </c>
      <c r="K338" s="253"/>
      <c r="L338" s="253"/>
      <c r="M338" s="253"/>
      <c r="N338" s="254" cm="1">
        <f t="array" ref="N338">IFERROR(SUMPRODUCT(--($F$5:$F$220=F338),--($AR$5:$AR$220=$B$330),$J$5:$J$220,$N$5:$N$220)/SUMIFS($J$5:$J$220,$F$5:$F$220,F338,$AR$5:$AR$220,$B$330,$N$5:$N$220,"&gt;0"),"")</f>
        <v>5.2768538299575924</v>
      </c>
      <c r="O338" s="254" cm="1">
        <f t="array" ref="O338">IFERROR(SUMPRODUCT(--($F$5:$F$220=F338),--($AR$5:$AR$220=$B$330),$J$5:$J$220,$O$5:$O$220)/SUMIFS($J$5:$J$220,$F$5:$F$220,F338,$AR$5:$AR$220,$B$330),"")</f>
        <v>7.0969240911891545</v>
      </c>
      <c r="P338" s="255" cm="1">
        <f t="array" ref="P338">IFERROR(SUMPRODUCT(--($F$5:$F$220=F338),--($AR$5:$AR$220=$B$330),$J$5:$J$220,$P$5:$P$220)/SUMIFS($J$5:$J$220,$F$5:$F$220,F338,$AR$5:$AR$220,$B$330,$P$5:$P$220,"&gt;0"),"")</f>
        <v>9.8479749273977948</v>
      </c>
      <c r="Q338" s="254" cm="1">
        <f t="array" ref="Q338">IFERROR(SUMPRODUCT(--($F$5:$F$220=F338),--($AR$5:$AR$220=$B$330),$J$5:$J$220,$Q$5:$Q$220)/SUMIFS($J$5:$J$220,$AR$5:$AR$220,$B$330,$F$5:$F$220,F338),"")</f>
        <v>9.5832846580406645</v>
      </c>
      <c r="R338" s="254" cm="1">
        <f t="array" ref="R338">SUMPRODUCT(--($F$5:$F$220=F338),--($I$5:$I$220&gt;12),--($AR$5:$AR$220=$B$330),$R$5:$R$220,$J$5:$J$220)/SUMIFS($J$5:$J$220,$I$5:$I$220,"&gt;12",$F$5:$F$220,F338,$AR$5:$AR$220,$B$330)</f>
        <v>3.8801283631135757</v>
      </c>
      <c r="S338" s="254" cm="1">
        <f t="array" ref="S338">SUMPRODUCT(--($F$5:$F$220=F338),--($I$5:$I$220&gt;12),--($AR$5:$AR$220=$B$330),$S$5:$S$220,$J$5:$J$220)/SUMIFS($J$5:$J$220,$I$5:$I$220,"&gt;12",$F$5:$F$220,F338,$AR$5:$AR$220,$B$330)</f>
        <v>2.9269675498048882</v>
      </c>
      <c r="T338" s="254" cm="1">
        <f t="array" ref="T338">IFERROR(SUMPRODUCT(--($F$5:$F$220=F338),--($AR$5:$AR$220=$B$330),$T$5:$T$220,$J$5:$J$220)/SUMIFS($J$5:$J$220,$F$5:$F$220,F338,$AR$5:$AR$220,$B$330),"")</f>
        <v>8.4415615468867546</v>
      </c>
      <c r="U338" s="254" cm="1">
        <f t="array" ref="U338">IFERROR(SUMPRODUCT(--($F$5:$F$220=F338),--($AR$5:$AR$220=$B$330),$U$5:$U$220,$J$5:$J$220)/SUMIFS($J$5:$J$220,$F$5:$F$220,F338,$AR$5:$AR$220,$B$330),"")</f>
        <v>28.715975806120351</v>
      </c>
      <c r="V338" s="254" cm="1">
        <f t="array" ref="V338">IFERROR(SUMPRODUCT(--($F$5:$F$220=F338),--($AR$5:$AR$220=$B$330),$V$5:$V$220,$J$5:$J$220)/SUMIFS($J$5:$J$220,$F$5:$F$220,F338,$AR$5:$AR$220,$B$330),"")</f>
        <v>7.2945799958923807</v>
      </c>
      <c r="W338" s="254" cm="1">
        <f t="array" ref="W338">IFERROR(SUMPRODUCT(--($F$5:$F$220=F338),--($AR$5:$AR$220=$B$330),$W$5:$W$220,$J$5:$J$220)/SUMIFS($J$5:$J$220,$F$5:$F$220,F338,$AR$5:$AR$220,$B$330),"")</f>
        <v>6.8429143766687206</v>
      </c>
      <c r="X338" s="256" cm="1">
        <f t="array" ref="X338">IFERROR((IFERROR(SUMPRODUCT(--($F$5:$F$220=F338),--($N$5:$N$220&gt;0),--($AR$5:$AR$220=$B$330),$J$5:$J$220,$Q$5:$Q$220)/SUMIFS($J$5:$J$220,$F$5:$F$220,F338,$N$5:$N$220,"&gt;0",$AR$5:$AR$220,$B$330),""))/N338-1,"NA")</f>
        <v>0.61549093510814412</v>
      </c>
      <c r="Y338" s="256"/>
      <c r="Z338" s="289">
        <f t="shared" si="209"/>
        <v>0.35034340721473001</v>
      </c>
      <c r="AG338" s="290"/>
      <c r="AH338" s="290"/>
    </row>
    <row r="339" spans="1:34">
      <c r="B339" s="291"/>
      <c r="F339" s="184" t="s">
        <v>600</v>
      </c>
      <c r="H339" s="184">
        <f t="shared" si="207"/>
        <v>1</v>
      </c>
      <c r="I339" s="300" cm="1">
        <f t="array" ref="I339">IFERROR(SUMPRODUCT(--($F$5:$F$220=F339),--($AR$5:$AR$220=$B$330),$J$5:$J$220,$I$5:$I$220)/SUMIFS($J$5:$J$220,$F$5:$F$220,F339,$AR$5:$AR$220,$B$330)/12,"")</f>
        <v>5</v>
      </c>
      <c r="J339" s="253">
        <f t="shared" si="208"/>
        <v>52896</v>
      </c>
      <c r="K339" s="253"/>
      <c r="L339" s="253"/>
      <c r="M339" s="253"/>
      <c r="N339" s="254" t="str" cm="1">
        <f t="array" ref="N339">IFERROR(SUMPRODUCT(--($F$5:$F$220=F339),--($AR$5:$AR$220=$B$330),$J$5:$J$220,$N$5:$N$220)/SUMIFS($J$5:$J$220,$F$5:$F$220,F339,$AR$5:$AR$220,$B$330,$N$5:$N$220,"&gt;0"),"")</f>
        <v/>
      </c>
      <c r="O339" s="254" cm="1">
        <f t="array" ref="O339">IFERROR(SUMPRODUCT(--($F$5:$F$220=F339),--($AR$5:$AR$220=$B$330),$J$5:$J$220,$O$5:$O$220)/SUMIFS($J$5:$J$220,$F$5:$F$220,F339,$AR$5:$AR$220,$B$330),"")</f>
        <v>7.8</v>
      </c>
      <c r="P339" s="255" t="str" cm="1">
        <f t="array" ref="P339">IFERROR(SUMPRODUCT(--($F$5:$F$220=F339),--($AR$5:$AR$220=$B$330),$J$5:$J$220,$P$5:$P$220)/SUMIFS($J$5:$J$220,$F$5:$F$220,F339,$AR$5:$AR$220,$B$330,$P$5:$P$220,"&gt;0"),"")</f>
        <v/>
      </c>
      <c r="Q339" s="254" cm="1">
        <f t="array" ref="Q339">IFERROR(SUMPRODUCT(--($F$5:$F$220=F339),--($AR$5:$AR$220=$B$330),$J$5:$J$220,$Q$5:$Q$220)/SUMIFS($J$5:$J$220,$AR$5:$AR$220,$B$330,$F$5:$F$220,F339),"")</f>
        <v>8.2799999999999994</v>
      </c>
      <c r="R339" s="254" cm="1">
        <f t="array" ref="R339">SUMPRODUCT(--($F$5:$F$220=F339),--($I$5:$I$220&gt;12),--($AR$5:$AR$220=$B$330),$R$5:$R$220,$J$5:$J$220)/SUMIFS($J$5:$J$220,$I$5:$I$220,"&gt;12",$F$5:$F$220,F339,$AR$5:$AR$220,$B$330)</f>
        <v>3</v>
      </c>
      <c r="S339" s="254" cm="1">
        <f t="array" ref="S339">SUMPRODUCT(--($F$5:$F$220=F339),--($I$5:$I$220&gt;12),--($AR$5:$AR$220=$B$330),$S$5:$S$220,$J$5:$J$220)/SUMIFS($J$5:$J$220,$I$5:$I$220,"&gt;12",$F$5:$F$220,F339,$AR$5:$AR$220,$B$330)</f>
        <v>2.5</v>
      </c>
      <c r="T339" s="254" cm="1">
        <f t="array" ref="T339">IFERROR(SUMPRODUCT(--($F$5:$F$220=F339),--($AR$5:$AR$220=$B$330),$T$5:$T$220,$J$5:$J$220)/SUMIFS($J$5:$J$220,$F$5:$F$220,F339,$AR$5:$AR$220,$B$330),"")</f>
        <v>11.2768542788</v>
      </c>
      <c r="U339" s="254" cm="1">
        <f t="array" ref="U339">IFERROR(SUMPRODUCT(--($F$5:$F$220=F339),--($AR$5:$AR$220=$B$330),$U$5:$U$220,$J$5:$J$220)/SUMIFS($J$5:$J$220,$F$5:$F$220,F339,$AR$5:$AR$220,$B$330),"")</f>
        <v>31.6</v>
      </c>
      <c r="V339" s="254" cm="1">
        <f t="array" ref="V339">IFERROR(SUMPRODUCT(--($F$5:$F$220=F339),--($AR$5:$AR$220=$B$330),$V$5:$V$220,$J$5:$J$220)/SUMIFS($J$5:$J$220,$F$5:$F$220,F339,$AR$5:$AR$220,$B$330),"")</f>
        <v>6</v>
      </c>
      <c r="W339" s="254" cm="1">
        <f t="array" ref="W339">IFERROR(SUMPRODUCT(--($F$5:$F$220=F339),--($AR$5:$AR$220=$B$330),$W$5:$W$220,$J$5:$J$220)/SUMIFS($J$5:$J$220,$F$5:$F$220,F339,$AR$5:$AR$220,$B$330),"")</f>
        <v>11.09</v>
      </c>
      <c r="X339" s="256" t="str" cm="1">
        <f t="array" ref="X339">IFERROR((IFERROR(SUMPRODUCT(--($F$5:$F$220=F339),--($N$5:$N$220&gt;0),--($AR$5:$AR$220=$B$330),$J$5:$J$220,$Q$5:$Q$220)/SUMIFS($J$5:$J$220,$F$5:$F$220,F339,$N$5:$N$220,"&gt;0",$AR$5:$AR$220,$B$330),""))/N339-1,"NA")</f>
        <v>NA</v>
      </c>
      <c r="Y339" s="256"/>
      <c r="Z339" s="289">
        <f t="shared" si="209"/>
        <v>6.1538461538461542E-2</v>
      </c>
      <c r="AG339" s="290"/>
      <c r="AH339" s="290"/>
    </row>
    <row r="340" spans="1:34">
      <c r="B340" s="291"/>
      <c r="F340" s="184" t="s">
        <v>221</v>
      </c>
      <c r="H340" s="184">
        <f t="shared" si="207"/>
        <v>1</v>
      </c>
      <c r="I340" s="300" cm="1">
        <f t="array" ref="I340">IFERROR(SUMPRODUCT(--($F$5:$F$220=F340),--($AR$5:$AR$220=$B$330),$J$5:$J$220,$I$5:$I$220)/SUMIFS($J$5:$J$220,$F$5:$F$220,F340,$AR$5:$AR$220,$B$330)/12,"")</f>
        <v>3</v>
      </c>
      <c r="J340" s="253">
        <f t="shared" si="208"/>
        <v>39000</v>
      </c>
      <c r="K340" s="253"/>
      <c r="L340" s="253"/>
      <c r="M340" s="253"/>
      <c r="N340" s="254" cm="1">
        <f t="array" ref="N340">IFERROR(SUMPRODUCT(--($F$5:$F$220=F340),--($AR$5:$AR$220=$B$330),$J$5:$J$220,$N$5:$N$220)/SUMIFS($J$5:$J$220,$F$5:$F$220,F340,$AR$5:$AR$220,$B$330,$N$5:$N$220,"&gt;0"),"")</f>
        <v>4.25</v>
      </c>
      <c r="O340" s="254" cm="1">
        <f t="array" ref="O340">IFERROR(SUMPRODUCT(--($F$5:$F$220=F340),--($AR$5:$AR$220=$B$330),$J$5:$J$220,$O$5:$O$220)/SUMIFS($J$5:$J$220,$F$5:$F$220,F340,$AR$5:$AR$220,$B$330),"")</f>
        <v>4.6349999999999998</v>
      </c>
      <c r="P340" s="255" cm="1">
        <f t="array" ref="P340">IFERROR(SUMPRODUCT(--($F$5:$F$220=F340),--($AR$5:$AR$220=$B$330),$J$5:$J$220,$P$5:$P$220)/SUMIFS($J$5:$J$220,$F$5:$F$220,F340,$AR$5:$AR$220,$B$330,$P$5:$P$220,"&gt;0"),"")</f>
        <v>4.43</v>
      </c>
      <c r="Q340" s="254" cm="1">
        <f t="array" ref="Q340">IFERROR(SUMPRODUCT(--($F$5:$F$220=F340),--($AR$5:$AR$220=$B$330),$J$5:$J$220,$Q$5:$Q$220)/SUMIFS($J$5:$J$220,$AR$5:$AR$220,$B$330,$F$5:$F$220,F340),"")</f>
        <v>5.75</v>
      </c>
      <c r="R340" s="254" cm="1">
        <f t="array" ref="R340">SUMPRODUCT(--($F$5:$F$220=F340),--($I$5:$I$220&gt;12),--($AR$5:$AR$220=$B$330),$R$5:$R$220,$J$5:$J$220)/SUMIFS($J$5:$J$220,$I$5:$I$220,"&gt;12",$F$5:$F$220,F340,$AR$5:$AR$220,$B$330)</f>
        <v>6</v>
      </c>
      <c r="S340" s="254" cm="1">
        <f t="array" ref="S340">SUMPRODUCT(--($F$5:$F$220=F340),--($I$5:$I$220&gt;12),--($AR$5:$AR$220=$B$330),$S$5:$S$220,$J$5:$J$220)/SUMIFS($J$5:$J$220,$I$5:$I$220,"&gt;12",$F$5:$F$220,F340,$AR$5:$AR$220,$B$330)</f>
        <v>3</v>
      </c>
      <c r="T340" s="254" cm="1">
        <f t="array" ref="T340">IFERROR(SUMPRODUCT(--($F$5:$F$220=F340),--($AR$5:$AR$220=$B$330),$T$5:$T$220,$J$5:$J$220)/SUMIFS($J$5:$J$220,$F$5:$F$220,F340,$AR$5:$AR$220,$B$330),"")</f>
        <v>10.650318669100001</v>
      </c>
      <c r="U340" s="254" cm="1">
        <f t="array" ref="U340">IFERROR(SUMPRODUCT(--($F$5:$F$220=F340),--($AR$5:$AR$220=$B$330),$U$5:$U$220,$J$5:$J$220)/SUMIFS($J$5:$J$220,$F$5:$F$220,F340,$AR$5:$AR$220,$B$330),"")</f>
        <v>13.09</v>
      </c>
      <c r="V340" s="254" cm="1">
        <f t="array" ref="V340">IFERROR(SUMPRODUCT(--($F$5:$F$220=F340),--($AR$5:$AR$220=$B$330),$V$5:$V$220,$J$5:$J$220)/SUMIFS($J$5:$J$220,$F$5:$F$220,F340,$AR$5:$AR$220,$B$330),"")</f>
        <v>0</v>
      </c>
      <c r="W340" s="254" cm="1">
        <f t="array" ref="W340">IFERROR(SUMPRODUCT(--($F$5:$F$220=F340),--($AR$5:$AR$220=$B$330),$W$5:$W$220,$J$5:$J$220)/SUMIFS($J$5:$J$220,$F$5:$F$220,F340,$AR$5:$AR$220,$B$330),"")</f>
        <v>8.09</v>
      </c>
      <c r="X340" s="256" cm="1">
        <f t="array" ref="X340">IFERROR((IFERROR(SUMPRODUCT(--($F$5:$F$220=F340),--($N$5:$N$220&gt;0),--($AR$5:$AR$220=$B$330),$J$5:$J$220,$Q$5:$Q$220)/SUMIFS($J$5:$J$220,$F$5:$F$220,F340,$N$5:$N$220,"&gt;0",$AR$5:$AR$220,$B$330),""))/N340-1,"NA")</f>
        <v>0.35294117647058831</v>
      </c>
      <c r="Y340" s="256"/>
      <c r="Z340" s="289">
        <f t="shared" si="209"/>
        <v>0.24056094929881344</v>
      </c>
      <c r="AG340" s="290"/>
      <c r="AH340" s="290"/>
    </row>
    <row r="341" spans="1:34">
      <c r="B341" s="291"/>
      <c r="F341" s="184" t="s">
        <v>158</v>
      </c>
      <c r="H341" s="184">
        <f t="shared" si="207"/>
        <v>9</v>
      </c>
      <c r="I341" s="300" cm="1">
        <f t="array" ref="I341">IFERROR(SUMPRODUCT(--($F$5:$F$220=F341),--($AR$5:$AR$220=$B$330),$J$5:$J$220,$I$5:$I$220)/SUMIFS($J$5:$J$220,$F$5:$F$220,F341,$AR$5:$AR$220,$B$330)/12,"")</f>
        <v>4.0606699021724113</v>
      </c>
      <c r="J341" s="253">
        <f t="shared" si="208"/>
        <v>279812</v>
      </c>
      <c r="K341" s="253"/>
      <c r="L341" s="253"/>
      <c r="M341" s="253"/>
      <c r="N341" s="254" cm="1">
        <f t="array" ref="N341">IFERROR(SUMPRODUCT(--($F$5:$F$220=F341),--($AR$5:$AR$220=$B$330),$J$5:$J$220,$N$5:$N$220)/SUMIFS($J$5:$J$220,$F$5:$F$220,F341,$AR$5:$AR$220,$B$330,$N$5:$N$220,"&gt;0"),"")</f>
        <v>2.8894002938574901</v>
      </c>
      <c r="O341" s="254" cm="1">
        <f t="array" ref="O341">IFERROR(SUMPRODUCT(--($F$5:$F$220=F341),--($AR$5:$AR$220=$B$330),$J$5:$J$220,$O$5:$O$220)/SUMIFS($J$5:$J$220,$F$5:$F$220,F341,$AR$5:$AR$220,$B$330),"")</f>
        <v>3.5645946921504437</v>
      </c>
      <c r="P341" s="255" cm="1">
        <f t="array" ref="P341">IFERROR(SUMPRODUCT(--($F$5:$F$220=F341),--($AR$5:$AR$220=$B$330),$J$5:$J$220,$P$5:$P$220)/SUMIFS($J$5:$J$220,$F$5:$F$220,F341,$AR$5:$AR$220,$B$330,$P$5:$P$220,"&gt;0"),"")</f>
        <v>4.2333967698181754</v>
      </c>
      <c r="Q341" s="254" cm="1">
        <f t="array" ref="Q341">IFERROR(SUMPRODUCT(--($F$5:$F$220=F341),--($AR$5:$AR$220=$B$330),$J$5:$J$220,$Q$5:$Q$220)/SUMIFS($J$5:$J$220,$AR$5:$AR$220,$B$330,$F$5:$F$220,F341),"")</f>
        <v>4.127388389347133</v>
      </c>
      <c r="R341" s="254" cm="1">
        <f t="array" ref="R341">SUMPRODUCT(--($F$5:$F$220=F341),--($I$5:$I$220&gt;12),--($AR$5:$AR$220=$B$330),$R$5:$R$220,$J$5:$J$220)/SUMIFS($J$5:$J$220,$I$5:$I$220,"&gt;12",$F$5:$F$220,F341,$AR$5:$AR$220,$B$330)</f>
        <v>3.1784010335510984</v>
      </c>
      <c r="S341" s="254" cm="1">
        <f t="array" ref="S341">SUMPRODUCT(--($F$5:$F$220=F341),--($I$5:$I$220&gt;12),--($AR$5:$AR$220=$B$330),$S$5:$S$220,$J$5:$J$220)/SUMIFS($J$5:$J$220,$I$5:$I$220,"&gt;12",$F$5:$F$220,F341,$AR$5:$AR$220,$B$330)</f>
        <v>2.0909360570668878</v>
      </c>
      <c r="T341" s="254" cm="1">
        <f t="array" ref="T341">IFERROR(SUMPRODUCT(--($F$5:$F$220=F341),--($AR$5:$AR$220=$B$330),$T$5:$T$220,$J$5:$J$220)/SUMIFS($J$5:$J$220,$F$5:$F$220,F341,$AR$5:$AR$220,$B$330),"")</f>
        <v>10.034313528598448</v>
      </c>
      <c r="U341" s="254" cm="1">
        <f t="array" ref="U341">IFERROR(SUMPRODUCT(--($F$5:$F$220=F341),--($AR$5:$AR$220=$B$330),$U$5:$U$220,$J$5:$J$220)/SUMIFS($J$5:$J$220,$F$5:$F$220,F341,$AR$5:$AR$220,$B$330),"")</f>
        <v>14.941718010664303</v>
      </c>
      <c r="V341" s="254" cm="1">
        <f t="array" ref="V341">IFERROR(SUMPRODUCT(--($F$5:$F$220=F341),--($AR$5:$AR$220=$B$330),$V$5:$V$220,$J$5:$J$220)/SUMIFS($J$5:$J$220,$F$5:$F$220,F341,$AR$5:$AR$220,$B$330),"")</f>
        <v>3.0778665675524994</v>
      </c>
      <c r="W341" s="254" cm="1">
        <f t="array" ref="W341">IFERROR(SUMPRODUCT(--($F$5:$F$220=F341),--($AR$5:$AR$220=$B$330),$W$5:$W$220,$J$5:$J$220)/SUMIFS($J$5:$J$220,$F$5:$F$220,F341,$AR$5:$AR$220,$B$330),"")</f>
        <v>5.757883543236173</v>
      </c>
      <c r="X341" s="256" cm="1">
        <f t="array" ref="X341">IFERROR((IFERROR(SUMPRODUCT(--($F$5:$F$220=F341),--($N$5:$N$220&gt;0),--($AR$5:$AR$220=$B$330),$J$5:$J$220,$Q$5:$Q$220)/SUMIFS($J$5:$J$220,$F$5:$F$220,F341,$N$5:$N$220,"&gt;0",$AR$5:$AR$220,$B$330),""))/N341-1,"NA")</f>
        <v>0.41032607536594723</v>
      </c>
      <c r="Y341" s="256"/>
      <c r="Z341" s="289">
        <f t="shared" si="209"/>
        <v>0.15788434472957369</v>
      </c>
      <c r="AG341" s="290"/>
      <c r="AH341" s="290"/>
    </row>
    <row r="342" spans="1:34">
      <c r="B342" s="291"/>
      <c r="F342" s="184" t="s">
        <v>474</v>
      </c>
      <c r="H342" s="184">
        <f t="shared" si="207"/>
        <v>2</v>
      </c>
      <c r="I342" s="300" cm="1">
        <f t="array" ref="I342">IFERROR(SUMPRODUCT(--($F$5:$F$220=F342),--($AR$5:$AR$220=$B$330),$J$5:$J$220,$I$5:$I$220)/SUMIFS($J$5:$J$220,$F$5:$F$220,F342,$AR$5:$AR$220,$B$330)/12,"")</f>
        <v>11.329641657645654</v>
      </c>
      <c r="J342" s="253">
        <f t="shared" si="208"/>
        <v>72054</v>
      </c>
      <c r="K342" s="253"/>
      <c r="L342" s="253"/>
      <c r="M342" s="253"/>
      <c r="N342" s="254" t="str" cm="1">
        <f t="array" ref="N342">IFERROR(SUMPRODUCT(--($F$5:$F$220=F342),--($AR$5:$AR$220=$B$330),$J$5:$J$220,$N$5:$N$220)/SUMIFS($J$5:$J$220,$F$5:$F$220,F342,$AR$5:$AR$220,$B$330,$N$5:$N$220,"&gt;0"),"")</f>
        <v/>
      </c>
      <c r="O342" s="254" cm="1">
        <f t="array" ref="O342">IFERROR(SUMPRODUCT(--($F$5:$F$220=F342),--($AR$5:$AR$220=$B$330),$J$5:$J$220,$O$5:$O$220)/SUMIFS($J$5:$J$220,$F$5:$F$220,F342,$AR$5:$AR$220,$B$330),"")</f>
        <v>12.842181697060539</v>
      </c>
      <c r="P342" s="255" cm="1">
        <f t="array" ref="P342">IFERROR(SUMPRODUCT(--($F$5:$F$220=F342),--($AR$5:$AR$220=$B$330),$J$5:$J$220,$P$5:$P$220)/SUMIFS($J$5:$J$220,$F$5:$F$220,F342,$AR$5:$AR$220,$B$330,$P$5:$P$220,"&gt;0"),"")</f>
        <v>12.84</v>
      </c>
      <c r="Q342" s="254" cm="1">
        <f t="array" ref="Q342">IFERROR(SUMPRODUCT(--($F$5:$F$220=F342),--($AR$5:$AR$220=$B$330),$J$5:$J$220,$Q$5:$Q$220)/SUMIFS($J$5:$J$220,$AR$5:$AR$220,$B$330,$F$5:$F$220,F342),"")</f>
        <v>13.890498792572238</v>
      </c>
      <c r="R342" s="254" cm="1">
        <f t="array" ref="R342">SUMPRODUCT(--($F$5:$F$220=F342),--($I$5:$I$220&gt;12),--($AR$5:$AR$220=$B$330),$R$5:$R$220,$J$5:$J$220)/SUMIFS($J$5:$J$220,$I$5:$I$220,"&gt;12",$F$5:$F$220,F342,$AR$5:$AR$220,$B$330)</f>
        <v>3.7773753018569405</v>
      </c>
      <c r="S342" s="254" cm="1">
        <f t="array" ref="S342">SUMPRODUCT(--($F$5:$F$220=F342),--($I$5:$I$220&gt;12),--($AR$5:$AR$220=$B$330),$S$5:$S$220,$J$5:$J$220)/SUMIFS($J$5:$J$220,$I$5:$I$220,"&gt;12",$F$5:$F$220,F342,$AR$5:$AR$220,$B$330)</f>
        <v>4</v>
      </c>
      <c r="T342" s="254" cm="1">
        <f t="array" ref="T342">IFERROR(SUMPRODUCT(--($F$5:$F$220=F342),--($AR$5:$AR$220=$B$330),$T$5:$T$220,$J$5:$J$220)/SUMIFS($J$5:$J$220,$F$5:$F$220,F342,$AR$5:$AR$220,$B$330),"")</f>
        <v>8.4661814092690495</v>
      </c>
      <c r="U342" s="254" cm="1">
        <f t="array" ref="U342">IFERROR(SUMPRODUCT(--($F$5:$F$220=F342),--($AR$5:$AR$220=$B$330),$U$5:$U$220,$J$5:$J$220)/SUMIFS($J$5:$J$220,$F$5:$F$220,F342,$AR$5:$AR$220,$B$330),"")</f>
        <v>10.29452493962861</v>
      </c>
      <c r="V342" s="254" cm="1">
        <f t="array" ref="V342">IFERROR(SUMPRODUCT(--($F$5:$F$220=F342),--($AR$5:$AR$220=$B$330),$V$5:$V$220,$J$5:$J$220)/SUMIFS($J$5:$J$220,$F$5:$F$220,F342,$AR$5:$AR$220,$B$330),"")</f>
        <v>7.4524939628611877</v>
      </c>
      <c r="W342" s="254" cm="1">
        <f t="array" ref="W342">IFERROR(SUMPRODUCT(--($F$5:$F$220=F342),--($AR$5:$AR$220=$B$330),$W$5:$W$220,$J$5:$J$220)/SUMIFS($J$5:$J$220,$F$5:$F$220,F342,$AR$5:$AR$220,$B$330),"")</f>
        <v>7.6642518111416438</v>
      </c>
      <c r="X342" s="256" t="str" cm="1">
        <f t="array" ref="X342">IFERROR((IFERROR(SUMPRODUCT(--($F$5:$F$220=F342),--($N$5:$N$220&gt;0),--($AR$5:$AR$220=$B$330),$J$5:$J$220,$Q$5:$Q$220)/SUMIFS($J$5:$J$220,$F$5:$F$220,F342,$N$5:$N$220,"&gt;0",$AR$5:$AR$220,$B$330),""))/N342-1,"NA")</f>
        <v>NA</v>
      </c>
      <c r="Y342" s="256"/>
      <c r="Z342" s="289">
        <f t="shared" si="209"/>
        <v>8.1630763389031413E-2</v>
      </c>
      <c r="AG342" s="290"/>
      <c r="AH342" s="290"/>
    </row>
    <row r="343" spans="1:34">
      <c r="B343" s="291"/>
      <c r="F343" s="184" t="s">
        <v>173</v>
      </c>
      <c r="H343" s="184">
        <f t="shared" si="207"/>
        <v>12</v>
      </c>
      <c r="I343" s="300" cm="1">
        <f t="array" ref="I343">IFERROR(SUMPRODUCT(--($F$5:$F$220=F343),--($AR$5:$AR$220=$B$330),$J$5:$J$220,$I$5:$I$220)/SUMIFS($J$5:$J$220,$F$5:$F$220,F343,$AR$5:$AR$220,$B$330)/12,"")</f>
        <v>5.2116991305351945</v>
      </c>
      <c r="J343" s="253">
        <f t="shared" si="208"/>
        <v>254026</v>
      </c>
      <c r="K343" s="253"/>
      <c r="L343" s="253"/>
      <c r="M343" s="253"/>
      <c r="N343" s="254" cm="1">
        <f t="array" ref="N343">IFERROR(SUMPRODUCT(--($F$5:$F$220=F343),--($AR$5:$AR$220=$B$330),$J$5:$J$220,$N$5:$N$220)/SUMIFS($J$5:$J$220,$F$5:$F$220,F343,$AR$5:$AR$220,$B$330,$N$5:$N$220,"&gt;0"),"")</f>
        <v>11.869140778744507</v>
      </c>
      <c r="O343" s="254" cm="1">
        <f t="array" ref="O343">IFERROR(SUMPRODUCT(--($F$5:$F$220=F343),--($AR$5:$AR$220=$B$330),$J$5:$J$220,$O$5:$O$220)/SUMIFS($J$5:$J$220,$F$5:$F$220,F343,$AR$5:$AR$220,$B$330),"")</f>
        <v>13.73613704896349</v>
      </c>
      <c r="P343" s="255" cm="1">
        <f t="array" ref="P343">IFERROR(SUMPRODUCT(--($F$5:$F$220=F343),--($AR$5:$AR$220=$B$330),$J$5:$J$220,$P$5:$P$220)/SUMIFS($J$5:$J$220,$F$5:$F$220,F343,$AR$5:$AR$220,$B$330,$P$5:$P$220,"&gt;0"),"")</f>
        <v>13.950223006819964</v>
      </c>
      <c r="Q343" s="254" cm="1">
        <f t="array" ref="Q343">IFERROR(SUMPRODUCT(--($F$5:$F$220=F343),--($AR$5:$AR$220=$B$330),$J$5:$J$220,$Q$5:$Q$220)/SUMIFS($J$5:$J$220,$AR$5:$AR$220,$B$330,$F$5:$F$220,F343),"")</f>
        <v>14.329541385527467</v>
      </c>
      <c r="R343" s="254" cm="1">
        <f t="array" ref="R343">SUMPRODUCT(--($F$5:$F$220=F343),--($I$5:$I$220&gt;12),--($AR$5:$AR$220=$B$330),$R$5:$R$220,$J$5:$J$220)/SUMIFS($J$5:$J$220,$I$5:$I$220,"&gt;12",$F$5:$F$220,F343,$AR$5:$AR$220,$B$330)</f>
        <v>3.8070906127719208</v>
      </c>
      <c r="S343" s="254" cm="1">
        <f t="array" ref="S343">SUMPRODUCT(--($F$5:$F$220=F343),--($I$5:$I$220&gt;12),--($AR$5:$AR$220=$B$330),$S$5:$S$220,$J$5:$J$220)/SUMIFS($J$5:$J$220,$I$5:$I$220,"&gt;12",$F$5:$F$220,F343,$AR$5:$AR$220,$B$330)</f>
        <v>3.2237172572886239</v>
      </c>
      <c r="T343" s="254" cm="1">
        <f t="array" ref="T343">IFERROR(SUMPRODUCT(--($F$5:$F$220=F343),--($AR$5:$AR$220=$B$330),$T$5:$T$220,$J$5:$J$220)/SUMIFS($J$5:$J$220,$F$5:$F$220,F343,$AR$5:$AR$220,$B$330),"")</f>
        <v>13.893732041296284</v>
      </c>
      <c r="U343" s="254" cm="1">
        <f t="array" ref="U343">IFERROR(SUMPRODUCT(--($F$5:$F$220=F343),--($AR$5:$AR$220=$B$330),$U$5:$U$220,$J$5:$J$220)/SUMIFS($J$5:$J$220,$F$5:$F$220,F343,$AR$5:$AR$220,$B$330),"")</f>
        <v>10.616883153692928</v>
      </c>
      <c r="V343" s="254" cm="1">
        <f t="array" ref="V343">IFERROR(SUMPRODUCT(--($F$5:$F$220=F343),--($AR$5:$AR$220=$B$330),$V$5:$V$220,$J$5:$J$220)/SUMIFS($J$5:$J$220,$F$5:$F$220,F343,$AR$5:$AR$220,$B$330),"")</f>
        <v>4.6990859203388631</v>
      </c>
      <c r="W343" s="254" cm="1">
        <f t="array" ref="W343">IFERROR(SUMPRODUCT(--($F$5:$F$220=F343),--($AR$5:$AR$220=$B$330),$W$5:$W$220,$J$5:$J$220)/SUMIFS($J$5:$J$220,$F$5:$F$220,F343,$AR$5:$AR$220,$B$330),"")</f>
        <v>5.1155847826600427</v>
      </c>
      <c r="X343" s="256" cm="1">
        <f t="array" ref="X343">IFERROR((IFERROR(SUMPRODUCT(--($F$5:$F$220=F343),--($N$5:$N$220&gt;0),--($AR$5:$AR$220=$B$330),$J$5:$J$220,$Q$5:$Q$220)/SUMIFS($J$5:$J$220,$F$5:$F$220,F343,$N$5:$N$220,"&gt;0",$AR$5:$AR$220,$B$330),""))/N343-1,"NA")</f>
        <v>0.21036271572695342</v>
      </c>
      <c r="Y343" s="256"/>
      <c r="Z343" s="289">
        <f t="shared" si="209"/>
        <v>4.3200234130508663E-2</v>
      </c>
      <c r="AG343" s="290"/>
      <c r="AH343" s="290"/>
    </row>
    <row r="344" spans="1:34">
      <c r="B344" s="291"/>
      <c r="F344" s="184" t="s">
        <v>274</v>
      </c>
      <c r="H344" s="184">
        <f t="shared" si="207"/>
        <v>3</v>
      </c>
      <c r="I344" s="300" cm="1">
        <f t="array" ref="I344">IFERROR(SUMPRODUCT(--($F$5:$F$220=F344),--($AR$5:$AR$220=$B$330),$J$5:$J$220,$I$5:$I$220)/SUMIFS($J$5:$J$220,$F$5:$F$220,F344,$AR$5:$AR$220,$B$330)/12,"")</f>
        <v>7.3028940389715205</v>
      </c>
      <c r="J344" s="253">
        <f t="shared" si="208"/>
        <v>63602</v>
      </c>
      <c r="K344" s="253"/>
      <c r="L344" s="253"/>
      <c r="M344" s="253"/>
      <c r="N344" s="254" cm="1">
        <f t="array" ref="N344">IFERROR(SUMPRODUCT(--($F$5:$F$220=F344),--($AR$5:$AR$220=$B$330),$J$5:$J$220,$N$5:$N$220)/SUMIFS($J$5:$J$220,$F$5:$F$220,F344,$AR$5:$AR$220,$B$330,$N$5:$N$220,"&gt;0"),"")</f>
        <v>6.8052602119430201</v>
      </c>
      <c r="O344" s="254" cm="1">
        <f t="array" ref="O344">IFERROR(SUMPRODUCT(--($F$5:$F$220=F344),--($AR$5:$AR$220=$B$330),$J$5:$J$220,$O$5:$O$220)/SUMIFS($J$5:$J$220,$F$5:$F$220,F344,$AR$5:$AR$220,$B$330),"")</f>
        <v>7.2741322599918243</v>
      </c>
      <c r="P344" s="255" cm="1">
        <f t="array" ref="P344">IFERROR(SUMPRODUCT(--($F$5:$F$220=F344),--($AR$5:$AR$220=$B$330),$J$5:$J$220,$P$5:$P$220)/SUMIFS($J$5:$J$220,$F$5:$F$220,F344,$AR$5:$AR$220,$B$330,$P$5:$P$220,"&gt;0"),"")</f>
        <v>8.8447441317976381</v>
      </c>
      <c r="Q344" s="254" cm="1">
        <f t="array" ref="Q344">IFERROR(SUMPRODUCT(--($F$5:$F$220=F344),--($AR$5:$AR$220=$B$330),$J$5:$J$220,$Q$5:$Q$220)/SUMIFS($J$5:$J$220,$AR$5:$AR$220,$B$330,$F$5:$F$220,F344),"")</f>
        <v>10.124602999905663</v>
      </c>
      <c r="R344" s="254" cm="1">
        <f t="array" ref="R344">SUMPRODUCT(--($F$5:$F$220=F344),--($I$5:$I$220&gt;12),--($AR$5:$AR$220=$B$330),$R$5:$R$220,$J$5:$J$220)/SUMIFS($J$5:$J$220,$I$5:$I$220,"&gt;12",$F$5:$F$220,F344,$AR$5:$AR$220,$B$330)</f>
        <v>3.4680984874689473</v>
      </c>
      <c r="S344" s="254" cm="1">
        <f t="array" ref="S344">SUMPRODUCT(--($F$5:$F$220=F344),--($I$5:$I$220&gt;12),--($AR$5:$AR$220=$B$330),$S$5:$S$220,$J$5:$J$220)/SUMIFS($J$5:$J$220,$I$5:$I$220,"&gt;12",$F$5:$F$220,F344,$AR$5:$AR$220,$B$330)</f>
        <v>2.9313700827018017</v>
      </c>
      <c r="T344" s="254" cm="1">
        <f t="array" ref="T344">IFERROR(SUMPRODUCT(--($F$5:$F$220=F344),--($AR$5:$AR$220=$B$330),$T$5:$T$220,$J$5:$J$220)/SUMIFS($J$5:$J$220,$F$5:$F$220,F344,$AR$5:$AR$220,$B$330),"")</f>
        <v>16.755875268709172</v>
      </c>
      <c r="U344" s="254" cm="1">
        <f t="array" ref="U344">IFERROR(SUMPRODUCT(--($F$5:$F$220=F344),--($AR$5:$AR$220=$B$330),$U$5:$U$220,$J$5:$J$220)/SUMIFS($J$5:$J$220,$F$5:$F$220,F344,$AR$5:$AR$220,$B$330),"")</f>
        <v>22.181987987799126</v>
      </c>
      <c r="V344" s="254" cm="1">
        <f t="array" ref="V344">IFERROR(SUMPRODUCT(--($F$5:$F$220=F344),--($AR$5:$AR$220=$B$330),$V$5:$V$220,$J$5:$J$220)/SUMIFS($J$5:$J$220,$F$5:$F$220,F344,$AR$5:$AR$220,$B$330),"")</f>
        <v>2.7967673972516587</v>
      </c>
      <c r="W344" s="254" cm="1">
        <f t="array" ref="W344">IFERROR(SUMPRODUCT(--($F$5:$F$220=F344),--($AR$5:$AR$220=$B$330),$W$5:$W$220,$J$5:$J$220)/SUMIFS($J$5:$J$220,$F$5:$F$220,F344,$AR$5:$AR$220,$B$330),"")</f>
        <v>7.8169739945284737</v>
      </c>
      <c r="X344" s="256" cm="1">
        <f t="array" ref="X344">IFERROR((IFERROR(SUMPRODUCT(--($F$5:$F$220=F344),--($N$5:$N$220&gt;0),--($AR$5:$AR$220=$B$330),$J$5:$J$220,$Q$5:$Q$220)/SUMIFS($J$5:$J$220,$F$5:$F$220,F344,$N$5:$N$220,"&gt;0",$AR$5:$AR$220,$B$330),""))/N344-1,"NA")</f>
        <v>0.48776133234954044</v>
      </c>
      <c r="Y344" s="256"/>
      <c r="Z344" s="289">
        <f t="shared" si="209"/>
        <v>0.39186402419318167</v>
      </c>
      <c r="AG344" s="290"/>
      <c r="AH344" s="290"/>
    </row>
    <row r="345" spans="1:34">
      <c r="B345" s="291"/>
      <c r="F345" s="184" t="s">
        <v>177</v>
      </c>
      <c r="H345" s="184">
        <f t="shared" si="207"/>
        <v>3</v>
      </c>
      <c r="I345" s="300" cm="1">
        <f t="array" ref="I345">IFERROR(SUMPRODUCT(--($F$5:$F$220=F345),--($AR$5:$AR$220=$B$330),$J$5:$J$220,$I$5:$I$220)/SUMIFS($J$5:$J$220,$F$5:$F$220,F345,$AR$5:$AR$220,$B$330)/12,"")</f>
        <v>4.3062695333548868</v>
      </c>
      <c r="J345" s="253">
        <f t="shared" si="208"/>
        <v>24744</v>
      </c>
      <c r="K345" s="253"/>
      <c r="L345" s="253"/>
      <c r="M345" s="253"/>
      <c r="N345" s="254" cm="1">
        <f t="array" ref="N345">IFERROR(SUMPRODUCT(--($F$5:$F$220=F345),--($AR$5:$AR$220=$B$330),$J$5:$J$220,$N$5:$N$220)/SUMIFS($J$5:$J$220,$F$5:$F$220,F345,$AR$5:$AR$220,$B$330,$N$5:$N$220,"&gt;0"),"")</f>
        <v>11.585338231568279</v>
      </c>
      <c r="O345" s="254" cm="1">
        <f t="array" ref="O345">IFERROR(SUMPRODUCT(--($F$5:$F$220=F345),--($AR$5:$AR$220=$B$330),$J$5:$J$220,$O$5:$O$220)/SUMIFS($J$5:$J$220,$F$5:$F$220,F345,$AR$5:$AR$220,$B$330),"")</f>
        <v>10.425177820885871</v>
      </c>
      <c r="P345" s="255" cm="1">
        <f t="array" ref="P345">IFERROR(SUMPRODUCT(--($F$5:$F$220=F345),--($AR$5:$AR$220=$B$330),$J$5:$J$220,$P$5:$P$220)/SUMIFS($J$5:$J$220,$F$5:$F$220,F345,$AR$5:$AR$220,$B$330,$P$5:$P$220,"&gt;0"),"")</f>
        <v>12.5</v>
      </c>
      <c r="Q345" s="254" cm="1">
        <f t="array" ref="Q345">IFERROR(SUMPRODUCT(--($F$5:$F$220=F345),--($AR$5:$AR$220=$B$330),$J$5:$J$220,$Q$5:$Q$220)/SUMIFS($J$5:$J$220,$AR$5:$AR$220,$B$330,$F$5:$F$220,F345),"")</f>
        <v>11.940486582605885</v>
      </c>
      <c r="R345" s="254" cm="1">
        <f t="array" ref="R345">SUMPRODUCT(--($F$5:$F$220=F345),--($I$5:$I$220&gt;12),--($AR$5:$AR$220=$B$330),$R$5:$R$220,$J$5:$J$220)/SUMIFS($J$5:$J$220,$I$5:$I$220,"&gt;12",$F$5:$F$220,F345,$AR$5:$AR$220,$B$330)</f>
        <v>4.3619463304235371</v>
      </c>
      <c r="S345" s="254" cm="1">
        <f t="array" ref="S345">SUMPRODUCT(--($F$5:$F$220=F345),--($I$5:$I$220&gt;12),--($AR$5:$AR$220=$B$330),$S$5:$S$220,$J$5:$J$220)/SUMIFS($J$5:$J$220,$I$5:$I$220,"&gt;12",$F$5:$F$220,F345,$AR$5:$AR$220,$B$330)</f>
        <v>3.2761073391529258</v>
      </c>
      <c r="T345" s="254" cm="1">
        <f t="array" ref="T345">IFERROR(SUMPRODUCT(--($F$5:$F$220=F345),--($AR$5:$AR$220=$B$330),$T$5:$T$220,$J$5:$J$220)/SUMIFS($J$5:$J$220,$F$5:$F$220,F345,$AR$5:$AR$220,$B$330),"")</f>
        <v>3.828321098572292</v>
      </c>
      <c r="U345" s="254" cm="1">
        <f t="array" ref="U345">IFERROR(SUMPRODUCT(--($F$5:$F$220=F345),--($AR$5:$AR$220=$B$330),$U$5:$U$220,$J$5:$J$220)/SUMIFS($J$5:$J$220,$F$5:$F$220,F345,$AR$5:$AR$220,$B$330),"")</f>
        <v>5.6810022631749115</v>
      </c>
      <c r="V345" s="254" cm="1">
        <f t="array" ref="V345">IFERROR(SUMPRODUCT(--($F$5:$F$220=F345),--($AR$5:$AR$220=$B$330),$V$5:$V$220,$J$5:$J$220)/SUMIFS($J$5:$J$220,$F$5:$F$220,F345,$AR$5:$AR$220,$B$330),"")</f>
        <v>2.3805366957646297</v>
      </c>
      <c r="W345" s="254" cm="1">
        <f t="array" ref="W345">IFERROR(SUMPRODUCT(--($F$5:$F$220=F345),--($AR$5:$AR$220=$B$330),$W$5:$W$220,$J$5:$J$220)/SUMIFS($J$5:$J$220,$F$5:$F$220,F345,$AR$5:$AR$220,$B$330),"")</f>
        <v>3.2476931781441967</v>
      </c>
      <c r="X345" s="256" cm="1">
        <f t="array" ref="X345">IFERROR((IFERROR(SUMPRODUCT(--($F$5:$F$220=F345),--($N$5:$N$220&gt;0),--($AR$5:$AR$220=$B$330),$J$5:$J$220,$Q$5:$Q$220)/SUMIFS($J$5:$J$220,$F$5:$F$220,F345,$N$5:$N$220,"&gt;0",$AR$5:$AR$220,$B$330),""))/N345-1,"NA")</f>
        <v>7.9153320344747868E-2</v>
      </c>
      <c r="Y345" s="256"/>
      <c r="Z345" s="289">
        <f t="shared" si="209"/>
        <v>0.14535087916526801</v>
      </c>
      <c r="AG345" s="290"/>
      <c r="AH345" s="290"/>
    </row>
    <row r="346" spans="1:34">
      <c r="B346" s="292"/>
      <c r="C346" s="293"/>
      <c r="D346" s="293"/>
      <c r="E346" s="293"/>
      <c r="F346" s="294" t="s">
        <v>27</v>
      </c>
      <c r="G346" s="294"/>
      <c r="H346" s="294">
        <f>SUM(H331:H345)</f>
        <v>113</v>
      </c>
      <c r="I346" s="302" cm="1">
        <f t="array" ref="I346">IFERROR(SUMPRODUCT(--($AR$5:$AR$220=$B$330),$J$5:$J$220,$I$5:$I$220)/SUMIFS($J$5:$J$220,$AR$5:$AR$220,$B$330)/12,"")</f>
        <v>5.7445636893619172</v>
      </c>
      <c r="J346" s="460">
        <f>SUM(J331:J345)</f>
        <v>2912959</v>
      </c>
      <c r="K346" s="303"/>
      <c r="L346" s="303"/>
      <c r="M346" s="303"/>
      <c r="N346" s="295" cm="1">
        <f t="array" ref="N346">IFERROR(SUMPRODUCT(--($AR$5:$AR$220=$B$330),$J$5:$J$220,$N$5:$N$220)/SUMIFS($J$5:$J$220,$AR$5:$AR$220,$B$330,$N$5:$N$220,"&gt;0"),"")</f>
        <v>6.0516826185593544</v>
      </c>
      <c r="O346" s="295" cm="1">
        <f t="array" ref="O346">IFERROR(SUMPRODUCT(--($AR$5:$AR$220=$B$330),$J$5:$J$220,$O$5:$O$220)/SUMIFS($J$5:$J$220,$AR$5:$AR$220,$B$330),"")</f>
        <v>7.0190755589076268</v>
      </c>
      <c r="P346" s="297" cm="1">
        <f t="array" ref="P346">IFERROR(SUMPRODUCT(--($AR$5:$AR$220=$B$330),$J$5:$J$220,$P$5:$P$220)/SUMIFS($J$5:$J$220,$AR$5:$AR$220,$B$330,$P$5:$P$220,"&gt;0"),"")</f>
        <v>8.9316290330660575</v>
      </c>
      <c r="Q346" s="295" cm="1">
        <f t="array" ref="Q346">IFERROR(SUMPRODUCT(--($AR$5:$AR$220=$B$330),$J$5:$J$220,$Q$5:$Q$220)/SUMIFS($J$5:$J$220,$AR$5:$AR$220,$B$330),"")</f>
        <v>8.0486006256868006</v>
      </c>
      <c r="R346" s="295" cm="1">
        <f t="array" ref="R346">SUMPRODUCT(--($I$5:$I$220&gt;12),--($AR$5:$AR$220=$B$330),$R$5:$R$220,$J$5:$J$220)/SUMIFS($J$5:$J$220,$I$5:$I$220,"&gt;12",$AR$5:$AR$220,$B$330)</f>
        <v>3.7338134007378749</v>
      </c>
      <c r="S346" s="295" cm="1">
        <f t="array" ref="S346">SUMPRODUCT(--($I$5:$I$220&gt;12),--($AR$5:$AR$220=$B$330),$S$5:$S$220,$J$5:$J$220)/SUMIFS($J$5:$J$220,$I$5:$I$220,"&gt;12",$AR$5:$AR$220,$B$330)</f>
        <v>3.0190675529590356</v>
      </c>
      <c r="T346" s="295" cm="1">
        <f t="array" ref="T346">IFERROR(SUMPRODUCT(--($AR$5:$AR$220=$B$330),$T$5:$T$220,$J$5:$J$220)/SUMIFS($J$5:$J$220,$AR$5:$AR$220,$B$330),"")</f>
        <v>12.357098286134827</v>
      </c>
      <c r="U346" s="295" cm="1">
        <f t="array" ref="U346">IFERROR(SUMPRODUCT(--($AR$5:$AR$220=$B$330),$U$5:$U$220,$J$5:$J$220)/SUMIFS($J$5:$J$220,$AR$5:$AR$220,$B$330),"")</f>
        <v>16.994577278636605</v>
      </c>
      <c r="V346" s="295" cm="1">
        <f t="array" ref="V346">IFERROR(SUMPRODUCT(--($AR$5:$AR$220=$B$330),$V$5:$V$220,$J$5:$J$220)/SUMIFS($J$5:$J$220,$AR$5:$AR$220,$B$330),"")</f>
        <v>4.1293329222965376</v>
      </c>
      <c r="W346" s="295" cm="1">
        <f t="array" ref="W346">IFERROR(SUMPRODUCT(--($AR$5:$AR$220=$B$330),$W$5:$W$220,$J$5:$J$220)/SUMIFS($J$5:$J$220,$AR$5:$AR$220,$B$330),"")</f>
        <v>6.1327876190499078</v>
      </c>
      <c r="X346" s="298" cm="1">
        <f t="array" ref="X346">IFERROR((IFERROR(SUMPRODUCT(--($N$5:$N$220&gt;0),--($AR$5:$AR$220=$B$330),$J$5:$J$220,$Q$5:$Q$220)/SUMIFS($J$5:$J$220,$N$5:$N$220,"&gt;0",$AR$5:$AR$220,$B$330),""))/N346-1,"NA")</f>
        <v>0.29361348232375661</v>
      </c>
      <c r="Y346" s="298"/>
      <c r="Z346" s="299">
        <f t="shared" si="209"/>
        <v>0.1466753076154943</v>
      </c>
      <c r="AG346" s="290"/>
      <c r="AH346" s="290"/>
    </row>
    <row r="347" spans="1:34">
      <c r="I347" s="249" t="s">
        <v>147</v>
      </c>
      <c r="J347" s="462">
        <f>SUMIFS($J$5:$J$220,$AE$5:$AE$220,$I347,$AR$5:$AR$220,"New Lease")</f>
        <v>2293436</v>
      </c>
      <c r="N347" s="222"/>
      <c r="O347" s="222"/>
      <c r="P347" s="222"/>
      <c r="Q347" s="222"/>
      <c r="R347" s="304">
        <f>R346/R366-1</f>
        <v>0.10176311083284051</v>
      </c>
      <c r="S347" s="304">
        <f>S346/S366-1</f>
        <v>6.5110326286753617E-2</v>
      </c>
      <c r="T347" s="222"/>
      <c r="U347" s="222"/>
    </row>
    <row r="348" spans="1:34">
      <c r="I348" s="249" t="s">
        <v>161</v>
      </c>
      <c r="J348" s="461">
        <f>SUMIFS($J$5:$J$220,$AE$5:$AE$220,$I348,$AR$5:$AR$220,"New Lease")</f>
        <v>619523</v>
      </c>
      <c r="N348" s="222"/>
      <c r="O348" s="222"/>
      <c r="P348" s="222"/>
      <c r="Q348" s="222"/>
      <c r="T348" s="222"/>
      <c r="U348" s="222"/>
    </row>
    <row r="349" spans="1:34">
      <c r="N349" s="222"/>
      <c r="O349" s="222"/>
      <c r="P349" s="222"/>
      <c r="Q349" s="222"/>
      <c r="T349" s="222"/>
      <c r="U349" s="222"/>
    </row>
    <row r="350" spans="1:34" s="246" customFormat="1">
      <c r="A350" s="250"/>
      <c r="B350" s="280" t="s">
        <v>157</v>
      </c>
      <c r="C350" s="281"/>
      <c r="D350" s="281"/>
      <c r="E350" s="281"/>
      <c r="F350" s="282"/>
      <c r="G350" s="282"/>
      <c r="H350" s="282" t="s">
        <v>730</v>
      </c>
      <c r="I350" s="283" t="s">
        <v>731</v>
      </c>
      <c r="J350" s="283" t="s">
        <v>732</v>
      </c>
      <c r="K350" s="283"/>
      <c r="L350" s="283"/>
      <c r="M350" s="283"/>
      <c r="N350" s="284" t="s">
        <v>94</v>
      </c>
      <c r="O350" s="284" t="s">
        <v>95</v>
      </c>
      <c r="P350" s="285" t="s">
        <v>58</v>
      </c>
      <c r="Q350" s="284" t="s">
        <v>96</v>
      </c>
      <c r="R350" s="283" t="s">
        <v>734</v>
      </c>
      <c r="S350" s="283" t="s">
        <v>735</v>
      </c>
      <c r="T350" s="283" t="s">
        <v>736</v>
      </c>
      <c r="U350" s="283" t="s">
        <v>737</v>
      </c>
      <c r="V350" s="283" t="s">
        <v>64</v>
      </c>
      <c r="W350" s="283" t="s">
        <v>738</v>
      </c>
      <c r="X350" s="283" t="s">
        <v>755</v>
      </c>
      <c r="Y350" s="283"/>
      <c r="Z350" s="286" t="s">
        <v>740</v>
      </c>
      <c r="AD350" s="287"/>
      <c r="AG350" s="288" t="s">
        <v>741</v>
      </c>
      <c r="AH350" s="288" t="s">
        <v>742</v>
      </c>
    </row>
    <row r="351" spans="1:34">
      <c r="B351" s="251" t="s">
        <v>743</v>
      </c>
      <c r="F351" s="184" t="s">
        <v>153</v>
      </c>
      <c r="H351" s="184">
        <f t="shared" ref="H351:H365" si="210">COUNTIFS($F$5:$F$220,F351,$AR$5:$AR$220,$B$350)</f>
        <v>18</v>
      </c>
      <c r="I351" s="300" cm="1">
        <f t="array" ref="I351">IFERROR(SUMPRODUCT(--($F$5:$F$220=F351),--($AR$5:$AR$220=$B$350),$J$5:$J$220,$I$5:$I$220)/SUMIFS($J$5:$J$220,$F$5:$F$220,F351,$AR$5:$AR$220,$B$350)/12,"")</f>
        <v>3.9959479328945036</v>
      </c>
      <c r="J351" s="253">
        <f t="shared" ref="J351:J365" si="211">SUMIFS($J$5:$J$220,$F$5:$F$220,F351,$AR$5:$AR$220,$B$350)</f>
        <v>396053</v>
      </c>
      <c r="K351" s="253"/>
      <c r="L351" s="253"/>
      <c r="M351" s="253"/>
      <c r="N351" s="254" cm="1">
        <f t="array" ref="N351">IFERROR(SUMPRODUCT(--($F$5:$F$220=F351),--($AR$5:$AR$220=$B$350),$J$5:$J$220,$N$5:$N$220)/SUMIFS($J$5:$J$220,$F$5:$F$220,F351,$AR$5:$AR$220,$B$350,$N$5:$N$220,"&gt;0"),"")</f>
        <v>5.6235610385478703</v>
      </c>
      <c r="O351" s="254" cm="1">
        <f t="array" ref="O351">IFERROR(SUMPRODUCT(--($F$5:$F$220=F351),--($AR$5:$AR$220=$B$350),$J$5:$J$220,$O$5:$O$220)/SUMIFS($J$5:$J$220,$F$5:$F$220,F351,$AR$5:$AR$220,$B$350),"")</f>
        <v>6.6552538422887846</v>
      </c>
      <c r="P351" s="255" cm="1">
        <f t="array" ref="P351">IFERROR(SUMPRODUCT(--($F$5:$F$220=F351),--($AR$5:$AR$220=$B$350),$J$5:$J$220,$P$5:$P$220)/SUMIFS($J$5:$J$220,$F$5:$F$220,F351,$AR$5:$AR$220,$B$350,$P$5:$P$220,"&gt;0"),"")</f>
        <v>6.4538038417405872</v>
      </c>
      <c r="Q351" s="254" cm="1">
        <f t="array" ref="Q351">IFERROR(SUMPRODUCT(--($F$5:$F$220=F351),--($AR$5:$AR$220=$B$350),$J$5:$J$220,$Q$5:$Q$220)/SUMIFS($J$5:$J$220,$AR$5:$AR$220,$B$350,$F$5:$F$220,F351),"")</f>
        <v>7.0970842791242585</v>
      </c>
      <c r="R351" s="254" cm="1">
        <f t="array" ref="R351">IFERROR(SUMPRODUCT(--($F$5:$F$220=F351),--($I$5:$I$220&gt;12),--($AR$5:$AR$220=$B$350),$R$5:$R$220,$J$5:$J$220)/SUMIFS($J$5:$J$220,$I$5:$I$220,"&gt;12",$F$5:$F$220,F351,$AR$5:$AR$220,$B$350),"")</f>
        <v>3.9244229938922315</v>
      </c>
      <c r="S351" s="254" cm="1">
        <f t="array" ref="S351">IFERROR(SUMPRODUCT(--($F$5:$F$220=F351),--($I$5:$I$220&gt;12),--($AR$5:$AR$220=$B$350),$S$5:$S$220,$J$5:$J$220)/SUMIFS($J$5:$J$220,$I$5:$I$220,"&gt;12",$F$5:$F$220,F351,$AR$5:$AR$220,$B$350),"")</f>
        <v>3.2139442195867725</v>
      </c>
      <c r="T351" s="254" cm="1">
        <f t="array" ref="T351">IFERROR(SUMPRODUCT(--($F$5:$F$220=F351),--($AR$5:$AR$220=$B$350),$T$5:$T$220,$J$5:$J$220)/SUMIFS($J$5:$J$220,$F$5:$F$220,F351,$AR$5:$AR$220,$B$350),"")</f>
        <v>7.3323685599765298</v>
      </c>
      <c r="U351" s="254" cm="1">
        <f t="array" ref="U351">IFERROR(SUMPRODUCT(--($F$5:$F$220=F351),--($AR$5:$AR$220=$B$350),$U$5:$U$220,$J$5:$J$220)/SUMIFS($J$5:$J$220,$F$5:$F$220,F351,$AR$5:$AR$220,$B$350),"")</f>
        <v>7.6881893079966579</v>
      </c>
      <c r="V351" s="254" cm="1">
        <f t="array" ref="V351">IFERROR(SUMPRODUCT(--($F$5:$F$220=F351),--($AR$5:$AR$220=$B$350),$V$5:$V$220,$J$5:$J$220)/SUMIFS($J$5:$J$220,$F$5:$F$220,F351,$AR$5:$AR$220,$B$350),"")</f>
        <v>0</v>
      </c>
      <c r="W351" s="254" cm="1">
        <f t="array" ref="W351">IFERROR(SUMPRODUCT(--($F$5:$F$220=F351),--($AR$5:$AR$220=$B$350),$W$5:$W$220,$J$5:$J$220)/SUMIFS($J$5:$J$220,$F$5:$F$220,F351,$AR$5:$AR$220,$B$350),"")</f>
        <v>0.48456898445410085</v>
      </c>
      <c r="X351" s="256" cm="1">
        <f t="array" ref="X351">IFERROR((IFERROR(SUMPRODUCT(--($F$5:$F$220=F351),--($N$5:$N$220&gt;0),--($AR$5:$AR$220=$B$350),$J$5:$J$220,$Q$5:$Q$220)/SUMIFS($J$5:$J$220,$F$5:$F$220,F351,$N$5:$N$220,"&gt;0",$AR$5:$AR$220,$B$350),""))/N351-1,"NA")</f>
        <v>0.26202671767512009</v>
      </c>
      <c r="Y351" s="256"/>
      <c r="Z351" s="289">
        <f t="shared" ref="Z351:Z366" si="212">IFERROR(Q351/O351-1,"NA")</f>
        <v>6.638821708467324E-2</v>
      </c>
      <c r="AG351" s="290"/>
      <c r="AH351" s="290"/>
    </row>
    <row r="352" spans="1:34">
      <c r="B352" s="291"/>
      <c r="F352" s="184" t="s">
        <v>207</v>
      </c>
      <c r="H352" s="184">
        <f t="shared" si="210"/>
        <v>3</v>
      </c>
      <c r="I352" s="300" cm="1">
        <f t="array" ref="I352">IFERROR(SUMPRODUCT(--($F$5:$F$220=F352),--($AR$5:$AR$220=$B$350),$J$5:$J$220,$I$5:$I$220)/SUMIFS($J$5:$J$220,$F$5:$F$220,F352,$AR$5:$AR$220,$B$350)/12,"")</f>
        <v>4.7346486062033764</v>
      </c>
      <c r="J352" s="253">
        <f t="shared" si="211"/>
        <v>25470</v>
      </c>
      <c r="K352" s="253"/>
      <c r="L352" s="253"/>
      <c r="M352" s="253"/>
      <c r="N352" s="254" cm="1">
        <f t="array" ref="N352">IFERROR(SUMPRODUCT(--($F$5:$F$220=F352),--($AR$5:$AR$220=$B$350),$J$5:$J$220,$N$5:$N$220)/SUMIFS($J$5:$J$220,$F$5:$F$220,F352,$AR$5:$AR$220,$B$350,$N$5:$N$220,"&gt;0"),"")</f>
        <v>9.8666183745583034</v>
      </c>
      <c r="O352" s="254" cm="1">
        <f t="array" ref="O352">IFERROR(SUMPRODUCT(--($F$5:$F$220=F352),--($AR$5:$AR$220=$B$350),$J$5:$J$220,$O$5:$O$220)/SUMIFS($J$5:$J$220,$F$5:$F$220,F352,$AR$5:$AR$220,$B$350),"")</f>
        <v>12.624795053003533</v>
      </c>
      <c r="P352" s="255" cm="1">
        <f t="array" ref="P352">IFERROR(SUMPRODUCT(--($F$5:$F$220=F352),--($AR$5:$AR$220=$B$350),$J$5:$J$220,$P$5:$P$220)/SUMIFS($J$5:$J$220,$F$5:$F$220,F352,$AR$5:$AR$220,$B$350,$P$5:$P$220,"&gt;0"),"")</f>
        <v>10.040106007067138</v>
      </c>
      <c r="Q352" s="254" cm="1">
        <f t="array" ref="Q352">IFERROR(SUMPRODUCT(--($F$5:$F$220=F352),--($AR$5:$AR$220=$B$350),$J$5:$J$220,$Q$5:$Q$220)/SUMIFS($J$5:$J$220,$AR$5:$AR$220,$B$350,$F$5:$F$220,F352),"")</f>
        <v>12.527120141342756</v>
      </c>
      <c r="R352" s="254" cm="1">
        <f t="array" ref="R352">IFERROR(SUMPRODUCT(--($F$5:$F$220=F352),--($I$5:$I$220&gt;12),--($AR$5:$AR$220=$B$350),$R$5:$R$220,$J$5:$J$220)/SUMIFS($J$5:$J$220,$I$5:$I$220,"&gt;12",$F$5:$F$220,F352,$AR$5:$AR$220,$B$350),"")</f>
        <v>3.3514134275618375</v>
      </c>
      <c r="S352" s="254" cm="1">
        <f t="array" ref="S352">IFERROR(SUMPRODUCT(--($F$5:$F$220=F352),--($I$5:$I$220&gt;12),--($AR$5:$AR$220=$B$350),$S$5:$S$220,$J$5:$J$220)/SUMIFS($J$5:$J$220,$I$5:$I$220,"&gt;12",$F$5:$F$220,F352,$AR$5:$AR$220,$B$350),"")</f>
        <v>4</v>
      </c>
      <c r="T352" s="254" cm="1">
        <f t="array" ref="T352">IFERROR(SUMPRODUCT(--($F$5:$F$220=F352),--($AR$5:$AR$220=$B$350),$T$5:$T$220,$J$5:$J$220)/SUMIFS($J$5:$J$220,$F$5:$F$220,F352,$AR$5:$AR$220,$B$350),"")</f>
        <v>0.32671828556581861</v>
      </c>
      <c r="U352" s="254" cm="1">
        <f t="array" ref="U352">IFERROR(SUMPRODUCT(--($F$5:$F$220=F352),--($AR$5:$AR$220=$B$350),$U$5:$U$220,$J$5:$J$220)/SUMIFS($J$5:$J$220,$F$5:$F$220,F352,$AR$5:$AR$220,$B$350),"")</f>
        <v>0.898527679623086</v>
      </c>
      <c r="V352" s="254" cm="1">
        <f t="array" ref="V352">IFERROR(SUMPRODUCT(--($F$5:$F$220=F352),--($AR$5:$AR$220=$B$350),$V$5:$V$220,$J$5:$J$220)/SUMIFS($J$5:$J$220,$F$5:$F$220,F352,$AR$5:$AR$220,$B$350),"")</f>
        <v>0</v>
      </c>
      <c r="W352" s="254" cm="1">
        <f t="array" ref="W352">IFERROR(SUMPRODUCT(--($F$5:$F$220=F352),--($AR$5:$AR$220=$B$350),$W$5:$W$220,$J$5:$J$220)/SUMIFS($J$5:$J$220,$F$5:$F$220,F352,$AR$5:$AR$220,$B$350),"")</f>
        <v>0</v>
      </c>
      <c r="X352" s="256" cm="1">
        <f t="array" ref="X352">IFERROR((IFERROR(SUMPRODUCT(--($F$5:$F$220=F352),--($N$5:$N$220&gt;0),--($AR$5:$AR$220=$B$350),$J$5:$J$220,$Q$5:$Q$220)/SUMIFS($J$5:$J$220,$F$5:$F$220,F352,$N$5:$N$220,"&gt;0",$AR$5:$AR$220,$B$350),""))/N352-1,"NA")</f>
        <v>0.26964676911440333</v>
      </c>
      <c r="Y352" s="256"/>
      <c r="Z352" s="289">
        <f t="shared" si="212"/>
        <v>-7.7367522601913263E-3</v>
      </c>
      <c r="AG352" s="290"/>
      <c r="AH352" s="290"/>
    </row>
    <row r="353" spans="1:34">
      <c r="B353" s="291"/>
      <c r="F353" s="184" t="s">
        <v>201</v>
      </c>
      <c r="H353" s="184">
        <f t="shared" si="210"/>
        <v>1</v>
      </c>
      <c r="I353" s="300" cm="1">
        <f t="array" ref="I353">IFERROR(SUMPRODUCT(--($F$5:$F$220=F353),--($AR$5:$AR$220=$B$350),$J$5:$J$220,$I$5:$I$220)/SUMIFS($J$5:$J$220,$F$5:$F$220,F353,$AR$5:$AR$220,$B$350)/12,"")</f>
        <v>1.5833333333333333</v>
      </c>
      <c r="J353" s="253">
        <f t="shared" si="211"/>
        <v>80000</v>
      </c>
      <c r="K353" s="253"/>
      <c r="L353" s="253"/>
      <c r="M353" s="253"/>
      <c r="N353" s="254" cm="1">
        <f t="array" ref="N353">IFERROR(SUMPRODUCT(--($F$5:$F$220=F353),--($AR$5:$AR$220=$B$350),$J$5:$J$220,$N$5:$N$220)/SUMIFS($J$5:$J$220,$F$5:$F$220,F353,$AR$5:$AR$220,$B$350,$N$5:$N$220,"&gt;0"),"")</f>
        <v>5.07</v>
      </c>
      <c r="O353" s="254" cm="1">
        <f t="array" ref="O353">IFERROR(SUMPRODUCT(--($F$5:$F$220=F353),--($AR$5:$AR$220=$B$350),$J$5:$J$220,$O$5:$O$220)/SUMIFS($J$5:$J$220,$F$5:$F$220,F353,$AR$5:$AR$220,$B$350),"")</f>
        <v>7.97</v>
      </c>
      <c r="P353" s="255" cm="1">
        <f t="array" ref="P353">IFERROR(SUMPRODUCT(--($F$5:$F$220=F353),--($AR$5:$AR$220=$B$350),$J$5:$J$220,$P$5:$P$220)/SUMIFS($J$5:$J$220,$F$5:$F$220,F353,$AR$5:$AR$220,$B$350,$P$5:$P$220,"&gt;0"),"")</f>
        <v>9.25</v>
      </c>
      <c r="Q353" s="254" cm="1">
        <f t="array" ref="Q353">IFERROR(SUMPRODUCT(--($F$5:$F$220=F353),--($AR$5:$AR$220=$B$350),$J$5:$J$220,$Q$5:$Q$220)/SUMIFS($J$5:$J$220,$AR$5:$AR$220,$B$350,$F$5:$F$220,F353),"")</f>
        <v>9.75</v>
      </c>
      <c r="R353" s="254" cm="1">
        <f t="array" ref="R353">IFERROR(SUMPRODUCT(--($F$5:$F$220=F353),--($I$5:$I$220&gt;12),--($AR$5:$AR$220=$B$350),$R$5:$R$220,$J$5:$J$220)/SUMIFS($J$5:$J$220,$I$5:$I$220,"&gt;12",$F$5:$F$220,F353,$AR$5:$AR$220,$B$350),"")</f>
        <v>4</v>
      </c>
      <c r="S353" s="254" cm="1">
        <f t="array" ref="S353">IFERROR(SUMPRODUCT(--($F$5:$F$220=F353),--($I$5:$I$220&gt;12),--($AR$5:$AR$220=$B$350),$S$5:$S$220,$J$5:$J$220)/SUMIFS($J$5:$J$220,$I$5:$I$220,"&gt;12",$F$5:$F$220,F353,$AR$5:$AR$220,$B$350),"")</f>
        <v>4</v>
      </c>
      <c r="T353" s="254" cm="1">
        <f t="array" ref="T353">IFERROR(SUMPRODUCT(--($F$5:$F$220=F353),--($AR$5:$AR$220=$B$350),$T$5:$T$220,$J$5:$J$220)/SUMIFS($J$5:$J$220,$F$5:$F$220,F353,$AR$5:$AR$220,$B$350),"")</f>
        <v>0</v>
      </c>
      <c r="U353" s="254" cm="1">
        <f t="array" ref="U353">IFERROR(SUMPRODUCT(--($F$5:$F$220=F353),--($AR$5:$AR$220=$B$350),$U$5:$U$220,$J$5:$J$220)/SUMIFS($J$5:$J$220,$F$5:$F$220,F353,$AR$5:$AR$220,$B$350),"")</f>
        <v>0</v>
      </c>
      <c r="V353" s="254" cm="1">
        <f t="array" ref="V353">IFERROR(SUMPRODUCT(--($F$5:$F$220=F353),--($AR$5:$AR$220=$B$350),$V$5:$V$220,$J$5:$J$220)/SUMIFS($J$5:$J$220,$F$5:$F$220,F353,$AR$5:$AR$220,$B$350),"")</f>
        <v>0</v>
      </c>
      <c r="W353" s="254" cm="1">
        <f t="array" ref="W353">IFERROR(SUMPRODUCT(--($F$5:$F$220=F353),--($AR$5:$AR$220=$B$350),$W$5:$W$220,$J$5:$J$220)/SUMIFS($J$5:$J$220,$F$5:$F$220,F353,$AR$5:$AR$220,$B$350),"")</f>
        <v>0</v>
      </c>
      <c r="X353" s="256" cm="1">
        <f t="array" ref="X353">IFERROR((IFERROR(SUMPRODUCT(--($F$5:$F$220=F353),--($N$5:$N$220&gt;0),--($AR$5:$AR$220=$B$350),$J$5:$J$220,$Q$5:$Q$220)/SUMIFS($J$5:$J$220,$F$5:$F$220,F353,$N$5:$N$220,"&gt;0",$AR$5:$AR$220,$B$350),""))/N353-1,"NA")</f>
        <v>0.92307692307692291</v>
      </c>
      <c r="Y353" s="256"/>
      <c r="Z353" s="289">
        <f t="shared" si="212"/>
        <v>0.22333751568381444</v>
      </c>
      <c r="AG353" s="290"/>
      <c r="AH353" s="290"/>
    </row>
    <row r="354" spans="1:34">
      <c r="B354" s="291"/>
      <c r="F354" s="184" t="s">
        <v>144</v>
      </c>
      <c r="H354" s="184">
        <f t="shared" si="210"/>
        <v>15</v>
      </c>
      <c r="I354" s="300" cm="1">
        <f t="array" ref="I354">IFERROR(SUMPRODUCT(--($F$5:$F$220=F354),--($AR$5:$AR$220=$B$350),$J$5:$J$220,$I$5:$I$220)/SUMIFS($J$5:$J$220,$F$5:$F$220,F354,$AR$5:$AR$220,$B$350)/12,"")</f>
        <v>3.9818179643512757</v>
      </c>
      <c r="J354" s="253">
        <f t="shared" si="211"/>
        <v>508611</v>
      </c>
      <c r="K354" s="253"/>
      <c r="L354" s="253"/>
      <c r="M354" s="253"/>
      <c r="N354" s="254" cm="1">
        <f t="array" ref="N354">IFERROR(SUMPRODUCT(--($F$5:$F$220=F354),--($AR$5:$AR$220=$B$350),$J$5:$J$220,$N$5:$N$220)/SUMIFS($J$5:$J$220,$F$5:$F$220,F354,$AR$5:$AR$220,$B$350,$N$5:$N$220,"&gt;0"),"")</f>
        <v>6.3803944664979717</v>
      </c>
      <c r="O354" s="254" cm="1">
        <f t="array" ref="O354">IFERROR(SUMPRODUCT(--($F$5:$F$220=F354),--($AR$5:$AR$220=$B$350),$J$5:$J$220,$O$5:$O$220)/SUMIFS($J$5:$J$220,$F$5:$F$220,F354,$AR$5:$AR$220,$B$350),"")</f>
        <v>6.597927964593767</v>
      </c>
      <c r="P354" s="255" cm="1">
        <f t="array" ref="P354">IFERROR(SUMPRODUCT(--($F$5:$F$220=F354),--($AR$5:$AR$220=$B$350),$J$5:$J$220,$P$5:$P$220)/SUMIFS($J$5:$J$220,$F$5:$F$220,F354,$AR$5:$AR$220,$B$350,$P$5:$P$220,"&gt;0"),"")</f>
        <v>6.2985855284065622</v>
      </c>
      <c r="Q354" s="254" cm="1">
        <f t="array" ref="Q354">IFERROR(SUMPRODUCT(--($F$5:$F$220=F354),--($AR$5:$AR$220=$B$350),$J$5:$J$220,$Q$5:$Q$220)/SUMIFS($J$5:$J$220,$AR$5:$AR$220,$B$350,$F$5:$F$220,F354),"")</f>
        <v>7.0943943190375354</v>
      </c>
      <c r="R354" s="254" cm="1">
        <f t="array" ref="R354">IFERROR(SUMPRODUCT(--($F$5:$F$220=F354),--($I$5:$I$220&gt;12),--($AR$5:$AR$220=$B$350),$R$5:$R$220,$J$5:$J$220)/SUMIFS($J$5:$J$220,$I$5:$I$220,"&gt;12",$F$5:$F$220,F354,$AR$5:$AR$220,$B$350),"")</f>
        <v>3.043854733774928</v>
      </c>
      <c r="S354" s="254" cm="1">
        <f t="array" ref="S354">IFERROR(SUMPRODUCT(--($F$5:$F$220=F354),--($I$5:$I$220&gt;12),--($AR$5:$AR$220=$B$350),$S$5:$S$220,$J$5:$J$220)/SUMIFS($J$5:$J$220,$I$5:$I$220,"&gt;12",$F$5:$F$220,F354,$AR$5:$AR$220,$B$350),"")</f>
        <v>2.6553780787281438</v>
      </c>
      <c r="T354" s="254" cm="1">
        <f t="array" ref="T354">IFERROR(SUMPRODUCT(--($F$5:$F$220=F354),--($AR$5:$AR$220=$B$350),$T$5:$T$220,$J$5:$J$220)/SUMIFS($J$5:$J$220,$F$5:$F$220,F354,$AR$5:$AR$220,$B$350),"")</f>
        <v>3.9663186911516419</v>
      </c>
      <c r="U354" s="254" cm="1">
        <f t="array" ref="U354">IFERROR(SUMPRODUCT(--($F$5:$F$220=F354),--($AR$5:$AR$220=$B$350),$U$5:$U$220,$J$5:$J$220)/SUMIFS($J$5:$J$220,$F$5:$F$220,F354,$AR$5:$AR$220,$B$350),"")</f>
        <v>9.6953821879589714</v>
      </c>
      <c r="V354" s="254" cm="1">
        <f t="array" ref="V354">IFERROR(SUMPRODUCT(--($F$5:$F$220=F354),--($AR$5:$AR$220=$B$350),$V$5:$V$220,$J$5:$J$220)/SUMIFS($J$5:$J$220,$F$5:$F$220,F354,$AR$5:$AR$220,$B$350),"")</f>
        <v>0</v>
      </c>
      <c r="W354" s="254" cm="1">
        <f t="array" ref="W354">IFERROR(SUMPRODUCT(--($F$5:$F$220=F354),--($AR$5:$AR$220=$B$350),$W$5:$W$220,$J$5:$J$220)/SUMIFS($J$5:$J$220,$F$5:$F$220,F354,$AR$5:$AR$220,$B$350),"")</f>
        <v>0</v>
      </c>
      <c r="X354" s="256" cm="1">
        <f t="array" ref="X354">IFERROR((IFERROR(SUMPRODUCT(--($F$5:$F$220=F354),--($N$5:$N$220&gt;0),--($AR$5:$AR$220=$B$350),$J$5:$J$220,$Q$5:$Q$220)/SUMIFS($J$5:$J$220,$F$5:$F$220,F354,$N$5:$N$220,"&gt;0",$AR$5:$AR$220,$B$350),""))/N354-1,"NA")</f>
        <v>0.11190528364486196</v>
      </c>
      <c r="Y354" s="256"/>
      <c r="Z354" s="289">
        <f t="shared" si="212"/>
        <v>7.524579793958619E-2</v>
      </c>
      <c r="AG354" s="290"/>
      <c r="AH354" s="290"/>
    </row>
    <row r="355" spans="1:34">
      <c r="B355" s="291"/>
      <c r="F355" s="184" t="s">
        <v>185</v>
      </c>
      <c r="H355" s="184">
        <f t="shared" si="210"/>
        <v>3</v>
      </c>
      <c r="I355" s="300" cm="1">
        <f t="array" ref="I355">IFERROR(SUMPRODUCT(--($F$5:$F$220=F355),--($AR$5:$AR$220=$B$350),$J$5:$J$220,$I$5:$I$220)/SUMIFS($J$5:$J$220,$F$5:$F$220,F355,$AR$5:$AR$220,$B$350)/12,"")</f>
        <v>3.6039786865056427</v>
      </c>
      <c r="J355" s="253">
        <f t="shared" si="211"/>
        <v>238722</v>
      </c>
      <c r="K355" s="253"/>
      <c r="L355" s="253"/>
      <c r="M355" s="253"/>
      <c r="N355" s="254" cm="1">
        <f t="array" ref="N355">IFERROR(SUMPRODUCT(--($F$5:$F$220=F355),--($AR$5:$AR$220=$B$350),$J$5:$J$220,$N$5:$N$220)/SUMIFS($J$5:$J$220,$F$5:$F$220,F355,$AR$5:$AR$220,$B$350,$N$5:$N$220,"&gt;0"),"")</f>
        <v>4.0365060195541256</v>
      </c>
      <c r="O355" s="254" cm="1">
        <f t="array" ref="O355">IFERROR(SUMPRODUCT(--($F$5:$F$220=F355),--($AR$5:$AR$220=$B$350),$J$5:$J$220,$O$5:$O$220)/SUMIFS($J$5:$J$220,$F$5:$F$220,F355,$AR$5:$AR$220,$B$350),"")</f>
        <v>4.0419249587386163</v>
      </c>
      <c r="P355" s="255" cm="1">
        <f t="array" ref="P355">IFERROR(SUMPRODUCT(--($F$5:$F$220=F355),--($AR$5:$AR$220=$B$350),$J$5:$J$220,$P$5:$P$220)/SUMIFS($J$5:$J$220,$F$5:$F$220,F355,$AR$5:$AR$220,$B$350,$P$5:$P$220,"&gt;0"),"")</f>
        <v>4.9682619926664229</v>
      </c>
      <c r="Q355" s="254" cm="1">
        <f t="array" ref="Q355">IFERROR(SUMPRODUCT(--($F$5:$F$220=F355),--($AR$5:$AR$220=$B$350),$J$5:$J$220,$Q$5:$Q$220)/SUMIFS($J$5:$J$220,$AR$5:$AR$220,$B$350,$F$5:$F$220,F355),"")</f>
        <v>4.8572336441551265</v>
      </c>
      <c r="R355" s="254" cm="1">
        <f t="array" ref="R355">IFERROR(SUMPRODUCT(--($F$5:$F$220=F355),--($I$5:$I$220&gt;12),--($AR$5:$AR$220=$B$350),$R$5:$R$220,$J$5:$J$220)/SUMIFS($J$5:$J$220,$I$5:$I$220,"&gt;12",$F$5:$F$220,F355,$AR$5:$AR$220,$B$350),"")</f>
        <v>3.8004582736404688</v>
      </c>
      <c r="S355" s="254" cm="1">
        <f t="array" ref="S355">IFERROR(SUMPRODUCT(--($F$5:$F$220=F355),--($I$5:$I$220&gt;12),--($AR$5:$AR$220=$B$350),$S$5:$S$220,$J$5:$J$220)/SUMIFS($J$5:$J$220,$I$5:$I$220,"&gt;12",$F$5:$F$220,F355,$AR$5:$AR$220,$B$350),"")</f>
        <v>2.7805041010045155</v>
      </c>
      <c r="T355" s="254" cm="1">
        <f t="array" ref="T355">IFERROR(SUMPRODUCT(--($F$5:$F$220=F355),--($AR$5:$AR$220=$B$350),$T$5:$T$220,$J$5:$J$220)/SUMIFS($J$5:$J$220,$F$5:$F$220,F355,$AR$5:$AR$220,$B$350),"")</f>
        <v>8.3015390023608404</v>
      </c>
      <c r="U355" s="254" cm="1">
        <f t="array" ref="U355">IFERROR(SUMPRODUCT(--($F$5:$F$220=F355),--($AR$5:$AR$220=$B$350),$U$5:$U$220,$J$5:$J$220)/SUMIFS($J$5:$J$220,$F$5:$F$220,F355,$AR$5:$AR$220,$B$350),"")</f>
        <v>4.4389052956996009</v>
      </c>
      <c r="V355" s="254" cm="1">
        <f t="array" ref="V355">IFERROR(SUMPRODUCT(--($F$5:$F$220=F355),--($AR$5:$AR$220=$B$350),$V$5:$V$220,$J$5:$J$220)/SUMIFS($J$5:$J$220,$F$5:$F$220,F355,$AR$5:$AR$220,$B$350),"")</f>
        <v>0</v>
      </c>
      <c r="W355" s="254" cm="1">
        <f t="array" ref="W355">IFERROR(SUMPRODUCT(--($F$5:$F$220=F355),--($AR$5:$AR$220=$B$350),$W$5:$W$220,$J$5:$J$220)/SUMIFS($J$5:$J$220,$F$5:$F$220,F355,$AR$5:$AR$220,$B$350),"")</f>
        <v>0</v>
      </c>
      <c r="X355" s="256" cm="1">
        <f t="array" ref="X355">IFERROR((IFERROR(SUMPRODUCT(--($F$5:$F$220=F355),--($N$5:$N$220&gt;0),--($AR$5:$AR$220=$B$350),$J$5:$J$220,$Q$5:$Q$220)/SUMIFS($J$5:$J$220,$F$5:$F$220,F355,$N$5:$N$220,"&gt;0",$AR$5:$AR$220,$B$350),""))/N355-1,"NA")</f>
        <v>0.20332624815251954</v>
      </c>
      <c r="Y355" s="256"/>
      <c r="Z355" s="289">
        <f t="shared" si="212"/>
        <v>0.20171296937460892</v>
      </c>
      <c r="AG355" s="290"/>
      <c r="AH355" s="290"/>
    </row>
    <row r="356" spans="1:34">
      <c r="B356" s="291"/>
      <c r="F356" s="184" t="s">
        <v>214</v>
      </c>
      <c r="H356" s="184">
        <f t="shared" si="210"/>
        <v>4</v>
      </c>
      <c r="I356" s="300" cm="1">
        <f t="array" ref="I356">IFERROR(SUMPRODUCT(--($F$5:$F$220=F356),--($AR$5:$AR$220=$B$350),$J$5:$J$220,$I$5:$I$220)/SUMIFS($J$5:$J$220,$F$5:$F$220,F356,$AR$5:$AR$220,$B$350)/12,"")</f>
        <v>3.1395348837209305</v>
      </c>
      <c r="J356" s="253">
        <f t="shared" si="211"/>
        <v>129000</v>
      </c>
      <c r="K356" s="253"/>
      <c r="L356" s="253"/>
      <c r="M356" s="253"/>
      <c r="N356" s="254" cm="1">
        <f t="array" ref="N356">IFERROR(SUMPRODUCT(--($F$5:$F$220=F356),--($AR$5:$AR$220=$B$350),$J$5:$J$220,$N$5:$N$220)/SUMIFS($J$5:$J$220,$F$5:$F$220,F356,$AR$5:$AR$220,$B$350,$N$5:$N$220,"&gt;0"),"")</f>
        <v>4.3524496124031007</v>
      </c>
      <c r="O356" s="254" cm="1">
        <f t="array" ref="O356">IFERROR(SUMPRODUCT(--($F$5:$F$220=F356),--($AR$5:$AR$220=$B$350),$J$5:$J$220,$O$5:$O$220)/SUMIFS($J$5:$J$220,$F$5:$F$220,F356,$AR$5:$AR$220,$B$350),"")</f>
        <v>5.4211627906976743</v>
      </c>
      <c r="P356" s="255" cm="1">
        <f t="array" ref="P356">IFERROR(SUMPRODUCT(--($F$5:$F$220=F356),--($AR$5:$AR$220=$B$350),$J$5:$J$220,$P$5:$P$220)/SUMIFS($J$5:$J$220,$F$5:$F$220,F356,$AR$5:$AR$220,$B$350,$P$5:$P$220,"&gt;0"),"")</f>
        <v>6.4827906976744183</v>
      </c>
      <c r="Q356" s="254" cm="1">
        <f t="array" ref="Q356">IFERROR(SUMPRODUCT(--($F$5:$F$220=F356),--($AR$5:$AR$220=$B$350),$J$5:$J$220,$Q$5:$Q$220)/SUMIFS($J$5:$J$220,$AR$5:$AR$220,$B$350,$F$5:$F$220,F356),"")</f>
        <v>7.1880930232558136</v>
      </c>
      <c r="R356" s="254" cm="1">
        <f t="array" ref="R356">IFERROR(SUMPRODUCT(--($F$5:$F$220=F356),--($I$5:$I$220&gt;12),--($AR$5:$AR$220=$B$350),$R$5:$R$220,$J$5:$J$220)/SUMIFS($J$5:$J$220,$I$5:$I$220,"&gt;12",$F$5:$F$220,F356,$AR$5:$AR$220,$B$350),"")</f>
        <v>1.3294573643410852</v>
      </c>
      <c r="S356" s="254" cm="1">
        <f t="array" ref="S356">IFERROR(SUMPRODUCT(--($F$5:$F$220=F356),--($I$5:$I$220&gt;12),--($AR$5:$AR$220=$B$350),$S$5:$S$220,$J$5:$J$220)/SUMIFS($J$5:$J$220,$I$5:$I$220,"&gt;12",$F$5:$F$220,F356,$AR$5:$AR$220,$B$350),"")</f>
        <v>3</v>
      </c>
      <c r="T356" s="254" cm="1">
        <f t="array" ref="T356">IFERROR(SUMPRODUCT(--($F$5:$F$220=F356),--($AR$5:$AR$220=$B$350),$T$5:$T$220,$J$5:$J$220)/SUMIFS($J$5:$J$220,$F$5:$F$220,F356,$AR$5:$AR$220,$B$350),"")</f>
        <v>3.3117362518759683</v>
      </c>
      <c r="U356" s="254" cm="1">
        <f t="array" ref="U356">IFERROR(SUMPRODUCT(--($F$5:$F$220=F356),--($AR$5:$AR$220=$B$350),$U$5:$U$220,$J$5:$J$220)/SUMIFS($J$5:$J$220,$F$5:$F$220,F356,$AR$5:$AR$220,$B$350),"")</f>
        <v>8.2337209302325576</v>
      </c>
      <c r="V356" s="254" cm="1">
        <f t="array" ref="V356">IFERROR(SUMPRODUCT(--($F$5:$F$220=F356),--($AR$5:$AR$220=$B$350),$V$5:$V$220,$J$5:$J$220)/SUMIFS($J$5:$J$220,$F$5:$F$220,F356,$AR$5:$AR$220,$B$350),"")</f>
        <v>0</v>
      </c>
      <c r="W356" s="254" cm="1">
        <f t="array" ref="W356">IFERROR(SUMPRODUCT(--($F$5:$F$220=F356),--($AR$5:$AR$220=$B$350),$W$5:$W$220,$J$5:$J$220)/SUMIFS($J$5:$J$220,$F$5:$F$220,F356,$AR$5:$AR$220,$B$350),"")</f>
        <v>0</v>
      </c>
      <c r="X356" s="256" cm="1">
        <f t="array" ref="X356">IFERROR((IFERROR(SUMPRODUCT(--($F$5:$F$220=F356),--($N$5:$N$220&gt;0),--($AR$5:$AR$220=$B$350),$J$5:$J$220,$Q$5:$Q$220)/SUMIFS($J$5:$J$220,$F$5:$F$220,F356,$N$5:$N$220,"&gt;0",$AR$5:$AR$220,$B$350),""))/N356-1,"NA")</f>
        <v>0.65150516683111714</v>
      </c>
      <c r="Y356" s="256"/>
      <c r="Z356" s="289">
        <f t="shared" si="212"/>
        <v>0.32593196345073139</v>
      </c>
      <c r="AG356" s="290"/>
      <c r="AH356" s="290"/>
    </row>
    <row r="357" spans="1:34">
      <c r="B357" s="291"/>
      <c r="F357" s="184" t="s">
        <v>244</v>
      </c>
      <c r="H357" s="184">
        <f t="shared" si="210"/>
        <v>15</v>
      </c>
      <c r="I357" s="300" cm="1">
        <f t="array" ref="I357">IFERROR(SUMPRODUCT(--($F$5:$F$220=F357),--($AR$5:$AR$220=$B$350),$J$5:$J$220,$I$5:$I$220)/SUMIFS($J$5:$J$220,$F$5:$F$220,F357,$AR$5:$AR$220,$B$350)/12,"")</f>
        <v>6.20601084316782</v>
      </c>
      <c r="J357" s="253">
        <f t="shared" si="211"/>
        <v>535022</v>
      </c>
      <c r="K357" s="253"/>
      <c r="L357" s="253"/>
      <c r="M357" s="253"/>
      <c r="N357" s="254" cm="1">
        <f t="array" ref="N357">IFERROR(SUMPRODUCT(--($F$5:$F$220=F357),--($AR$5:$AR$220=$B$350),$J$5:$J$220,$N$5:$N$220)/SUMIFS($J$5:$J$220,$F$5:$F$220,F357,$AR$5:$AR$220,$B$350,$N$5:$N$220,"&gt;0"),"")</f>
        <v>4.460589172034048</v>
      </c>
      <c r="O357" s="254" cm="1">
        <f t="array" ref="O357">IFERROR(SUMPRODUCT(--($F$5:$F$220=F357),--($AR$5:$AR$220=$B$350),$J$5:$J$220,$O$5:$O$220)/SUMIFS($J$5:$J$220,$F$5:$F$220,F357,$AR$5:$AR$220,$B$350),"")</f>
        <v>5.3254494207714815</v>
      </c>
      <c r="P357" s="255" cm="1">
        <f t="array" ref="P357">IFERROR(SUMPRODUCT(--($F$5:$F$220=F357),--($AR$5:$AR$220=$B$350),$J$5:$J$220,$P$5:$P$220)/SUMIFS($J$5:$J$220,$F$5:$F$220,F357,$AR$5:$AR$220,$B$350,$P$5:$P$220,"&gt;0"),"")</f>
        <v>5.4224725878966265</v>
      </c>
      <c r="Q357" s="254" cm="1">
        <f t="array" ref="Q357">IFERROR(SUMPRODUCT(--($F$5:$F$220=F357),--($AR$5:$AR$220=$B$350),$J$5:$J$220,$Q$5:$Q$220)/SUMIFS($J$5:$J$220,$AR$5:$AR$220,$B$350,$F$5:$F$220,F357),"")</f>
        <v>6.0794374810755443</v>
      </c>
      <c r="R357" s="254" cm="1">
        <f t="array" ref="R357">IFERROR(SUMPRODUCT(--($F$5:$F$220=F357),--($I$5:$I$220&gt;12),--($AR$5:$AR$220=$B$350),$R$5:$R$220,$J$5:$J$220)/SUMIFS($J$5:$J$220,$I$5:$I$220,"&gt;12",$F$5:$F$220,F357,$AR$5:$AR$220,$B$350),"")</f>
        <v>3.2713813076845439</v>
      </c>
      <c r="S357" s="254" cm="1">
        <f t="array" ref="S357">IFERROR(SUMPRODUCT(--($F$5:$F$220=F357),--($I$5:$I$220&gt;12),--($AR$5:$AR$220=$B$350),$S$5:$S$220,$J$5:$J$220)/SUMIFS($J$5:$J$220,$I$5:$I$220,"&gt;12",$F$5:$F$220,F357,$AR$5:$AR$220,$B$350),"")</f>
        <v>2.7375494839464545</v>
      </c>
      <c r="T357" s="254" cm="1">
        <f t="array" ref="T357">IFERROR(SUMPRODUCT(--($F$5:$F$220=F357),--($AR$5:$AR$220=$B$350),$T$5:$T$220,$J$5:$J$220)/SUMIFS($J$5:$J$220,$F$5:$F$220,F357,$AR$5:$AR$220,$B$350),"")</f>
        <v>7.2137162647875588</v>
      </c>
      <c r="U357" s="254" cm="1">
        <f t="array" ref="U357">IFERROR(SUMPRODUCT(--($F$5:$F$220=F357),--($AR$5:$AR$220=$B$350),$U$5:$U$220,$J$5:$J$220)/SUMIFS($J$5:$J$220,$F$5:$F$220,F357,$AR$5:$AR$220,$B$350),"")</f>
        <v>4.6121300862394445</v>
      </c>
      <c r="V357" s="254" cm="1">
        <f t="array" ref="V357">IFERROR(SUMPRODUCT(--($F$5:$F$220=F357),--($AR$5:$AR$220=$B$350),$V$5:$V$220,$J$5:$J$220)/SUMIFS($J$5:$J$220,$F$5:$F$220,F357,$AR$5:$AR$220,$B$350),"")</f>
        <v>0</v>
      </c>
      <c r="W357" s="254" cm="1">
        <f t="array" ref="W357">IFERROR(SUMPRODUCT(--($F$5:$F$220=F357),--($AR$5:$AR$220=$B$350),$W$5:$W$220,$J$5:$J$220)/SUMIFS($J$5:$J$220,$F$5:$F$220,F357,$AR$5:$AR$220,$B$350),"")</f>
        <v>0</v>
      </c>
      <c r="X357" s="256" cm="1">
        <f t="array" ref="X357">IFERROR((IFERROR(SUMPRODUCT(--($F$5:$F$220=F357),--($N$5:$N$220&gt;0),--($AR$5:$AR$220=$B$350),$J$5:$J$220,$Q$5:$Q$220)/SUMIFS($J$5:$J$220,$F$5:$F$220,F357,$N$5:$N$220,"&gt;0",$AR$5:$AR$220,$B$350),""))/N357-1,"NA")</f>
        <v>0.36292253032199651</v>
      </c>
      <c r="Y357" s="256"/>
      <c r="Z357" s="289">
        <f t="shared" si="212"/>
        <v>0.14158205265516055</v>
      </c>
      <c r="AG357" s="290"/>
      <c r="AH357" s="290"/>
    </row>
    <row r="358" spans="1:34">
      <c r="B358" s="291"/>
      <c r="F358" s="184" t="s">
        <v>181</v>
      </c>
      <c r="H358" s="184">
        <f t="shared" si="210"/>
        <v>11</v>
      </c>
      <c r="I358" s="300" cm="1">
        <f t="array" ref="I358">IFERROR(SUMPRODUCT(--($F$5:$F$220=F358),--($AR$5:$AR$220=$B$350),$J$5:$J$220,$I$5:$I$220)/SUMIFS($J$5:$J$220,$F$5:$F$220,F358,$AR$5:$AR$220,$B$350)/12,"")</f>
        <v>3.8810824908923043</v>
      </c>
      <c r="J358" s="253">
        <f t="shared" si="211"/>
        <v>400028</v>
      </c>
      <c r="K358" s="253"/>
      <c r="L358" s="253"/>
      <c r="M358" s="253"/>
      <c r="N358" s="254" cm="1">
        <f t="array" ref="N358">IFERROR(SUMPRODUCT(--($F$5:$F$220=F358),--($AR$5:$AR$220=$B$350),$J$5:$J$220,$N$5:$N$220)/SUMIFS($J$5:$J$220,$F$5:$F$220,F358,$AR$5:$AR$220,$B$350,$N$5:$N$220,"&gt;0"),"")</f>
        <v>4.6292094886976489</v>
      </c>
      <c r="O358" s="254" cm="1">
        <f t="array" ref="O358">IFERROR(SUMPRODUCT(--($F$5:$F$220=F358),--($AR$5:$AR$220=$B$350),$J$5:$J$220,$O$5:$O$220)/SUMIFS($J$5:$J$220,$F$5:$F$220,F358,$AR$5:$AR$220,$B$350),"")</f>
        <v>6.5002369584129109</v>
      </c>
      <c r="P358" s="255" cm="1">
        <f t="array" ref="P358">IFERROR(SUMPRODUCT(--($F$5:$F$220=F358),--($AR$5:$AR$220=$B$350),$J$5:$J$220,$P$5:$P$220)/SUMIFS($J$5:$J$220,$F$5:$F$220,F358,$AR$5:$AR$220,$B$350,$P$5:$P$220,"&gt;0"),"")</f>
        <v>7.1571711281593382</v>
      </c>
      <c r="Q358" s="254" cm="1">
        <f t="array" ref="Q358">IFERROR(SUMPRODUCT(--($F$5:$F$220=F358),--($AR$5:$AR$220=$B$350),$J$5:$J$220,$Q$5:$Q$220)/SUMIFS($J$5:$J$220,$AR$5:$AR$220,$B$350,$F$5:$F$220,F358),"")</f>
        <v>6.7496406251562382</v>
      </c>
      <c r="R358" s="254" cm="1">
        <f t="array" ref="R358">IFERROR(SUMPRODUCT(--($F$5:$F$220=F358),--($I$5:$I$220&gt;12),--($AR$5:$AR$220=$B$350),$R$5:$R$220,$J$5:$J$220)/SUMIFS($J$5:$J$220,$I$5:$I$220,"&gt;12",$F$5:$F$220,F358,$AR$5:$AR$220,$B$350),"")</f>
        <v>3.7497737658363914</v>
      </c>
      <c r="S358" s="254" cm="1">
        <f t="array" ref="S358">IFERROR(SUMPRODUCT(--($F$5:$F$220=F358),--($I$5:$I$220&gt;12),--($AR$5:$AR$220=$B$350),$S$5:$S$220,$J$5:$J$220)/SUMIFS($J$5:$J$220,$I$5:$I$220,"&gt;12",$F$5:$F$220,F358,$AR$5:$AR$220,$B$350),"")</f>
        <v>2.6473371863969524</v>
      </c>
      <c r="T358" s="254" cm="1">
        <f t="array" ref="T358">IFERROR(SUMPRODUCT(--($F$5:$F$220=F358),--($AR$5:$AR$220=$B$350),$T$5:$T$220,$J$5:$J$220)/SUMIFS($J$5:$J$220,$F$5:$F$220,F358,$AR$5:$AR$220,$B$350),"")</f>
        <v>2.5828073212002476</v>
      </c>
      <c r="U358" s="254" cm="1">
        <f t="array" ref="U358">IFERROR(SUMPRODUCT(--($F$5:$F$220=F358),--($AR$5:$AR$220=$B$350),$U$5:$U$220,$J$5:$J$220)/SUMIFS($J$5:$J$220,$F$5:$F$220,F358,$AR$5:$AR$220,$B$350),"")</f>
        <v>16.772592418530703</v>
      </c>
      <c r="V358" s="254" cm="1">
        <f t="array" ref="V358">IFERROR(SUMPRODUCT(--($F$5:$F$220=F358),--($AR$5:$AR$220=$B$350),$V$5:$V$220,$J$5:$J$220)/SUMIFS($J$5:$J$220,$F$5:$F$220,F358,$AR$5:$AR$220,$B$350),"")</f>
        <v>0</v>
      </c>
      <c r="W358" s="254" cm="1">
        <f t="array" ref="W358">IFERROR(SUMPRODUCT(--($F$5:$F$220=F358),--($AR$5:$AR$220=$B$350),$W$5:$W$220,$J$5:$J$220)/SUMIFS($J$5:$J$220,$F$5:$F$220,F358,$AR$5:$AR$220,$B$350),"")</f>
        <v>0</v>
      </c>
      <c r="X358" s="256" cm="1">
        <f t="array" ref="X358">IFERROR((IFERROR(SUMPRODUCT(--($F$5:$F$220=F358),--($N$5:$N$220&gt;0),--($AR$5:$AR$220=$B$350),$J$5:$J$220,$Q$5:$Q$220)/SUMIFS($J$5:$J$220,$F$5:$F$220,F358,$N$5:$N$220,"&gt;0",$AR$5:$AR$220,$B$350),""))/N358-1,"NA")</f>
        <v>0.4943307700861419</v>
      </c>
      <c r="Y358" s="256"/>
      <c r="Z358" s="289">
        <f t="shared" si="212"/>
        <v>3.8368396158318108E-2</v>
      </c>
      <c r="AG358" s="290"/>
      <c r="AH358" s="290"/>
    </row>
    <row r="359" spans="1:34">
      <c r="B359" s="291"/>
      <c r="F359" s="184" t="s">
        <v>600</v>
      </c>
      <c r="H359" s="184">
        <f t="shared" si="210"/>
        <v>0</v>
      </c>
      <c r="I359" s="300" t="str" cm="1">
        <f t="array" ref="I359">IFERROR(SUMPRODUCT(--($F$5:$F$220=F359),--($AR$5:$AR$220=$B$350),$J$5:$J$220,$I$5:$I$220)/SUMIFS($J$5:$J$220,$F$5:$F$220,F359,$AR$5:$AR$220,$B$350)/12,"")</f>
        <v/>
      </c>
      <c r="J359" s="253">
        <f t="shared" si="211"/>
        <v>0</v>
      </c>
      <c r="K359" s="253"/>
      <c r="L359" s="253"/>
      <c r="M359" s="253"/>
      <c r="N359" s="254" t="str" cm="1">
        <f t="array" ref="N359">IFERROR(SUMPRODUCT(--($F$5:$F$220=F359),--($AR$5:$AR$220=$B$350),$J$5:$J$220,$N$5:$N$220)/SUMIFS($J$5:$J$220,$F$5:$F$220,F359,$AR$5:$AR$220,$B$350,$N$5:$N$220,"&gt;0"),"")</f>
        <v/>
      </c>
      <c r="O359" s="254" t="str" cm="1">
        <f t="array" ref="O359">IFERROR(SUMPRODUCT(--($F$5:$F$220=F359),--($AR$5:$AR$220=$B$350),$J$5:$J$220,$O$5:$O$220)/SUMIFS($J$5:$J$220,$F$5:$F$220,F359,$AR$5:$AR$220,$B$350),"")</f>
        <v/>
      </c>
      <c r="P359" s="255" t="str" cm="1">
        <f t="array" ref="P359">IFERROR(SUMPRODUCT(--($F$5:$F$220=F359),--($AR$5:$AR$220=$B$350),$J$5:$J$220,$P$5:$P$220)/SUMIFS($J$5:$J$220,$F$5:$F$220,F359,$AR$5:$AR$220,$B$350,$P$5:$P$220,"&gt;0"),"")</f>
        <v/>
      </c>
      <c r="Q359" s="254" t="str" cm="1">
        <f t="array" ref="Q359">IFERROR(SUMPRODUCT(--($F$5:$F$220=F359),--($AR$5:$AR$220=$B$350),$J$5:$J$220,$Q$5:$Q$220)/SUMIFS($J$5:$J$220,$AR$5:$AR$220,$B$350,$F$5:$F$220,F359),"")</f>
        <v/>
      </c>
      <c r="R359" s="254" t="str" cm="1">
        <f t="array" ref="R359">IFERROR(SUMPRODUCT(--($F$5:$F$220=F359),--($I$5:$I$220&gt;12),--($AR$5:$AR$220=$B$350),$R$5:$R$220,$J$5:$J$220)/SUMIFS($J$5:$J$220,$I$5:$I$220,"&gt;12",$F$5:$F$220,F359,$AR$5:$AR$220,$B$350),"")</f>
        <v/>
      </c>
      <c r="S359" s="254" t="str" cm="1">
        <f t="array" ref="S359">IFERROR(SUMPRODUCT(--($F$5:$F$220=F359),--($I$5:$I$220&gt;12),--($AR$5:$AR$220=$B$350),$S$5:$S$220,$J$5:$J$220)/SUMIFS($J$5:$J$220,$I$5:$I$220,"&gt;12",$F$5:$F$220,F359,$AR$5:$AR$220,$B$350),"")</f>
        <v/>
      </c>
      <c r="T359" s="254" t="str" cm="1">
        <f t="array" ref="T359">IFERROR(SUMPRODUCT(--($F$5:$F$220=F359),--($AR$5:$AR$220=$B$350),$T$5:$T$220,$J$5:$J$220)/SUMIFS($J$5:$J$220,$F$5:$F$220,F359,$AR$5:$AR$220,$B$350),"")</f>
        <v/>
      </c>
      <c r="U359" s="254" t="str" cm="1">
        <f t="array" ref="U359">IFERROR(SUMPRODUCT(--($F$5:$F$220=F359),--($AR$5:$AR$220=$B$350),$U$5:$U$220,$J$5:$J$220)/SUMIFS($J$5:$J$220,$F$5:$F$220,F359,$AR$5:$AR$220,$B$350),"")</f>
        <v/>
      </c>
      <c r="V359" s="254" t="str" cm="1">
        <f t="array" ref="V359">IFERROR(SUMPRODUCT(--($F$5:$F$220=F359),--($AR$5:$AR$220=$B$350),$V$5:$V$220,$J$5:$J$220)/SUMIFS($J$5:$J$220,$F$5:$F$220,F359,$AR$5:$AR$220,$B$350),"")</f>
        <v/>
      </c>
      <c r="W359" s="254" t="str" cm="1">
        <f t="array" ref="W359">IFERROR(SUMPRODUCT(--($F$5:$F$220=F359),--($AR$5:$AR$220=$B$350),$W$5:$W$220,$J$5:$J$220)/SUMIFS($J$5:$J$220,$F$5:$F$220,F359,$AR$5:$AR$220,$B$350),"")</f>
        <v/>
      </c>
      <c r="X359" s="256" t="str" cm="1">
        <f t="array" ref="X359">IFERROR((IFERROR(SUMPRODUCT(--($F$5:$F$220=F359),--($N$5:$N$220&gt;0),--($AR$5:$AR$220=$B$350),$J$5:$J$220,$Q$5:$Q$220)/SUMIFS($J$5:$J$220,$F$5:$F$220,F359,$N$5:$N$220,"&gt;0",$AR$5:$AR$220,$B$350),""))/N359-1,"NA")</f>
        <v>NA</v>
      </c>
      <c r="Y359" s="256"/>
      <c r="Z359" s="289" t="str">
        <f t="shared" si="212"/>
        <v>NA</v>
      </c>
      <c r="AG359" s="290"/>
      <c r="AH359" s="290"/>
    </row>
    <row r="360" spans="1:34">
      <c r="B360" s="291"/>
      <c r="F360" s="184" t="s">
        <v>221</v>
      </c>
      <c r="H360" s="184">
        <f t="shared" si="210"/>
        <v>0</v>
      </c>
      <c r="I360" s="300" t="str" cm="1">
        <f t="array" ref="I360">IFERROR(SUMPRODUCT(--($F$5:$F$220=F360),--($AR$5:$AR$220=$B$350),$J$5:$J$220,$I$5:$I$220)/SUMIFS($J$5:$J$220,$F$5:$F$220,F360,$AR$5:$AR$220,$B$350)/12,"")</f>
        <v/>
      </c>
      <c r="J360" s="253">
        <f t="shared" si="211"/>
        <v>0</v>
      </c>
      <c r="K360" s="253"/>
      <c r="L360" s="253"/>
      <c r="M360" s="253"/>
      <c r="N360" s="254" t="str" cm="1">
        <f t="array" ref="N360">IFERROR(SUMPRODUCT(--($F$5:$F$220=F360),--($AR$5:$AR$220=$B$350),$J$5:$J$220,$N$5:$N$220)/SUMIFS($J$5:$J$220,$F$5:$F$220,F360,$AR$5:$AR$220,$B$350,$N$5:$N$220,"&gt;0"),"")</f>
        <v/>
      </c>
      <c r="O360" s="254" t="str" cm="1">
        <f t="array" ref="O360">IFERROR(SUMPRODUCT(--($F$5:$F$220=F360),--($AR$5:$AR$220=$B$350),$J$5:$J$220,$O$5:$O$220)/SUMIFS($J$5:$J$220,$F$5:$F$220,F360,$AR$5:$AR$220,$B$350),"")</f>
        <v/>
      </c>
      <c r="P360" s="255" t="str" cm="1">
        <f t="array" ref="P360">IFERROR(SUMPRODUCT(--($F$5:$F$220=F360),--($AR$5:$AR$220=$B$350),$J$5:$J$220,$P$5:$P$220)/SUMIFS($J$5:$J$220,$F$5:$F$220,F360,$AR$5:$AR$220,$B$350,$P$5:$P$220,"&gt;0"),"")</f>
        <v/>
      </c>
      <c r="Q360" s="254" t="str" cm="1">
        <f t="array" ref="Q360">IFERROR(SUMPRODUCT(--($F$5:$F$220=F360),--($AR$5:$AR$220=$B$350),$J$5:$J$220,$Q$5:$Q$220)/SUMIFS($J$5:$J$220,$AR$5:$AR$220,$B$350,$F$5:$F$220,F360),"")</f>
        <v/>
      </c>
      <c r="R360" s="254" t="str" cm="1">
        <f t="array" ref="R360">IFERROR(SUMPRODUCT(--($F$5:$F$220=F360),--($I$5:$I$220&gt;12),--($AR$5:$AR$220=$B$350),$R$5:$R$220,$J$5:$J$220)/SUMIFS($J$5:$J$220,$I$5:$I$220,"&gt;12",$F$5:$F$220,F360,$AR$5:$AR$220,$B$350),"")</f>
        <v/>
      </c>
      <c r="S360" s="254" t="str" cm="1">
        <f t="array" ref="S360">IFERROR(SUMPRODUCT(--($F$5:$F$220=F360),--($I$5:$I$220&gt;12),--($AR$5:$AR$220=$B$350),$S$5:$S$220,$J$5:$J$220)/SUMIFS($J$5:$J$220,$I$5:$I$220,"&gt;12",$F$5:$F$220,F360,$AR$5:$AR$220,$B$350),"")</f>
        <v/>
      </c>
      <c r="T360" s="254" t="str" cm="1">
        <f t="array" ref="T360">IFERROR(SUMPRODUCT(--($F$5:$F$220=F360),--($AR$5:$AR$220=$B$350),$T$5:$T$220,$J$5:$J$220)/SUMIFS($J$5:$J$220,$F$5:$F$220,F360,$AR$5:$AR$220,$B$350),"")</f>
        <v/>
      </c>
      <c r="U360" s="254" t="str" cm="1">
        <f t="array" ref="U360">IFERROR(SUMPRODUCT(--($F$5:$F$220=F360),--($AR$5:$AR$220=$B$350),$U$5:$U$220,$J$5:$J$220)/SUMIFS($J$5:$J$220,$F$5:$F$220,F360,$AR$5:$AR$220,$B$350),"")</f>
        <v/>
      </c>
      <c r="V360" s="254" t="str" cm="1">
        <f t="array" ref="V360">IFERROR(SUMPRODUCT(--($F$5:$F$220=F360),--($AR$5:$AR$220=$B$350),$V$5:$V$220,$J$5:$J$220)/SUMIFS($J$5:$J$220,$F$5:$F$220,F360,$AR$5:$AR$220,$B$350),"")</f>
        <v/>
      </c>
      <c r="W360" s="254" t="str" cm="1">
        <f t="array" ref="W360">IFERROR(SUMPRODUCT(--($F$5:$F$220=F360),--($AR$5:$AR$220=$B$350),$W$5:$W$220,$J$5:$J$220)/SUMIFS($J$5:$J$220,$F$5:$F$220,F360,$AR$5:$AR$220,$B$350),"")</f>
        <v/>
      </c>
      <c r="X360" s="256" t="str" cm="1">
        <f t="array" ref="X360">IFERROR((IFERROR(SUMPRODUCT(--($F$5:$F$220=F360),--($N$5:$N$220&gt;0),--($AR$5:$AR$220=$B$350),$J$5:$J$220,$Q$5:$Q$220)/SUMIFS($J$5:$J$220,$F$5:$F$220,F360,$N$5:$N$220,"&gt;0",$AR$5:$AR$220,$B$350),""))/N360-1,"NA")</f>
        <v>NA</v>
      </c>
      <c r="Y360" s="256"/>
      <c r="Z360" s="289" t="str">
        <f t="shared" si="212"/>
        <v>NA</v>
      </c>
      <c r="AG360" s="290"/>
      <c r="AH360" s="290"/>
    </row>
    <row r="361" spans="1:34">
      <c r="B361" s="291"/>
      <c r="F361" s="184" t="s">
        <v>158</v>
      </c>
      <c r="H361" s="184">
        <f t="shared" si="210"/>
        <v>14</v>
      </c>
      <c r="I361" s="300" cm="1">
        <f t="array" ref="I361">IFERROR(SUMPRODUCT(--($F$5:$F$220=F361),--($AR$5:$AR$220=$B$350),$J$5:$J$220,$I$5:$I$220)/SUMIFS($J$5:$J$220,$F$5:$F$220,F361,$AR$5:$AR$220,$B$350)/12,"")</f>
        <v>3.7789603996130912</v>
      </c>
      <c r="J361" s="253">
        <f t="shared" si="211"/>
        <v>277068</v>
      </c>
      <c r="K361" s="253"/>
      <c r="L361" s="253"/>
      <c r="M361" s="253"/>
      <c r="N361" s="254" cm="1">
        <f t="array" ref="N361">IFERROR(SUMPRODUCT(--($F$5:$F$220=F361),--($AR$5:$AR$220=$B$350),$J$5:$J$220,$N$5:$N$220)/SUMIFS($J$5:$J$220,$F$5:$F$220,F361,$AR$5:$AR$220,$B$350,$N$5:$N$220,"&gt;0"),"")</f>
        <v>3.0725902305571191</v>
      </c>
      <c r="O361" s="254" cm="1">
        <f t="array" ref="O361">IFERROR(SUMPRODUCT(--($F$5:$F$220=F361),--($AR$5:$AR$220=$B$350),$J$5:$J$220,$O$5:$O$220)/SUMIFS($J$5:$J$220,$F$5:$F$220,F361,$AR$5:$AR$220,$B$350),"")</f>
        <v>4.0039450965106038</v>
      </c>
      <c r="P361" s="255" cm="1">
        <f t="array" ref="P361">IFERROR(SUMPRODUCT(--($F$5:$F$220=F361),--($AR$5:$AR$220=$B$350),$J$5:$J$220,$P$5:$P$220)/SUMIFS($J$5:$J$220,$F$5:$F$220,F361,$AR$5:$AR$220,$B$350,$P$5:$P$220,"&gt;0"),"")</f>
        <v>4.1608980221277818</v>
      </c>
      <c r="Q361" s="254" cm="1">
        <f t="array" ref="Q361">IFERROR(SUMPRODUCT(--($F$5:$F$220=F361),--($AR$5:$AR$220=$B$350),$J$5:$J$220,$Q$5:$Q$220)/SUMIFS($J$5:$J$220,$AR$5:$AR$220,$B$350,$F$5:$F$220,F361),"")</f>
        <v>4.3846039600386906</v>
      </c>
      <c r="R361" s="254" cm="1">
        <f t="array" ref="R361">IFERROR(SUMPRODUCT(--($F$5:$F$220=F361),--($I$5:$I$220&gt;12),--($AR$5:$AR$220=$B$350),$R$5:$R$220,$J$5:$J$220)/SUMIFS($J$5:$J$220,$I$5:$I$220,"&gt;12",$F$5:$F$220,F361,$AR$5:$AR$220,$B$350),"")</f>
        <v>3.5667706122684684</v>
      </c>
      <c r="S361" s="254" cm="1">
        <f t="array" ref="S361">IFERROR(SUMPRODUCT(--($F$5:$F$220=F361),--($I$5:$I$220&gt;12),--($AR$5:$AR$220=$B$350),$S$5:$S$220,$J$5:$J$220)/SUMIFS($J$5:$J$220,$I$5:$I$220,"&gt;12",$F$5:$F$220,F361,$AR$5:$AR$220,$B$350),"")</f>
        <v>3.1940209623630302</v>
      </c>
      <c r="T361" s="254" cm="1">
        <f t="array" ref="T361">IFERROR(SUMPRODUCT(--($F$5:$F$220=F361),--($AR$5:$AR$220=$B$350),$T$5:$T$220,$J$5:$J$220)/SUMIFS($J$5:$J$220,$F$5:$F$220,F361,$AR$5:$AR$220,$B$350),"")</f>
        <v>5.6228317138858603</v>
      </c>
      <c r="U361" s="254" cm="1">
        <f t="array" ref="U361">IFERROR(SUMPRODUCT(--($F$5:$F$220=F361),--($AR$5:$AR$220=$B$350),$U$5:$U$220,$J$5:$J$220)/SUMIFS($J$5:$J$220,$F$5:$F$220,F361,$AR$5:$AR$220,$B$350),"")</f>
        <v>8.341977853812061</v>
      </c>
      <c r="V361" s="254" cm="1">
        <f t="array" ref="V361">IFERROR(SUMPRODUCT(--($F$5:$F$220=F361),--($AR$5:$AR$220=$B$350),$V$5:$V$220,$J$5:$J$220)/SUMIFS($J$5:$J$220,$F$5:$F$220,F361,$AR$5:$AR$220,$B$350),"")</f>
        <v>0</v>
      </c>
      <c r="W361" s="254" cm="1">
        <f t="array" ref="W361">IFERROR(SUMPRODUCT(--($F$5:$F$220=F361),--($AR$5:$AR$220=$B$350),$W$5:$W$220,$J$5:$J$220)/SUMIFS($J$5:$J$220,$F$5:$F$220,F361,$AR$5:$AR$220,$B$350),"")</f>
        <v>0</v>
      </c>
      <c r="X361" s="256" cm="1">
        <f t="array" ref="X361">IFERROR((IFERROR(SUMPRODUCT(--($F$5:$F$220=F361),--($N$5:$N$220&gt;0),--($AR$5:$AR$220=$B$350),$J$5:$J$220,$Q$5:$Q$220)/SUMIFS($J$5:$J$220,$F$5:$F$220,F361,$N$5:$N$220,"&gt;0",$AR$5:$AR$220,$B$350),""))/N361-1,"NA")</f>
        <v>0.42700576094837039</v>
      </c>
      <c r="Y361" s="256"/>
      <c r="Z361" s="289">
        <f t="shared" si="212"/>
        <v>9.5070949863879761E-2</v>
      </c>
      <c r="AG361" s="290"/>
      <c r="AH361" s="290"/>
    </row>
    <row r="362" spans="1:34">
      <c r="B362" s="291"/>
      <c r="F362" s="184" t="s">
        <v>474</v>
      </c>
      <c r="H362" s="184">
        <f t="shared" si="210"/>
        <v>1</v>
      </c>
      <c r="I362" s="300" cm="1">
        <f t="array" ref="I362">IFERROR(SUMPRODUCT(--($F$5:$F$220=F362),--($AR$5:$AR$220=$B$350),$J$5:$J$220,$I$5:$I$220)/SUMIFS($J$5:$J$220,$F$5:$F$220,F362,$AR$5:$AR$220,$B$350)/12,"")</f>
        <v>3</v>
      </c>
      <c r="J362" s="253">
        <f t="shared" si="211"/>
        <v>25327</v>
      </c>
      <c r="K362" s="253"/>
      <c r="L362" s="253"/>
      <c r="M362" s="253"/>
      <c r="N362" s="254" cm="1">
        <f t="array" ref="N362">IFERROR(SUMPRODUCT(--($F$5:$F$220=F362),--($AR$5:$AR$220=$B$350),$J$5:$J$220,$N$5:$N$220)/SUMIFS($J$5:$J$220,$F$5:$F$220,F362,$AR$5:$AR$220,$B$350,$N$5:$N$220,"&gt;0"),"")</f>
        <v>8.5</v>
      </c>
      <c r="O362" s="254" cm="1">
        <f t="array" ref="O362">IFERROR(SUMPRODUCT(--($F$5:$F$220=F362),--($AR$5:$AR$220=$B$350),$J$5:$J$220,$O$5:$O$220)/SUMIFS($J$5:$J$220,$F$5:$F$220,F362,$AR$5:$AR$220,$B$350),"")</f>
        <v>9.18</v>
      </c>
      <c r="P362" s="255" t="str" cm="1">
        <f t="array" ref="P362">IFERROR(SUMPRODUCT(--($F$5:$F$220=F362),--($AR$5:$AR$220=$B$350),$J$5:$J$220,$P$5:$P$220)/SUMIFS($J$5:$J$220,$F$5:$F$220,F362,$AR$5:$AR$220,$B$350,$P$5:$P$220,"&gt;0"),"")</f>
        <v/>
      </c>
      <c r="Q362" s="254" cm="1">
        <f t="array" ref="Q362">IFERROR(SUMPRODUCT(--($F$5:$F$220=F362),--($AR$5:$AR$220=$B$350),$J$5:$J$220,$Q$5:$Q$220)/SUMIFS($J$5:$J$220,$AR$5:$AR$220,$B$350,$F$5:$F$220,F362),"")</f>
        <v>9.9499999999999993</v>
      </c>
      <c r="R362" s="254" cm="1">
        <f t="array" ref="R362">IFERROR(SUMPRODUCT(--($F$5:$F$220=F362),--($I$5:$I$220&gt;12),--($AR$5:$AR$220=$B$350),$R$5:$R$220,$J$5:$J$220)/SUMIFS($J$5:$J$220,$I$5:$I$220,"&gt;12",$F$5:$F$220,F362,$AR$5:$AR$220,$B$350),"")</f>
        <v>4</v>
      </c>
      <c r="S362" s="254" cm="1">
        <f t="array" ref="S362">IFERROR(SUMPRODUCT(--($F$5:$F$220=F362),--($I$5:$I$220&gt;12),--($AR$5:$AR$220=$B$350),$S$5:$S$220,$J$5:$J$220)/SUMIFS($J$5:$J$220,$I$5:$I$220,"&gt;12",$F$5:$F$220,F362,$AR$5:$AR$220,$B$350),"")</f>
        <v>3</v>
      </c>
      <c r="T362" s="254" cm="1">
        <f t="array" ref="T362">IFERROR(SUMPRODUCT(--($F$5:$F$220=F362),--($AR$5:$AR$220=$B$350),$T$5:$T$220,$J$5:$J$220)/SUMIFS($J$5:$J$220,$F$5:$F$220,F362,$AR$5:$AR$220,$B$350),"")</f>
        <v>3.9999994915000001</v>
      </c>
      <c r="U362" s="254" cm="1">
        <f t="array" ref="U362">IFERROR(SUMPRODUCT(--($F$5:$F$220=F362),--($AR$5:$AR$220=$B$350),$U$5:$U$220,$J$5:$J$220)/SUMIFS($J$5:$J$220,$F$5:$F$220,F362,$AR$5:$AR$220,$B$350),"")</f>
        <v>12.85</v>
      </c>
      <c r="V362" s="254" cm="1">
        <f t="array" ref="V362">IFERROR(SUMPRODUCT(--($F$5:$F$220=F362),--($AR$5:$AR$220=$B$350),$V$5:$V$220,$J$5:$J$220)/SUMIFS($J$5:$J$220,$F$5:$F$220,F362,$AR$5:$AR$220,$B$350),"")</f>
        <v>0</v>
      </c>
      <c r="W362" s="254" cm="1">
        <f t="array" ref="W362">IFERROR(SUMPRODUCT(--($F$5:$F$220=F362),--($AR$5:$AR$220=$B$350),$W$5:$W$220,$J$5:$J$220)/SUMIFS($J$5:$J$220,$F$5:$F$220,F362,$AR$5:$AR$220,$B$350),"")</f>
        <v>0</v>
      </c>
      <c r="X362" s="256" cm="1">
        <f t="array" ref="X362">IFERROR((IFERROR(SUMPRODUCT(--($F$5:$F$220=F362),--($N$5:$N$220&gt;0),--($AR$5:$AR$220=$B$350),$J$5:$J$220,$Q$5:$Q$220)/SUMIFS($J$5:$J$220,$F$5:$F$220,F362,$N$5:$N$220,"&gt;0",$AR$5:$AR$220,$B$350),""))/N362-1,"NA")</f>
        <v>0.17058823529411749</v>
      </c>
      <c r="Y362" s="256"/>
      <c r="Z362" s="289">
        <f t="shared" si="212"/>
        <v>8.3877995642701375E-2</v>
      </c>
      <c r="AG362" s="290"/>
      <c r="AH362" s="290"/>
    </row>
    <row r="363" spans="1:34">
      <c r="B363" s="291"/>
      <c r="F363" s="184" t="s">
        <v>173</v>
      </c>
      <c r="H363" s="184">
        <f t="shared" si="210"/>
        <v>13</v>
      </c>
      <c r="I363" s="300" cm="1">
        <f t="array" ref="I363">IFERROR(SUMPRODUCT(--($F$5:$F$220=F363),--($AR$5:$AR$220=$B$350),$J$5:$J$220,$I$5:$I$220)/SUMIFS($J$5:$J$220,$F$5:$F$220,F363,$AR$5:$AR$220,$B$350)/12,"")</f>
        <v>5.1450840930524988</v>
      </c>
      <c r="J363" s="253">
        <f t="shared" si="211"/>
        <v>445340</v>
      </c>
      <c r="K363" s="253"/>
      <c r="L363" s="253"/>
      <c r="M363" s="253"/>
      <c r="N363" s="254" cm="1">
        <f t="array" ref="N363">IFERROR(SUMPRODUCT(--($F$5:$F$220=F363),--($AR$5:$AR$220=$B$350),$J$5:$J$220,$N$5:$N$220)/SUMIFS($J$5:$J$220,$F$5:$F$220,F363,$AR$5:$AR$220,$B$350,$N$5:$N$220,"&gt;0"),"")</f>
        <v>9.5531999595814412</v>
      </c>
      <c r="O363" s="254" cm="1">
        <f t="array" ref="O363">IFERROR(SUMPRODUCT(--($F$5:$F$220=F363),--($AR$5:$AR$220=$B$350),$J$5:$J$220,$O$5:$O$220)/SUMIFS($J$5:$J$220,$F$5:$F$220,F363,$AR$5:$AR$220,$B$350),"")</f>
        <v>14.549363430188171</v>
      </c>
      <c r="P363" s="255" cm="1">
        <f t="array" ref="P363">IFERROR(SUMPRODUCT(--($F$5:$F$220=F363),--($AR$5:$AR$220=$B$350),$J$5:$J$220,$P$5:$P$220)/SUMIFS($J$5:$J$220,$F$5:$F$220,F363,$AR$5:$AR$220,$B$350,$P$5:$P$220,"&gt;0"),"")</f>
        <v>14.520504423555433</v>
      </c>
      <c r="Q363" s="254" cm="1">
        <f t="array" ref="Q363">IFERROR(SUMPRODUCT(--($F$5:$F$220=F363),--($AR$5:$AR$220=$B$350),$J$5:$J$220,$Q$5:$Q$220)/SUMIFS($J$5:$J$220,$AR$5:$AR$220,$B$350,$F$5:$F$220,F363),"")</f>
        <v>15.563930367808865</v>
      </c>
      <c r="R363" s="254" cm="1">
        <f t="array" ref="R363">IFERROR(SUMPRODUCT(--($F$5:$F$220=F363),--($I$5:$I$220&gt;12),--($AR$5:$AR$220=$B$350),$R$5:$R$220,$J$5:$J$220)/SUMIFS($J$5:$J$220,$I$5:$I$220,"&gt;12",$F$5:$F$220,F363,$AR$5:$AR$220,$B$350),"")</f>
        <v>3.2583368886693314</v>
      </c>
      <c r="S363" s="254" cm="1">
        <f t="array" ref="S363">IFERROR(SUMPRODUCT(--($F$5:$F$220=F363),--($I$5:$I$220&gt;12),--($AR$5:$AR$220=$B$350),$S$5:$S$220,$J$5:$J$220)/SUMIFS($J$5:$J$220,$I$5:$I$220,"&gt;12",$F$5:$F$220,F363,$AR$5:$AR$220,$B$350),"")</f>
        <v>2.6299683163425698</v>
      </c>
      <c r="T363" s="254" cm="1">
        <f t="array" ref="T363">IFERROR(SUMPRODUCT(--($F$5:$F$220=F363),--($AR$5:$AR$220=$B$350),$T$5:$T$220,$J$5:$J$220)/SUMIFS($J$5:$J$220,$F$5:$F$220,F363,$AR$5:$AR$220,$B$350),"")</f>
        <v>6.4915434687989615</v>
      </c>
      <c r="U363" s="254" cm="1">
        <f t="array" ref="U363">IFERROR(SUMPRODUCT(--($F$5:$F$220=F363),--($AR$5:$AR$220=$B$350),$U$5:$U$220,$J$5:$J$220)/SUMIFS($J$5:$J$220,$F$5:$F$220,F363,$AR$5:$AR$220,$B$350),"")</f>
        <v>3.8289506871154626</v>
      </c>
      <c r="V363" s="254" cm="1">
        <f t="array" ref="V363">IFERROR(SUMPRODUCT(--($F$5:$F$220=F363),--($AR$5:$AR$220=$B$350),$V$5:$V$220,$J$5:$J$220)/SUMIFS($J$5:$J$220,$F$5:$F$220,F363,$AR$5:$AR$220,$B$350),"")</f>
        <v>0</v>
      </c>
      <c r="W363" s="254" cm="1">
        <f t="array" ref="W363">IFERROR(SUMPRODUCT(--($F$5:$F$220=F363),--($AR$5:$AR$220=$B$350),$W$5:$W$220,$J$5:$J$220)/SUMIFS($J$5:$J$220,$F$5:$F$220,F363,$AR$5:$AR$220,$B$350),"")</f>
        <v>2.5975524318498224</v>
      </c>
      <c r="X363" s="256" cm="1">
        <f t="array" ref="X363">IFERROR((IFERROR(SUMPRODUCT(--($F$5:$F$220=F363),--($N$5:$N$220&gt;0),--($AR$5:$AR$220=$B$350),$J$5:$J$220,$Q$5:$Q$220)/SUMIFS($J$5:$J$220,$F$5:$F$220,F363,$N$5:$N$220,"&gt;0",$AR$5:$AR$220,$B$350),""))/N363-1,"NA")</f>
        <v>0.62918503052989316</v>
      </c>
      <c r="Y363" s="256"/>
      <c r="Z363" s="289">
        <f t="shared" si="212"/>
        <v>6.9732737276710699E-2</v>
      </c>
      <c r="AG363" s="290"/>
      <c r="AH363" s="290"/>
    </row>
    <row r="364" spans="1:34">
      <c r="B364" s="291"/>
      <c r="F364" s="184" t="s">
        <v>274</v>
      </c>
      <c r="H364" s="184">
        <f t="shared" si="210"/>
        <v>3</v>
      </c>
      <c r="I364" s="300" cm="1">
        <f t="array" ref="I364">IFERROR(SUMPRODUCT(--($F$5:$F$220=F364),--($AR$5:$AR$220=$B$350),$J$5:$J$220,$I$5:$I$220)/SUMIFS($J$5:$J$220,$F$5:$F$220,F364,$AR$5:$AR$220,$B$350)/12,"")</f>
        <v>3.7941424767842071</v>
      </c>
      <c r="J364" s="253">
        <f t="shared" si="211"/>
        <v>92394</v>
      </c>
      <c r="K364" s="253"/>
      <c r="L364" s="253"/>
      <c r="M364" s="253"/>
      <c r="N364" s="254" cm="1">
        <f t="array" ref="N364">IFERROR(SUMPRODUCT(--($F$5:$F$220=F364),--($AR$5:$AR$220=$B$350),$J$5:$J$220,$N$5:$N$220)/SUMIFS($J$5:$J$220,$F$5:$F$220,F364,$AR$5:$AR$220,$B$350,$N$5:$N$220,"&gt;0"),"")</f>
        <v>5.0907712622031731</v>
      </c>
      <c r="O364" s="254" cm="1">
        <f t="array" ref="O364">IFERROR(SUMPRODUCT(--($F$5:$F$220=F364),--($AR$5:$AR$220=$B$350),$J$5:$J$220,$O$5:$O$220)/SUMIFS($J$5:$J$220,$F$5:$F$220,F364,$AR$5:$AR$220,$B$350),"")</f>
        <v>6.0234506569690671</v>
      </c>
      <c r="P364" s="255" cm="1">
        <f t="array" ref="P364">IFERROR(SUMPRODUCT(--($F$5:$F$220=F364),--($AR$5:$AR$220=$B$350),$J$5:$J$220,$P$5:$P$220)/SUMIFS($J$5:$J$220,$F$5:$F$220,F364,$AR$5:$AR$220,$B$350,$P$5:$P$220,"&gt;0"),"")</f>
        <v>7.4583771673485293</v>
      </c>
      <c r="Q364" s="254" cm="1">
        <f t="array" ref="Q364">IFERROR(SUMPRODUCT(--($F$5:$F$220=F364),--($AR$5:$AR$220=$B$350),$J$5:$J$220,$Q$5:$Q$220)/SUMIFS($J$5:$J$220,$AR$5:$AR$220,$B$350,$F$5:$F$220,F364),"")</f>
        <v>7.3123308872870529</v>
      </c>
      <c r="R364" s="254" cm="1">
        <f t="array" ref="R364">IFERROR(SUMPRODUCT(--($F$5:$F$220=F364),--($I$5:$I$220&gt;12),--($AR$5:$AR$220=$B$350),$R$5:$R$220,$J$5:$J$220)/SUMIFS($J$5:$J$220,$I$5:$I$220,"&gt;12",$F$5:$F$220,F364,$AR$5:$AR$220,$B$350),"")</f>
        <v>4</v>
      </c>
      <c r="S364" s="254" cm="1">
        <f t="array" ref="S364">IFERROR(SUMPRODUCT(--($F$5:$F$220=F364),--($I$5:$I$220&gt;12),--($AR$5:$AR$220=$B$350),$S$5:$S$220,$J$5:$J$220)/SUMIFS($J$5:$J$220,$I$5:$I$220,"&gt;12",$F$5:$F$220,F364,$AR$5:$AR$220,$B$350),"")</f>
        <v>3</v>
      </c>
      <c r="T364" s="254" cm="1">
        <f t="array" ref="T364">IFERROR(SUMPRODUCT(--($F$5:$F$220=F364),--($AR$5:$AR$220=$B$350),$T$5:$T$220,$J$5:$J$220)/SUMIFS($J$5:$J$220,$F$5:$F$220,F364,$AR$5:$AR$220,$B$350),"")</f>
        <v>2.8423444408911944</v>
      </c>
      <c r="U364" s="254" cm="1">
        <f t="array" ref="U364">IFERROR(SUMPRODUCT(--($F$5:$F$220=F364),--($AR$5:$AR$220=$B$350),$U$5:$U$220,$J$5:$J$220)/SUMIFS($J$5:$J$220,$F$5:$F$220,F364,$AR$5:$AR$220,$B$350),"")</f>
        <v>3.8457096781176268</v>
      </c>
      <c r="V364" s="254" cm="1">
        <f t="array" ref="V364">IFERROR(SUMPRODUCT(--($F$5:$F$220=F364),--($AR$5:$AR$220=$B$350),$V$5:$V$220,$J$5:$J$220)/SUMIFS($J$5:$J$220,$F$5:$F$220,F364,$AR$5:$AR$220,$B$350),"")</f>
        <v>0</v>
      </c>
      <c r="W364" s="254" cm="1">
        <f t="array" ref="W364">IFERROR(SUMPRODUCT(--($F$5:$F$220=F364),--($AR$5:$AR$220=$B$350),$W$5:$W$220,$J$5:$J$220)/SUMIFS($J$5:$J$220,$F$5:$F$220,F364,$AR$5:$AR$220,$B$350),"")</f>
        <v>3.4589908435612702</v>
      </c>
      <c r="X364" s="256" cm="1">
        <f t="array" ref="X364">IFERROR((IFERROR(SUMPRODUCT(--($F$5:$F$220=F364),--($N$5:$N$220&gt;0),--($AR$5:$AR$220=$B$350),$J$5:$J$220,$Q$5:$Q$220)/SUMIFS($J$5:$J$220,$F$5:$F$220,F364,$N$5:$N$220,"&gt;0",$AR$5:$AR$220,$B$350),""))/N364-1,"NA")</f>
        <v>0.43638959809057254</v>
      </c>
      <c r="Y364" s="256"/>
      <c r="Z364" s="289">
        <f t="shared" si="212"/>
        <v>0.21397705463508121</v>
      </c>
      <c r="AG364" s="290"/>
      <c r="AH364" s="290"/>
    </row>
    <row r="365" spans="1:34">
      <c r="B365" s="291"/>
      <c r="F365" s="184" t="s">
        <v>177</v>
      </c>
      <c r="H365" s="184">
        <f t="shared" si="210"/>
        <v>2</v>
      </c>
      <c r="I365" s="300" cm="1">
        <f t="array" ref="I365">IFERROR(SUMPRODUCT(--($F$5:$F$220=F365),--($AR$5:$AR$220=$B$350),$J$5:$J$220,$I$5:$I$220)/SUMIFS($J$5:$J$220,$F$5:$F$220,F365,$AR$5:$AR$220,$B$350)/12,"")</f>
        <v>3</v>
      </c>
      <c r="J365" s="253">
        <f t="shared" si="211"/>
        <v>88258</v>
      </c>
      <c r="K365" s="253"/>
      <c r="L365" s="253"/>
      <c r="M365" s="253"/>
      <c r="N365" s="254" cm="1">
        <f t="array" ref="N365">IFERROR(SUMPRODUCT(--($F$5:$F$220=F365),--($AR$5:$AR$220=$B$350),$J$5:$J$220,$N$5:$N$220)/SUMIFS($J$5:$J$220,$F$5:$F$220,F365,$AR$5:$AR$220,$B$350,$N$5:$N$220,"&gt;0"),"")</f>
        <v>7.9879047791701616</v>
      </c>
      <c r="O365" s="254" cm="1">
        <f t="array" ref="O365">IFERROR(SUMPRODUCT(--($F$5:$F$220=F365),--($AR$5:$AR$220=$B$350),$J$5:$J$220,$O$5:$O$220)/SUMIFS($J$5:$J$220,$F$5:$F$220,F365,$AR$5:$AR$220,$B$350),"")</f>
        <v>7.0906716671576531</v>
      </c>
      <c r="P365" s="255" cm="1">
        <f t="array" ref="P365">IFERROR(SUMPRODUCT(--($F$5:$F$220=F365),--($AR$5:$AR$220=$B$350),$J$5:$J$220,$P$5:$P$220)/SUMIFS($J$5:$J$220,$F$5:$F$220,F365,$AR$5:$AR$220,$B$350,$P$5:$P$220,"&gt;0"),"")</f>
        <v>8.99</v>
      </c>
      <c r="Q365" s="254" cm="1">
        <f t="array" ref="Q365">IFERROR(SUMPRODUCT(--($F$5:$F$220=F365),--($AR$5:$AR$220=$B$350),$J$5:$J$220,$Q$5:$Q$220)/SUMIFS($J$5:$J$220,$AR$5:$AR$220,$B$350,$F$5:$F$220,F365),"")</f>
        <v>8.7854936662965386</v>
      </c>
      <c r="R365" s="254" cm="1">
        <f t="array" ref="R365">IFERROR(SUMPRODUCT(--($F$5:$F$220=F365),--($I$5:$I$220&gt;12),--($AR$5:$AR$220=$B$350),$R$5:$R$220,$J$5:$J$220)/SUMIFS($J$5:$J$220,$I$5:$I$220,"&gt;12",$F$5:$F$220,F365,$AR$5:$AR$220,$B$350),"")</f>
        <v>2.6916993360375265</v>
      </c>
      <c r="S365" s="254" cm="1">
        <f t="array" ref="S365">IFERROR(SUMPRODUCT(--($F$5:$F$220=F365),--($I$5:$I$220&gt;12),--($AR$5:$AR$220=$B$350),$S$5:$S$220,$J$5:$J$220)/SUMIFS($J$5:$J$220,$I$5:$I$220,"&gt;12",$F$5:$F$220,F365,$AR$5:$AR$220,$B$350),"")</f>
        <v>1.7944662240250175</v>
      </c>
      <c r="T365" s="254" cm="1">
        <f t="array" ref="T365">IFERROR(SUMPRODUCT(--($F$5:$F$220=F365),--($AR$5:$AR$220=$B$350),$T$5:$T$220,$J$5:$J$220)/SUMIFS($J$5:$J$220,$F$5:$F$220,F365,$AR$5:$AR$220,$B$350),"")</f>
        <v>1.7944664063211448</v>
      </c>
      <c r="U365" s="254" cm="1">
        <f t="array" ref="U365">IFERROR(SUMPRODUCT(--($F$5:$F$220=F365),--($AR$5:$AR$220=$B$350),$U$5:$U$220,$J$5:$J$220)/SUMIFS($J$5:$J$220,$F$5:$F$220,F365,$AR$5:$AR$220,$B$350),"")</f>
        <v>0.41106755194996486</v>
      </c>
      <c r="V365" s="254" cm="1">
        <f t="array" ref="V365">IFERROR(SUMPRODUCT(--($F$5:$F$220=F365),--($AR$5:$AR$220=$B$350),$V$5:$V$220,$J$5:$J$220)/SUMIFS($J$5:$J$220,$F$5:$F$220,F365,$AR$5:$AR$220,$B$350),"")</f>
        <v>0</v>
      </c>
      <c r="W365" s="254" cm="1">
        <f t="array" ref="W365">IFERROR(SUMPRODUCT(--($F$5:$F$220=F365),--($AR$5:$AR$220=$B$350),$W$5:$W$220,$J$5:$J$220)/SUMIFS($J$5:$J$220,$F$5:$F$220,F365,$AR$5:$AR$220,$B$350),"")</f>
        <v>0</v>
      </c>
      <c r="X365" s="256" cm="1">
        <f t="array" ref="X365">IFERROR((IFERROR(SUMPRODUCT(--($F$5:$F$220=F365),--($N$5:$N$220&gt;0),--($AR$5:$AR$220=$B$350),$J$5:$J$220,$Q$5:$Q$220)/SUMIFS($J$5:$J$220,$F$5:$F$220,F365,$N$5:$N$220,"&gt;0",$AR$5:$AR$220,$B$350),""))/N365-1,"NA")</f>
        <v>9.9849573721287666E-2</v>
      </c>
      <c r="Y365" s="256"/>
      <c r="Z365" s="289">
        <f t="shared" si="212"/>
        <v>0.23902136196616008</v>
      </c>
      <c r="AG365" s="290"/>
      <c r="AH365" s="290"/>
    </row>
    <row r="366" spans="1:34">
      <c r="B366" s="292"/>
      <c r="C366" s="293"/>
      <c r="D366" s="293"/>
      <c r="E366" s="293"/>
      <c r="F366" s="294" t="s">
        <v>27</v>
      </c>
      <c r="G366" s="294"/>
      <c r="H366" s="294">
        <f>SUM(H351:H365)</f>
        <v>103</v>
      </c>
      <c r="I366" s="302" cm="1">
        <f t="array" ref="I366">IFERROR(SUMPRODUCT(--($AR$5:$AR$220=$B$350),$J$5:$J$220,$I$5:$I$220)/SUMIFS($J$5:$J$220,$AR$5:$AR$220,$B$350)/12,"")</f>
        <v>4.3263464611190656</v>
      </c>
      <c r="J366" s="303">
        <f>SUM(J351:J365)</f>
        <v>3241293</v>
      </c>
      <c r="K366" s="303"/>
      <c r="L366" s="303"/>
      <c r="M366" s="303"/>
      <c r="N366" s="295" cm="1">
        <f t="array" ref="N366">IFERROR(SUMPRODUCT(--($AR$5:$AR$220=$B$350),$J$5:$J$220,$N$5:$N$220)/SUMIFS($J$5:$J$220,$AR$5:$AR$220,$B$350,$N$5:$N$220,"&gt;0"),"")</f>
        <v>5.6765021930435307</v>
      </c>
      <c r="O366" s="295" cm="1">
        <f t="array" ref="O366">IFERROR(SUMPRODUCT(--($AR$5:$AR$220=$B$350),$J$5:$J$220,$O$5:$O$220)/SUMIFS($J$5:$J$220,$AR$5:$AR$220,$B$350),"")</f>
        <v>7.1169502263448585</v>
      </c>
      <c r="P366" s="297" cm="1">
        <f t="array" ref="P366">IFERROR(SUMPRODUCT(--($AR$5:$AR$220=$B$350),$J$5:$J$220,$P$5:$P$220)/SUMIFS($J$5:$J$220,$AR$5:$AR$220,$B$350,$P$5:$P$220,"&gt;0"),"")</f>
        <v>7.3880300289233141</v>
      </c>
      <c r="Q366" s="295" cm="1">
        <f t="array" ref="Q366">IFERROR(SUMPRODUCT(--($AR$5:$AR$220=$B$350),$J$5:$J$220,$Q$5:$Q$220)/SUMIFS($J$5:$J$220,$AR$5:$AR$220,$B$350),"")</f>
        <v>7.8384546781176541</v>
      </c>
      <c r="R366" s="295" cm="1">
        <f t="array" ref="R366">IFERROR(SUMPRODUCT(--($I$5:$I$220&gt;12),--($AR$5:$AR$220=$B$350),$R$5:$R$220,$J$5:$J$220)/SUMIFS($J$5:$J$220,$I$5:$I$220,"&gt;12",$AR$5:$AR$220,$B$350),"")</f>
        <v>3.388943924538756</v>
      </c>
      <c r="S366" s="295" cm="1">
        <f t="array" ref="S366">IFERROR(SUMPRODUCT(--($I$5:$I$220&gt;12),--($AR$5:$AR$220=$B$350),$S$5:$S$220,$J$5:$J$220)/SUMIFS($J$5:$J$220,$I$5:$I$220,"&gt;12",$AR$5:$AR$220,$B$350),"")</f>
        <v>2.8345115791753472</v>
      </c>
      <c r="T366" s="295" cm="1">
        <f t="array" ref="T366">IFERROR(SUMPRODUCT(--($AR$5:$AR$220=$B$350),$T$5:$T$220,$J$5:$J$220)/SUMIFS($J$5:$J$220,$AR$5:$AR$220,$B$350),"")</f>
        <v>5.3072825559863901</v>
      </c>
      <c r="U366" s="295" cm="1">
        <f t="array" ref="U366">IFERROR(SUMPRODUCT(--($AR$5:$AR$220=$B$350),$U$5:$U$220,$J$5:$J$220)/SUMIFS($J$5:$J$220,$AR$5:$AR$220,$B$350),"")</f>
        <v>7.4141518375537165</v>
      </c>
      <c r="V366" s="295" cm="1">
        <f t="array" ref="V366">IFERROR(SUMPRODUCT(--($AR$5:$AR$220=$B$350),$V$5:$V$220,$J$5:$J$220)/SUMIFS($J$5:$J$220,$AR$5:$AR$220,$B$350),"")</f>
        <v>0</v>
      </c>
      <c r="W366" s="295" cm="1">
        <f t="array" ref="W366">IFERROR(SUMPRODUCT(--($AR$5:$AR$220=$B$350),$W$5:$W$220,$J$5:$J$220)/SUMIFS($J$5:$J$220,$AR$5:$AR$220,$B$350),"")</f>
        <v>0.51470169466321003</v>
      </c>
      <c r="X366" s="298" cm="1">
        <f t="array" ref="X366">IFERROR((IFERROR(SUMPRODUCT(--($N$5:$N$220&gt;0),--($AR$5:$AR$220=$B$350),$J$5:$J$220,$Q$5:$Q$220)/SUMIFS($J$5:$J$220,$N$5:$N$220,"&gt;0",$AR$5:$AR$220,$B$350),""))/N366-1,"NA")</f>
        <v>0.38500950059245609</v>
      </c>
      <c r="Y366" s="298"/>
      <c r="Z366" s="299">
        <f t="shared" si="212"/>
        <v>0.10137831919942308</v>
      </c>
      <c r="AG366" s="290"/>
      <c r="AH366" s="290"/>
    </row>
    <row r="367" spans="1:34">
      <c r="N367" s="222"/>
      <c r="O367" s="222"/>
      <c r="P367" s="222"/>
      <c r="Q367" s="222"/>
      <c r="T367" s="222"/>
      <c r="U367" s="222"/>
    </row>
    <row r="368" spans="1:34" s="246" customFormat="1" ht="14.45" thickBot="1">
      <c r="A368" s="250"/>
      <c r="B368" s="250"/>
      <c r="C368" s="250"/>
      <c r="D368" s="250"/>
      <c r="E368" s="250"/>
      <c r="F368" s="250"/>
      <c r="G368" s="250"/>
      <c r="H368" s="250"/>
      <c r="J368" s="305"/>
      <c r="K368" s="305"/>
      <c r="L368" s="305"/>
      <c r="M368" s="305"/>
      <c r="N368" s="288"/>
      <c r="O368" s="288"/>
      <c r="P368" s="288"/>
      <c r="Q368" s="288"/>
      <c r="R368" s="288"/>
      <c r="S368" s="288"/>
      <c r="T368" s="288"/>
      <c r="U368" s="288"/>
      <c r="AD368" s="287"/>
    </row>
    <row r="369" spans="1:34" s="246" customFormat="1" ht="14.45" thickBot="1">
      <c r="A369" s="306" t="s">
        <v>18</v>
      </c>
      <c r="B369" s="307" t="s">
        <v>26</v>
      </c>
      <c r="C369" s="308"/>
      <c r="D369" s="308"/>
      <c r="E369" s="308"/>
      <c r="F369" s="240" t="s">
        <v>86</v>
      </c>
      <c r="G369" s="364"/>
      <c r="H369" s="241" t="s">
        <v>730</v>
      </c>
      <c r="I369" s="242" t="s">
        <v>731</v>
      </c>
      <c r="J369" s="243" t="s">
        <v>732</v>
      </c>
      <c r="K369" s="243"/>
      <c r="L369" s="243"/>
      <c r="M369" s="243"/>
      <c r="N369" s="243" t="s">
        <v>94</v>
      </c>
      <c r="O369" s="243" t="s">
        <v>95</v>
      </c>
      <c r="P369" s="243" t="s">
        <v>58</v>
      </c>
      <c r="Q369" s="243" t="s">
        <v>96</v>
      </c>
      <c r="R369" s="243" t="s">
        <v>734</v>
      </c>
      <c r="S369" s="243" t="s">
        <v>735</v>
      </c>
      <c r="T369" s="243" t="s">
        <v>736</v>
      </c>
      <c r="U369" s="243" t="s">
        <v>737</v>
      </c>
      <c r="V369" s="243" t="s">
        <v>64</v>
      </c>
      <c r="W369" s="243" t="s">
        <v>738</v>
      </c>
      <c r="X369" s="243" t="s">
        <v>755</v>
      </c>
      <c r="Y369" s="243"/>
      <c r="Z369" s="245" t="s">
        <v>740</v>
      </c>
      <c r="AD369" s="287"/>
      <c r="AG369" s="248" t="s">
        <v>741</v>
      </c>
      <c r="AH369" s="248" t="s">
        <v>742</v>
      </c>
    </row>
    <row r="370" spans="1:34">
      <c r="A370" s="306" t="s">
        <v>17</v>
      </c>
      <c r="B370" s="251" t="s">
        <v>759</v>
      </c>
      <c r="C370" s="251"/>
      <c r="D370" s="251"/>
      <c r="E370" s="251"/>
      <c r="F370" s="251" t="s">
        <v>153</v>
      </c>
      <c r="H370" s="184">
        <f t="shared" ref="H370:H384" si="213">COUNTIFS($F$5:$F$220,F370,$AS$5:$AS$220,$B$369)</f>
        <v>3</v>
      </c>
      <c r="I370" s="300" cm="1">
        <f t="array" ref="I370">IFERROR(SUMPRODUCT(--($F$5:$F$220=F370),--($AS$5:$AS$220=$B$369),$J$5:$J$220,$I$5:$I$220)/SUMIFS($J$5:$J$220,$F$5:$F$220,F370,$AS$5:$AS$220,$B$369)/12,"")</f>
        <v>3.5739083989851785</v>
      </c>
      <c r="J370" s="253">
        <f t="shared" ref="J370:J384" si="214">SUMIFS($J$5:$J$220,$F$5:$F$220,F370,$AS$5:$AS$220,$B$369)</f>
        <v>44934</v>
      </c>
      <c r="K370" s="253"/>
      <c r="L370" s="253"/>
      <c r="M370" s="253"/>
      <c r="N370" s="254" cm="1">
        <f t="array" ref="N370">IFERROR(SUMPRODUCT(--($F$5:$F$220=F370),--($AS$5:$AS$220=$B$369),$J$5:$J$220,$N$5:$N$220)/SUMIFS($J$5:$J$220,$F$5:$F$220,F370,$AS$5:$AS$220,$B$369,$N$5:$N$220,"&gt;0"),"")</f>
        <v>4.9039124048604616</v>
      </c>
      <c r="O370" s="254" cm="1">
        <f t="array" ref="O370">IFERROR(SUMPRODUCT(--($F$5:$F$220=F370),--($AS$5:$AS$220=$B$369),$J$5:$J$220,$O$5:$O$220)/SUMIFS($J$5:$J$220,$F$5:$F$220,F370,$AS$5:$AS$220,$B$369),"")</f>
        <v>7.6592624738505375</v>
      </c>
      <c r="P370" s="254" cm="1">
        <f t="array" ref="P370">IFERROR(SUMPRODUCT(--($F$5:$F$220=F370),--($AS$5:$AS$220=$B$369),$J$5:$J$220,$P$5:$P$220)/SUMIFS($J$5:$J$220,$F$5:$F$220,F370,$AS$5:$AS$220,$B$369,$P$5:$P$220,"&gt;0"),"")</f>
        <v>6.5577593804246224</v>
      </c>
      <c r="Q370" s="254" cm="1">
        <f t="array" ref="Q370">IFERROR(SUMPRODUCT(--($F$5:$F$220=F370),--($AS$5:$AS$220=$B$369),$J$5:$J$220,$Q$5:$Q$220)/SUMIFS($J$5:$J$220,$AS$5:$AS$220,$B$369,$F$5:$F$220,F370),"")</f>
        <v>7.0756278096764147</v>
      </c>
      <c r="R370" s="254" cm="1">
        <f t="array" ref="R370">IFERROR(SUMPRODUCT(--($F$5:$F$220=F370),--($I$5:$I$220&gt;12),--($AS$5:$AS$220=$B$369),$R$5:$R$220,$J$5:$J$220)/SUMIFS($J$5:$J$220,$I$5:$I$220,"&gt;12",$F$5:$F$220,F370,$AS$5:$AS$220,$B$369),"")</f>
        <v>3.5695687007611161</v>
      </c>
      <c r="S370" s="254" cm="1">
        <f t="array" ref="S370">IFERROR(SUMPRODUCT(--($F$5:$F$220=F370),--($I$5:$I$220&gt;12),--($AS$5:$AS$220=$B$369),$S$5:$S$220,$J$5:$J$220)/SUMIFS($J$5:$J$220,$I$5:$I$220,"&gt;12",$F$5:$F$220,F370,$AS$5:$AS$220,$B$369),"")</f>
        <v>3.2869541994925893</v>
      </c>
      <c r="T370" s="254" cm="1">
        <f t="array" ref="T370">IFERROR(SUMPRODUCT(--($F$5:$F$220=F370),--($AS$5:$AS$220=$B$369),$T$5:$T$220,$J$5:$J$220)/SUMIFS($J$5:$J$220,$F$5:$F$220,F370,$AS$5:$AS$220,$B$369),"")</f>
        <v>0</v>
      </c>
      <c r="U370" s="254" cm="1">
        <f t="array" ref="U370">IFERROR(SUMPRODUCT(--($F$5:$F$220=F370),--($AS$5:$AS$220=$B$369),$U$5:$U$220,$J$5:$J$220)/SUMIFS($J$5:$J$220,$F$5:$F$220,F370,$AS$5:$AS$220,$B$369),"")</f>
        <v>0</v>
      </c>
      <c r="V370" s="254" cm="1">
        <f t="array" ref="V370">IFERROR(SUMPRODUCT(--($AR$5:$AR$220=$B$389),--($F$5:$F$220=F370),--($AS$5:$AS$220=$B$369),$V$5:$V$220,$J$5:$J$220)/SUMIFS($J$5:$J$220,$F$5:$F$220,F370,$AS$5:$AS$220,$B$369,$AR$5:$AR$220,$B$389),"")</f>
        <v>0</v>
      </c>
      <c r="W370" s="254" cm="1">
        <f t="array" ref="W370">IFERROR(SUMPRODUCT(--($AR$5:$AR$220=$B$389),--($F$5:$F$220=F370),--($AS$5:$AS$220=$B$369),$W$5:$W$220,$J$5:$J$220)/SUMIFS($J$5:$J$220,$F$5:$F$220,F370,$AS$5:$AS$220,$B$369,$AR$5:$AR$220,$B$389),"")</f>
        <v>6</v>
      </c>
      <c r="X370" s="256" cm="1">
        <f t="array" ref="X370">IFERROR((IFERROR(SUMPRODUCT(--($F$5:$F$220=F370),--($N$5:$N$220&gt;0),--($AS$5:$AS$220=$B$369),$J$5:$J$220,$Q$5:$Q$220)/SUMIFS($J$5:$J$220,$F$5:$F$220,F370,$N$5:$N$220,"&gt;0",$AS$5:$AS$220,$B$369),""))/N370-1,"NA")</f>
        <v>0.44285362900517544</v>
      </c>
      <c r="Y370" s="256"/>
      <c r="Z370" s="257">
        <f t="shared" ref="Z370:Z385" si="215">IFERROR(Q370/O370-1,"NA")</f>
        <v>-7.6199851639333183E-2</v>
      </c>
      <c r="AG370" s="254" t="str" cm="1">
        <f t="array" ref="AG370">IFERROR(SUMPRODUCT(--($F$5:$F$220=F370),--($AS$148:$AS$221=$B$369),$AG$5:$AG$220,$J$5:$J$220)/SUMIFS($J$5:$J$220,$F$5:$F$220,F370,$AS$148:$AS$221,$B$369),"")</f>
        <v/>
      </c>
      <c r="AH370" s="254" t="str" cm="1">
        <f t="array" ref="AH370">IFERROR(SUMPRODUCT(--($F$5:$F$220=F370),--($AS$148:$AS$221=$B$369),$AH$5:$AH$220,$J$5:$J$220)/SUMIFS($J$5:$J$220,$F$5:$F$220,F370,$AS$148:$AS$221,$B$369),"")</f>
        <v/>
      </c>
    </row>
    <row r="371" spans="1:34">
      <c r="A371" s="306" t="s">
        <v>15</v>
      </c>
      <c r="B371" s="251"/>
      <c r="C371" s="251"/>
      <c r="D371" s="251"/>
      <c r="E371" s="251"/>
      <c r="F371" s="251" t="s">
        <v>207</v>
      </c>
      <c r="H371" s="184">
        <f t="shared" si="213"/>
        <v>1</v>
      </c>
      <c r="I371" s="300" cm="1">
        <f t="array" ref="I371">IFERROR(SUMPRODUCT(--($F$5:$F$220=F371),--($AS$5:$AS$220=$B$369),$J$5:$J$220,$I$5:$I$220)/SUMIFS($J$5:$J$220,$F$5:$F$220,F371,$AS$5:$AS$220,$B$369)/12,"")</f>
        <v>4.583333333333333</v>
      </c>
      <c r="J371" s="253">
        <f t="shared" si="214"/>
        <v>3408</v>
      </c>
      <c r="K371" s="253"/>
      <c r="L371" s="253"/>
      <c r="M371" s="253"/>
      <c r="N371" s="254" cm="1">
        <f t="array" ref="N371">IFERROR(SUMPRODUCT(--($F$5:$F$220=F371),--($AS$5:$AS$220=$B$369),$J$5:$J$220,$N$5:$N$220)/SUMIFS($J$5:$J$220,$F$5:$F$220,F371,$AS$5:$AS$220,$B$369,$N$5:$N$220,"&gt;0"),"")</f>
        <v>11.069999999999999</v>
      </c>
      <c r="O371" s="254" cm="1">
        <f t="array" ref="O371">IFERROR(SUMPRODUCT(--($F$5:$F$220=F371),--($AS$5:$AS$220=$B$369),$J$5:$J$220,$O$5:$O$220)/SUMIFS($J$5:$J$220,$F$5:$F$220,F371,$AS$5:$AS$220,$B$369),"")</f>
        <v>13.11</v>
      </c>
      <c r="P371" s="254" cm="1">
        <f t="array" ref="P371">IFERROR(SUMPRODUCT(--($F$5:$F$220=F371),--($AS$5:$AS$220=$B$369),$J$5:$J$220,$P$5:$P$220)/SUMIFS($J$5:$J$220,$F$5:$F$220,F371,$AS$5:$AS$220,$B$369,$P$5:$P$220,"&gt;0"),"")</f>
        <v>12.5</v>
      </c>
      <c r="Q371" s="254" cm="1">
        <f t="array" ref="Q371">IFERROR(SUMPRODUCT(--($F$5:$F$220=F371),--($AS$5:$AS$220=$B$369),$J$5:$J$220,$Q$5:$Q$220)/SUMIFS($J$5:$J$220,$AS$5:$AS$220,$B$369,$F$5:$F$220,F371),"")</f>
        <v>12</v>
      </c>
      <c r="R371" s="254" cm="1">
        <f t="array" ref="R371">IFERROR(SUMPRODUCT(--($F$5:$F$220=F371),--($I$5:$I$220&gt;12),--($AS$5:$AS$220=$B$369),$R$5:$R$220,$J$5:$J$220)/SUMIFS($J$5:$J$220,$I$5:$I$220,"&gt;12",$F$5:$F$220,F371,$AS$5:$AS$220,$B$369),"")</f>
        <v>3</v>
      </c>
      <c r="S371" s="254" cm="1">
        <f t="array" ref="S371">IFERROR(SUMPRODUCT(--($F$5:$F$220=F371),--($I$5:$I$220&gt;12),--($AS$5:$AS$220=$B$369),$S$5:$S$220,$J$5:$J$220)/SUMIFS($J$5:$J$220,$I$5:$I$220,"&gt;12",$F$5:$F$220,F371,$AS$5:$AS$220,$B$369),"")</f>
        <v>4</v>
      </c>
      <c r="T371" s="254" cm="1">
        <f t="array" ref="T371">IFERROR(SUMPRODUCT(--($F$5:$F$220=F371),--($AS$5:$AS$220=$B$369),$T$5:$T$220,$J$5:$J$220)/SUMIFS($J$5:$J$220,$F$5:$F$220,F371,$AS$5:$AS$220,$B$369),"")</f>
        <v>0</v>
      </c>
      <c r="U371" s="254" cm="1">
        <f t="array" ref="U371">IFERROR(SUMPRODUCT(--($F$5:$F$220=F371),--($AS$5:$AS$220=$B$369),$U$5:$U$220,$J$5:$J$220)/SUMIFS($J$5:$J$220,$F$5:$F$220,F371,$AS$5:$AS$220,$B$369),"")</f>
        <v>0</v>
      </c>
      <c r="V371" s="254" t="str" cm="1">
        <f t="array" ref="V371">IFERROR(SUMPRODUCT(--($AR$5:$AR$220=$B$389),--($F$5:$F$220=F371),--($AS$5:$AS$220=$B$369),$V$5:$V$220,$J$5:$J$220)/SUMIFS($J$5:$J$220,$F$5:$F$220,F371,$AS$5:$AS$220,$B$369,$AR$5:$AR$220,$B$389),"")</f>
        <v/>
      </c>
      <c r="W371" s="254" t="str" cm="1">
        <f t="array" ref="W371">IFERROR(SUMPRODUCT(--($AR$5:$AR$220=$B$389),--($F$5:$F$220=F371),--($AS$5:$AS$220=$B$369),$W$5:$W$220,$J$5:$J$220)/SUMIFS($J$5:$J$220,$F$5:$F$220,F371,$AS$5:$AS$220,$B$369,$AR$5:$AR$220,$B$389),"")</f>
        <v/>
      </c>
      <c r="X371" s="256" cm="1">
        <f t="array" ref="X371">IFERROR((IFERROR(SUMPRODUCT(--($F$5:$F$220=F371),--($N$5:$N$220&gt;0),--($AS$5:$AS$220=$B$369),$J$5:$J$220,$Q$5:$Q$220)/SUMIFS($J$5:$J$220,$F$5:$F$220,F371,$N$5:$N$220,"&gt;0",$AS$5:$AS$220,$B$369),""))/N371-1,"NA")</f>
        <v>8.4010840108401208E-2</v>
      </c>
      <c r="Y371" s="256"/>
      <c r="Z371" s="257">
        <f t="shared" si="215"/>
        <v>-8.4668192219679583E-2</v>
      </c>
      <c r="AG371" s="254" t="str" cm="1">
        <f t="array" ref="AG371">IFERROR(SUMPRODUCT(--($F$5:$F$220=F371),--($AS$148:$AS$221=$B$369),$AG$5:$AG$220,$J$5:$J$220)/SUMIFS($J$5:$J$220,$F$5:$F$220,F371,$AS$148:$AS$221,$B$369),"")</f>
        <v/>
      </c>
      <c r="AH371" s="254" t="str" cm="1">
        <f t="array" ref="AH371">IFERROR(SUMPRODUCT(--($F$5:$F$220=F371),--($AS$148:$AS$221=$B$369),$AH$5:$AH$220,$J$5:$J$220)/SUMIFS($J$5:$J$220,$F$5:$F$220,F371,$AS$148:$AS$221,$B$369),"")</f>
        <v/>
      </c>
    </row>
    <row r="372" spans="1:34">
      <c r="A372" s="306" t="s">
        <v>14</v>
      </c>
      <c r="B372" s="251"/>
      <c r="C372" s="251"/>
      <c r="D372" s="251"/>
      <c r="E372" s="251"/>
      <c r="F372" s="251" t="s">
        <v>201</v>
      </c>
      <c r="H372" s="184">
        <f t="shared" si="213"/>
        <v>1</v>
      </c>
      <c r="I372" s="300" cm="1">
        <f t="array" ref="I372">IFERROR(SUMPRODUCT(--($F$5:$F$220=F372),--($AS$5:$AS$220=$B$369),$J$5:$J$220,$I$5:$I$220)/SUMIFS($J$5:$J$220,$F$5:$F$220,F372,$AS$5:$AS$220,$B$369)/12,"")</f>
        <v>1.5833333333333333</v>
      </c>
      <c r="J372" s="253">
        <f t="shared" si="214"/>
        <v>80000</v>
      </c>
      <c r="K372" s="253"/>
      <c r="L372" s="253"/>
      <c r="M372" s="253"/>
      <c r="N372" s="254" cm="1">
        <f t="array" ref="N372">IFERROR(SUMPRODUCT(--($F$5:$F$220=F372),--($AS$5:$AS$220=$B$369),$J$5:$J$220,$N$5:$N$220)/SUMIFS($J$5:$J$220,$F$5:$F$220,F372,$AS$5:$AS$220,$B$369,$N$5:$N$220,"&gt;0"),"")</f>
        <v>5.07</v>
      </c>
      <c r="O372" s="254" cm="1">
        <f t="array" ref="O372">IFERROR(SUMPRODUCT(--($F$5:$F$220=F372),--($AS$5:$AS$220=$B$369),$J$5:$J$220,$O$5:$O$220)/SUMIFS($J$5:$J$220,$F$5:$F$220,F372,$AS$5:$AS$220,$B$369),"")</f>
        <v>7.97</v>
      </c>
      <c r="P372" s="254" cm="1">
        <f t="array" ref="P372">IFERROR(SUMPRODUCT(--($F$5:$F$220=F372),--($AS$5:$AS$220=$B$369),$J$5:$J$220,$P$5:$P$220)/SUMIFS($J$5:$J$220,$F$5:$F$220,F372,$AS$5:$AS$220,$B$369,$P$5:$P$220,"&gt;0"),"")</f>
        <v>9.25</v>
      </c>
      <c r="Q372" s="254" cm="1">
        <f t="array" ref="Q372">IFERROR(SUMPRODUCT(--($F$5:$F$220=F372),--($AS$5:$AS$220=$B$369),$J$5:$J$220,$Q$5:$Q$220)/SUMIFS($J$5:$J$220,$AS$5:$AS$220,$B$369,$F$5:$F$220,F372),"")</f>
        <v>9.75</v>
      </c>
      <c r="R372" s="254" cm="1">
        <f t="array" ref="R372">IFERROR(SUMPRODUCT(--($F$5:$F$220=F372),--($I$5:$I$220&gt;12),--($AS$5:$AS$220=$B$369),$R$5:$R$220,$J$5:$J$220)/SUMIFS($J$5:$J$220,$I$5:$I$220,"&gt;12",$F$5:$F$220,F372,$AS$5:$AS$220,$B$369),"")</f>
        <v>4</v>
      </c>
      <c r="S372" s="254" cm="1">
        <f t="array" ref="S372">IFERROR(SUMPRODUCT(--($F$5:$F$220=F372),--($I$5:$I$220&gt;12),--($AS$5:$AS$220=$B$369),$S$5:$S$220,$J$5:$J$220)/SUMIFS($J$5:$J$220,$I$5:$I$220,"&gt;12",$F$5:$F$220,F372,$AS$5:$AS$220,$B$369),"")</f>
        <v>4</v>
      </c>
      <c r="T372" s="254" cm="1">
        <f t="array" ref="T372">IFERROR(SUMPRODUCT(--($F$5:$F$220=F372),--($AS$5:$AS$220=$B$369),$T$5:$T$220,$J$5:$J$220)/SUMIFS($J$5:$J$220,$F$5:$F$220,F372,$AS$5:$AS$220,$B$369),"")</f>
        <v>0</v>
      </c>
      <c r="U372" s="254" cm="1">
        <f t="array" ref="U372">IFERROR(SUMPRODUCT(--($F$5:$F$220=F372),--($AS$5:$AS$220=$B$369),$U$5:$U$220,$J$5:$J$220)/SUMIFS($J$5:$J$220,$F$5:$F$220,F372,$AS$5:$AS$220,$B$369),"")</f>
        <v>0</v>
      </c>
      <c r="V372" s="254" t="str" cm="1">
        <f t="array" ref="V372">IFERROR(SUMPRODUCT(--($AR$5:$AR$220=$B$389),--($F$5:$F$220=F372),--($AS$5:$AS$220=$B$369),$V$5:$V$220,$J$5:$J$220)/SUMIFS($J$5:$J$220,$F$5:$F$220,F372,$AS$5:$AS$220,$B$369,$AR$5:$AR$220,$B$389),"")</f>
        <v/>
      </c>
      <c r="W372" s="254" t="str" cm="1">
        <f t="array" ref="W372">IFERROR(SUMPRODUCT(--($AR$5:$AR$220=$B$389),--($F$5:$F$220=F372),--($AS$5:$AS$220=$B$369),$W$5:$W$220,$J$5:$J$220)/SUMIFS($J$5:$J$220,$F$5:$F$220,F372,$AS$5:$AS$220,$B$369,$AR$5:$AR$220,$B$389),"")</f>
        <v/>
      </c>
      <c r="X372" s="256" cm="1">
        <f t="array" ref="X372">IFERROR((IFERROR(SUMPRODUCT(--($F$5:$F$220=F372),--($N$5:$N$220&gt;0),--($AS$5:$AS$220=$B$369),$J$5:$J$220,$Q$5:$Q$220)/SUMIFS($J$5:$J$220,$F$5:$F$220,F372,$N$5:$N$220,"&gt;0",$AS$5:$AS$220,$B$369),""))/N372-1,"NA")</f>
        <v>0.92307692307692291</v>
      </c>
      <c r="Y372" s="256"/>
      <c r="Z372" s="257">
        <f t="shared" si="215"/>
        <v>0.22333751568381444</v>
      </c>
      <c r="AG372" s="254"/>
      <c r="AH372" s="254"/>
    </row>
    <row r="373" spans="1:34">
      <c r="A373" s="306" t="s">
        <v>13</v>
      </c>
      <c r="B373" s="251"/>
      <c r="C373" s="251"/>
      <c r="D373" s="251"/>
      <c r="E373" s="251"/>
      <c r="F373" s="251" t="s">
        <v>144</v>
      </c>
      <c r="H373" s="184">
        <f t="shared" si="213"/>
        <v>3</v>
      </c>
      <c r="I373" s="300" cm="1">
        <f t="array" ref="I373">IFERROR(SUMPRODUCT(--($F$5:$F$220=F373),--($AS$5:$AS$220=$B$369),$J$5:$J$220,$I$5:$I$220)/SUMIFS($J$5:$J$220,$F$5:$F$220,F373,$AS$5:$AS$220,$B$369)/12,"")</f>
        <v>5.9156560045672668</v>
      </c>
      <c r="J373" s="253">
        <f t="shared" si="214"/>
        <v>64809</v>
      </c>
      <c r="K373" s="253"/>
      <c r="L373" s="253"/>
      <c r="M373" s="253"/>
      <c r="N373" s="254" cm="1">
        <f t="array" ref="N373">IFERROR(SUMPRODUCT(--($F$5:$F$220=F373),--($AS$5:$AS$220=$B$369),$J$5:$J$220,$N$5:$N$220)/SUMIFS($J$5:$J$220,$F$5:$F$220,F373,$AS$5:$AS$220,$B$369,$N$5:$N$220,"&gt;0"),"")</f>
        <v>6.6979817617923434</v>
      </c>
      <c r="O373" s="254" cm="1">
        <f t="array" ref="O373">IFERROR(SUMPRODUCT(--($F$5:$F$220=F373),--($AS$5:$AS$220=$B$369),$J$5:$J$220,$O$5:$O$220)/SUMIFS($J$5:$J$220,$F$5:$F$220,F373,$AS$5:$AS$220,$B$369),"")</f>
        <v>6.5284011479887054</v>
      </c>
      <c r="P373" s="254" cm="1">
        <f t="array" ref="P373">IFERROR(SUMPRODUCT(--($F$5:$F$220=F373),--($AS$5:$AS$220=$B$369),$J$5:$J$220,$P$5:$P$220)/SUMIFS($J$5:$J$220,$F$5:$F$220,F373,$AS$5:$AS$220,$B$369,$P$5:$P$220,"&gt;0"),"")</f>
        <v>8.6645489052446418</v>
      </c>
      <c r="Q373" s="254" cm="1">
        <f t="array" ref="Q373">IFERROR(SUMPRODUCT(--($F$5:$F$220=F373),--($AS$5:$AS$220=$B$369),$J$5:$J$220,$Q$5:$Q$220)/SUMIFS($J$5:$J$220,$AS$5:$AS$220,$B$369,$F$5:$F$220,F373),"")</f>
        <v>8.8477780863768931</v>
      </c>
      <c r="R373" s="254" cm="1">
        <f t="array" ref="R373">IFERROR(SUMPRODUCT(--($F$5:$F$220=F373),--($I$5:$I$220&gt;12),--($AS$5:$AS$220=$B$369),$R$5:$R$220,$J$5:$J$220)/SUMIFS($J$5:$J$220,$I$5:$I$220,"&gt;12",$F$5:$F$220,F373,$AS$5:$AS$220,$B$369),"")</f>
        <v>3.5</v>
      </c>
      <c r="S373" s="254" cm="1">
        <f t="array" ref="S373">IFERROR(SUMPRODUCT(--($F$5:$F$220=F373),--($I$5:$I$220&gt;12),--($AS$5:$AS$220=$B$369),$S$5:$S$220,$J$5:$J$220)/SUMIFS($J$5:$J$220,$I$5:$I$220,"&gt;12",$F$5:$F$220,F373,$AS$5:$AS$220,$B$369),"")</f>
        <v>2.6677313336110724</v>
      </c>
      <c r="T373" s="254" cm="1">
        <f t="array" ref="T373">IFERROR(SUMPRODUCT(--($F$5:$F$220=F373),--($AS$5:$AS$220=$B$369),$T$5:$T$220,$J$5:$J$220)/SUMIFS($J$5:$J$220,$F$5:$F$220,F373,$AS$5:$AS$220,$B$369),"")</f>
        <v>0</v>
      </c>
      <c r="U373" s="254" cm="1">
        <f t="array" ref="U373">IFERROR(SUMPRODUCT(--($F$5:$F$220=F373),--($AS$5:$AS$220=$B$369),$U$5:$U$220,$J$5:$J$220)/SUMIFS($J$5:$J$220,$F$5:$F$220,F373,$AS$5:$AS$220,$B$369),"")</f>
        <v>0</v>
      </c>
      <c r="V373" s="254" cm="1">
        <f t="array" ref="V373">IFERROR(SUMPRODUCT(--($AR$5:$AR$220=$B$389),--($F$5:$F$220=F373),--($AS$5:$AS$220=$B$369),$V$5:$V$220,$J$5:$J$220)/SUMIFS($J$5:$J$220,$F$5:$F$220,F373,$AS$5:$AS$220,$B$369,$AR$5:$AR$220,$B$389),"")</f>
        <v>2.5537655663174541</v>
      </c>
      <c r="W373" s="254" cm="1">
        <f t="array" ref="W373">IFERROR(SUMPRODUCT(--($AR$5:$AR$220=$B$389),--($F$5:$F$220=F373),--($AS$5:$AS$220=$B$369),$W$5:$W$220,$J$5:$J$220)/SUMIFS($J$5:$J$220,$F$5:$F$220,F373,$AS$5:$AS$220,$B$369,$AR$5:$AR$220,$B$389),"")</f>
        <v>6.8512551887724848</v>
      </c>
      <c r="X373" s="256" cm="1">
        <f t="array" ref="X373">IFERROR((IFERROR(SUMPRODUCT(--($F$5:$F$220=F373),--($N$5:$N$220&gt;0),--($AS$5:$AS$220=$B$369),$J$5:$J$220,$Q$5:$Q$220)/SUMIFS($J$5:$J$220,$F$5:$F$220,F373,$N$5:$N$220,"&gt;0",$AS$5:$AS$220,$B$369),""))/N373-1,"NA")</f>
        <v>0.32096180626345516</v>
      </c>
      <c r="Y373" s="256"/>
      <c r="Z373" s="257">
        <f t="shared" si="215"/>
        <v>0.35527488060422718</v>
      </c>
      <c r="AG373" s="254" t="str" cm="1">
        <f t="array" ref="AG373">IFERROR(SUMPRODUCT(--($F$5:$F$220=F373),--($AS$148:$AS$221=$B$369),$AG$5:$AG$220,$J$5:$J$220)/SUMIFS($J$5:$J$220,$F$5:$F$220,F373,$AS$148:$AS$221,$B$369),"")</f>
        <v/>
      </c>
      <c r="AH373" s="254" t="str" cm="1">
        <f t="array" ref="AH373">IFERROR(SUMPRODUCT(--($F$5:$F$220=F373),--($AS$148:$AS$221=$B$369),$AH$5:$AH$220,$J$5:$J$220)/SUMIFS($J$5:$J$220,$F$5:$F$220,F373,$AS$148:$AS$221,$B$369),"")</f>
        <v/>
      </c>
    </row>
    <row r="374" spans="1:34">
      <c r="A374" s="306" t="s">
        <v>12</v>
      </c>
      <c r="B374" s="251"/>
      <c r="C374" s="251"/>
      <c r="D374" s="251"/>
      <c r="E374" s="251"/>
      <c r="F374" s="251" t="s">
        <v>185</v>
      </c>
      <c r="H374" s="184">
        <f t="shared" si="213"/>
        <v>1</v>
      </c>
      <c r="I374" s="300" cm="1">
        <f t="array" ref="I374">IFERROR(SUMPRODUCT(--($F$5:$F$220=F374),--($AS$5:$AS$220=$B$369),$J$5:$J$220,$I$5:$I$220)/SUMIFS($J$5:$J$220,$F$5:$F$220,F374,$AS$5:$AS$220,$B$369)/12,"")</f>
        <v>2</v>
      </c>
      <c r="J374" s="253">
        <f t="shared" si="214"/>
        <v>111087</v>
      </c>
      <c r="K374" s="253"/>
      <c r="L374" s="253"/>
      <c r="M374" s="253"/>
      <c r="N374" s="254" cm="1">
        <f t="array" ref="N374">IFERROR(SUMPRODUCT(--($F$5:$F$220=F374),--($AS$5:$AS$220=$B$369),$J$5:$J$220,$N$5:$N$220)/SUMIFS($J$5:$J$220,$F$5:$F$220,F374,$AS$5:$AS$220,$B$369,$N$5:$N$220,"&gt;0"),"")</f>
        <v>4.12</v>
      </c>
      <c r="O374" s="254" cm="1">
        <f t="array" ref="O374">IFERROR(SUMPRODUCT(--($F$5:$F$220=F374),--($AS$5:$AS$220=$B$369),$J$5:$J$220,$O$5:$O$220)/SUMIFS($J$5:$J$220,$F$5:$F$220,F374,$AS$5:$AS$220,$B$369),"")</f>
        <v>3.63</v>
      </c>
      <c r="P374" s="254" cm="1">
        <f t="array" ref="P374">IFERROR(SUMPRODUCT(--($F$5:$F$220=F374),--($AS$5:$AS$220=$B$369),$J$5:$J$220,$P$5:$P$220)/SUMIFS($J$5:$J$220,$F$5:$F$220,F374,$AS$5:$AS$220,$B$369,$P$5:$P$220,"&gt;0"),"")</f>
        <v>4.29</v>
      </c>
      <c r="Q374" s="254" cm="1">
        <f t="array" ref="Q374">IFERROR(SUMPRODUCT(--($F$5:$F$220=F374),--($AS$5:$AS$220=$B$369),$J$5:$J$220,$Q$5:$Q$220)/SUMIFS($J$5:$J$220,$AS$5:$AS$220,$B$369,$F$5:$F$220,F374),"")</f>
        <v>4.29</v>
      </c>
      <c r="R374" s="254" cm="1">
        <f t="array" ref="R374">IFERROR(SUMPRODUCT(--($F$5:$F$220=F374),--($I$5:$I$220&gt;12),--($AS$5:$AS$220=$B$369),$R$5:$R$220,$J$5:$J$220)/SUMIFS($J$5:$J$220,$I$5:$I$220,"&gt;12",$F$5:$F$220,F374,$AS$5:$AS$220,$B$369),"")</f>
        <v>4</v>
      </c>
      <c r="S374" s="254" cm="1">
        <f t="array" ref="S374">IFERROR(SUMPRODUCT(--($F$5:$F$220=F374),--($I$5:$I$220&gt;12),--($AS$5:$AS$220=$B$369),$S$5:$S$220,$J$5:$J$220)/SUMIFS($J$5:$J$220,$I$5:$I$220,"&gt;12",$F$5:$F$220,F374,$AS$5:$AS$220,$B$369),"")</f>
        <v>3</v>
      </c>
      <c r="T374" s="254" cm="1">
        <f t="array" ref="T374">IFERROR(SUMPRODUCT(--($F$5:$F$220=F374),--($AS$5:$AS$220=$B$369),$T$5:$T$220,$J$5:$J$220)/SUMIFS($J$5:$J$220,$F$5:$F$220,F374,$AS$5:$AS$220,$B$369),"")</f>
        <v>0</v>
      </c>
      <c r="U374" s="254" cm="1">
        <f t="array" ref="U374">IFERROR(SUMPRODUCT(--($F$5:$F$220=F374),--($AS$5:$AS$220=$B$369),$U$5:$U$220,$J$5:$J$220)/SUMIFS($J$5:$J$220,$F$5:$F$220,F374,$AS$5:$AS$220,$B$369),"")</f>
        <v>0</v>
      </c>
      <c r="V374" s="254" t="str" cm="1">
        <f t="array" ref="V374">IFERROR(SUMPRODUCT(--($AR$5:$AR$220=$B$389),--($F$5:$F$220=F374),--($AS$5:$AS$220=$B$369),$V$5:$V$220,$J$5:$J$220)/SUMIFS($J$5:$J$220,$F$5:$F$220,F374,$AS$5:$AS$220,$B$369,$AR$5:$AR$220,$B$389),"")</f>
        <v/>
      </c>
      <c r="W374" s="254" t="str" cm="1">
        <f t="array" ref="W374">IFERROR(SUMPRODUCT(--($AR$5:$AR$220=$B$389),--($F$5:$F$220=F374),--($AS$5:$AS$220=$B$369),$W$5:$W$220,$J$5:$J$220)/SUMIFS($J$5:$J$220,$F$5:$F$220,F374,$AS$5:$AS$220,$B$369,$AR$5:$AR$220,$B$389),"")</f>
        <v/>
      </c>
      <c r="X374" s="256" cm="1">
        <f t="array" ref="X374">IFERROR((IFERROR(SUMPRODUCT(--($F$5:$F$220=F374),--($N$5:$N$220&gt;0),--($AS$5:$AS$220=$B$369),$J$5:$J$220,$Q$5:$Q$220)/SUMIFS($J$5:$J$220,$F$5:$F$220,F374,$N$5:$N$220,"&gt;0",$AS$5:$AS$220,$B$369),""))/N374-1,"NA")</f>
        <v>4.1262135922329968E-2</v>
      </c>
      <c r="Y374" s="256"/>
      <c r="Z374" s="257">
        <f t="shared" si="215"/>
        <v>0.18181818181818188</v>
      </c>
      <c r="AG374" s="254" t="str" cm="1">
        <f t="array" ref="AG374">IFERROR(SUMPRODUCT(--($F$5:$F$220=F374),--($AS$148:$AS$221=$B$369),$AG$5:$AG$220,$J$5:$J$220)/SUMIFS($J$5:$J$220,$F$5:$F$220,F374,$AS$148:$AS$221,$B$369),"")</f>
        <v/>
      </c>
      <c r="AH374" s="254" t="str" cm="1">
        <f t="array" ref="AH374">IFERROR(SUMPRODUCT(--($F$5:$F$220=F374),--($AS$148:$AS$221=$B$369),$AH$5:$AH$220,$J$5:$J$220)/SUMIFS($J$5:$J$220,$F$5:$F$220,F374,$AS$148:$AS$221,$B$369),"")</f>
        <v/>
      </c>
    </row>
    <row r="375" spans="1:34">
      <c r="A375" s="306" t="s">
        <v>11</v>
      </c>
      <c r="B375" s="251"/>
      <c r="C375" s="251"/>
      <c r="D375" s="251"/>
      <c r="E375" s="251"/>
      <c r="F375" s="251" t="s">
        <v>214</v>
      </c>
      <c r="H375" s="184">
        <f t="shared" si="213"/>
        <v>0</v>
      </c>
      <c r="I375" s="300" t="str" cm="1">
        <f t="array" ref="I375">IFERROR(SUMPRODUCT(--($F$5:$F$220=F375),--($AS$5:$AS$220=$B$369),$J$5:$J$220,$I$5:$I$220)/SUMIFS($J$5:$J$220,$F$5:$F$220,F375,$AS$5:$AS$220,$B$369)/12,"")</f>
        <v/>
      </c>
      <c r="J375" s="253">
        <f t="shared" si="214"/>
        <v>0</v>
      </c>
      <c r="K375" s="253"/>
      <c r="L375" s="253"/>
      <c r="M375" s="253"/>
      <c r="N375" s="254" t="str" cm="1">
        <f t="array" ref="N375">IFERROR(SUMPRODUCT(--($F$5:$F$220=F375),--($AS$5:$AS$220=$B$369),$J$5:$J$220,$N$5:$N$220)/SUMIFS($J$5:$J$220,$F$5:$F$220,F375,$AS$5:$AS$220,$B$369,$N$5:$N$220,"&gt;0"),"")</f>
        <v/>
      </c>
      <c r="O375" s="254" t="str" cm="1">
        <f t="array" ref="O375">IFERROR(SUMPRODUCT(--($F$5:$F$220=F375),--($AS$5:$AS$220=$B$369),$J$5:$J$220,$O$5:$O$220)/SUMIFS($J$5:$J$220,$F$5:$F$220,F375,$AS$5:$AS$220,$B$369),"")</f>
        <v/>
      </c>
      <c r="P375" s="254" t="str" cm="1">
        <f t="array" ref="P375">IFERROR(SUMPRODUCT(--($F$5:$F$220=F375),--($AS$5:$AS$220=$B$369),$J$5:$J$220,$P$5:$P$220)/SUMIFS($J$5:$J$220,$F$5:$F$220,F375,$AS$5:$AS$220,$B$369,$P$5:$P$220,"&gt;0"),"")</f>
        <v/>
      </c>
      <c r="Q375" s="254" t="str" cm="1">
        <f t="array" ref="Q375">IFERROR(SUMPRODUCT(--($F$5:$F$220=F375),--($AS$5:$AS$220=$B$369),$J$5:$J$220,$Q$5:$Q$220)/SUMIFS($J$5:$J$220,$AS$5:$AS$220,$B$369,$F$5:$F$220,F375),"")</f>
        <v/>
      </c>
      <c r="R375" s="254" t="str" cm="1">
        <f t="array" ref="R375">IFERROR(SUMPRODUCT(--($F$5:$F$220=F375),--($I$5:$I$220&gt;12),--($AS$5:$AS$220=$B$369),$R$5:$R$220,$J$5:$J$220)/SUMIFS($J$5:$J$220,$I$5:$I$220,"&gt;12",$F$5:$F$220,F375,$AS$5:$AS$220,$B$369),"")</f>
        <v/>
      </c>
      <c r="S375" s="254" t="str" cm="1">
        <f t="array" ref="S375">IFERROR(SUMPRODUCT(--($F$5:$F$220=F375),--($I$5:$I$220&gt;12),--($AS$5:$AS$220=$B$369),$S$5:$S$220,$J$5:$J$220)/SUMIFS($J$5:$J$220,$I$5:$I$220,"&gt;12",$F$5:$F$220,F375,$AS$5:$AS$220,$B$369),"")</f>
        <v/>
      </c>
      <c r="T375" s="254" t="str" cm="1">
        <f t="array" ref="T375">IFERROR(SUMPRODUCT(--($F$5:$F$220=F375),--($AS$5:$AS$220=$B$369),$T$5:$T$220,$J$5:$J$220)/SUMIFS($J$5:$J$220,$F$5:$F$220,F375,$AS$5:$AS$220,$B$369),"")</f>
        <v/>
      </c>
      <c r="U375" s="254" t="str" cm="1">
        <f t="array" ref="U375">IFERROR(SUMPRODUCT(--($F$5:$F$220=F375),--($AS$5:$AS$220=$B$369),$U$5:$U$220,$J$5:$J$220)/SUMIFS($J$5:$J$220,$F$5:$F$220,F375,$AS$5:$AS$220,$B$369),"")</f>
        <v/>
      </c>
      <c r="V375" s="254" t="str" cm="1">
        <f t="array" ref="V375">IFERROR(SUMPRODUCT(--($AR$5:$AR$220=$B$389),--($F$5:$F$220=F375),--($AS$5:$AS$220=$B$369),$V$5:$V$220,$J$5:$J$220)/SUMIFS($J$5:$J$220,$F$5:$F$220,F375,$AS$5:$AS$220,$B$369,$AR$5:$AR$220,$B$389),"")</f>
        <v/>
      </c>
      <c r="W375" s="254" t="str" cm="1">
        <f t="array" ref="W375">IFERROR(SUMPRODUCT(--($AR$5:$AR$220=$B$389),--($F$5:$F$220=F375),--($AS$5:$AS$220=$B$369),$W$5:$W$220,$J$5:$J$220)/SUMIFS($J$5:$J$220,$F$5:$F$220,F375,$AS$5:$AS$220,$B$369,$AR$5:$AR$220,$B$389),"")</f>
        <v/>
      </c>
      <c r="X375" s="256" t="str" cm="1">
        <f t="array" ref="X375">IFERROR((IFERROR(SUMPRODUCT(--($F$5:$F$220=F375),--($N$5:$N$220&gt;0),--($AS$5:$AS$220=$B$369),$J$5:$J$220,$Q$5:$Q$220)/SUMIFS($J$5:$J$220,$F$5:$F$220,F375,$N$5:$N$220,"&gt;0",$AS$5:$AS$220,$B$369),""))/N375-1,"NA")</f>
        <v>NA</v>
      </c>
      <c r="Y375" s="256"/>
      <c r="Z375" s="257" t="str">
        <f t="shared" si="215"/>
        <v>NA</v>
      </c>
      <c r="AG375" s="254" t="str" cm="1">
        <f t="array" ref="AG375">IFERROR(SUMPRODUCT(--($F$5:$F$220=F375),--($AS$148:$AS$221=$B$369),$AG$5:$AG$220,$J$5:$J$220)/SUMIFS($J$5:$J$220,$F$5:$F$220,F375,$AS$148:$AS$221,$B$369),"")</f>
        <v/>
      </c>
      <c r="AH375" s="254" t="str" cm="1">
        <f t="array" ref="AH375">IFERROR(SUMPRODUCT(--($F$5:$F$220=F375),--($AS$148:$AS$221=$B$369),$AH$5:$AH$220,$J$5:$J$220)/SUMIFS($J$5:$J$220,$F$5:$F$220,F375,$AS$148:$AS$221,$B$369),"")</f>
        <v/>
      </c>
    </row>
    <row r="376" spans="1:34">
      <c r="A376" s="306" t="s">
        <v>19</v>
      </c>
      <c r="B376" s="251"/>
      <c r="C376" s="251"/>
      <c r="D376" s="251"/>
      <c r="E376" s="251"/>
      <c r="F376" s="251" t="s">
        <v>244</v>
      </c>
      <c r="H376" s="184">
        <f t="shared" si="213"/>
        <v>1</v>
      </c>
      <c r="I376" s="300" cm="1">
        <f t="array" ref="I376">IFERROR(SUMPRODUCT(--($F$5:$F$220=F376),--($AS$5:$AS$220=$B$369),$J$5:$J$220,$I$5:$I$220)/SUMIFS($J$5:$J$220,$F$5:$F$220,F376,$AS$5:$AS$220,$B$369)/12,"")</f>
        <v>3.0833333333333335</v>
      </c>
      <c r="J376" s="253">
        <f t="shared" si="214"/>
        <v>6924</v>
      </c>
      <c r="K376" s="253"/>
      <c r="L376" s="253"/>
      <c r="M376" s="253"/>
      <c r="N376" s="254" cm="1">
        <f t="array" ref="N376">IFERROR(SUMPRODUCT(--($F$5:$F$220=F376),--($AS$5:$AS$220=$B$369),$J$5:$J$220,$N$5:$N$220)/SUMIFS($J$5:$J$220,$F$5:$F$220,F376,$AS$5:$AS$220,$B$369,$N$5:$N$220,"&gt;0"),"")</f>
        <v>8.1199999999999992</v>
      </c>
      <c r="O376" s="254" cm="1">
        <f t="array" ref="O376">IFERROR(SUMPRODUCT(--($F$5:$F$220=F376),--($AS$5:$AS$220=$B$369),$J$5:$J$220,$O$5:$O$220)/SUMIFS($J$5:$J$220,$F$5:$F$220,F376,$AS$5:$AS$220,$B$369),"")</f>
        <v>8.1199999999999992</v>
      </c>
      <c r="P376" s="254" cm="1">
        <f t="array" ref="P376">IFERROR(SUMPRODUCT(--($F$5:$F$220=F376),--($AS$5:$AS$220=$B$369),$J$5:$J$220,$P$5:$P$220)/SUMIFS($J$5:$J$220,$F$5:$F$220,F376,$AS$5:$AS$220,$B$369,$P$5:$P$220,"&gt;0"),"")</f>
        <v>8.25</v>
      </c>
      <c r="Q376" s="254" cm="1">
        <f t="array" ref="Q376">IFERROR(SUMPRODUCT(--($F$5:$F$220=F376),--($AS$5:$AS$220=$B$369),$J$5:$J$220,$Q$5:$Q$220)/SUMIFS($J$5:$J$220,$AS$5:$AS$220,$B$369,$F$5:$F$220,F376),"")</f>
        <v>11.5</v>
      </c>
      <c r="R376" s="254" cm="1">
        <f t="array" ref="R376">IFERROR(SUMPRODUCT(--($F$5:$F$220=F376),--($I$5:$I$220&gt;12),--($AS$5:$AS$220=$B$369),$R$5:$R$220,$J$5:$J$220)/SUMIFS($J$5:$J$220,$I$5:$I$220,"&gt;12",$F$5:$F$220,F376,$AS$5:$AS$220,$B$369),"")</f>
        <v>4.5</v>
      </c>
      <c r="S376" s="254" cm="1">
        <f t="array" ref="S376">IFERROR(SUMPRODUCT(--($F$5:$F$220=F376),--($I$5:$I$220&gt;12),--($AS$5:$AS$220=$B$369),$S$5:$S$220,$J$5:$J$220)/SUMIFS($J$5:$J$220,$I$5:$I$220,"&gt;12",$F$5:$F$220,F376,$AS$5:$AS$220,$B$369),"")</f>
        <v>3</v>
      </c>
      <c r="T376" s="254" cm="1">
        <f t="array" ref="T376">IFERROR(SUMPRODUCT(--($F$5:$F$220=F376),--($AS$5:$AS$220=$B$369),$T$5:$T$220,$J$5:$J$220)/SUMIFS($J$5:$J$220,$F$5:$F$220,F376,$AS$5:$AS$220,$B$369),"")</f>
        <v>0</v>
      </c>
      <c r="U376" s="254" cm="1">
        <f t="array" ref="U376">IFERROR(SUMPRODUCT(--($F$5:$F$220=F376),--($AS$5:$AS$220=$B$369),$U$5:$U$220,$J$5:$J$220)/SUMIFS($J$5:$J$220,$F$5:$F$220,F376,$AS$5:$AS$220,$B$369),"")</f>
        <v>0</v>
      </c>
      <c r="V376" s="254" cm="1">
        <f t="array" ref="V376">IFERROR(SUMPRODUCT(--($AR$5:$AR$220=$B$389),--($F$5:$F$220=F376),--($AS$5:$AS$220=$B$369),$V$5:$V$220,$J$5:$J$220)/SUMIFS($J$5:$J$220,$F$5:$F$220,F376,$AS$5:$AS$220,$B$369,$AR$5:$AR$220,$B$389),"")</f>
        <v>7</v>
      </c>
      <c r="W376" s="254" cm="1">
        <f t="array" ref="W376">IFERROR(SUMPRODUCT(--($AR$5:$AR$220=$B$389),--($F$5:$F$220=F376),--($AS$5:$AS$220=$B$369),$W$5:$W$220,$J$5:$J$220)/SUMIFS($J$5:$J$220,$F$5:$F$220,F376,$AS$5:$AS$220,$B$369,$AR$5:$AR$220,$B$389),"")</f>
        <v>6</v>
      </c>
      <c r="X376" s="256" cm="1">
        <f t="array" ref="X376">IFERROR((IFERROR(SUMPRODUCT(--($F$5:$F$220=F376),--($N$5:$N$220&gt;0),--($AS$5:$AS$220=$B$369),$J$5:$J$220,$Q$5:$Q$220)/SUMIFS($J$5:$J$220,$F$5:$F$220,F376,$N$5:$N$220,"&gt;0",$AS$5:$AS$220,$B$369),""))/N376-1,"NA")</f>
        <v>0.41625615763546819</v>
      </c>
      <c r="Y376" s="256"/>
      <c r="Z376" s="257">
        <f t="shared" si="215"/>
        <v>0.41625615763546819</v>
      </c>
      <c r="AG376" s="254" t="str" cm="1">
        <f t="array" ref="AG376">IFERROR(SUMPRODUCT(--($F$5:$F$220=F376),--($AS$148:$AS$221=$B$369),$AG$5:$AG$220,$J$5:$J$220)/SUMIFS($J$5:$J$220,$F$5:$F$220,F376,$AS$148:$AS$221,$B$369),"")</f>
        <v/>
      </c>
      <c r="AH376" s="254" t="str" cm="1">
        <f t="array" ref="AH376">IFERROR(SUMPRODUCT(--($F$5:$F$220=F376),--($AS$148:$AS$221=$B$369),$AH$5:$AH$220,$J$5:$J$220)/SUMIFS($J$5:$J$220,$F$5:$F$220,F376,$AS$148:$AS$221,$B$369),"")</f>
        <v/>
      </c>
    </row>
    <row r="377" spans="1:34">
      <c r="A377" s="306" t="s">
        <v>20</v>
      </c>
      <c r="B377" s="251"/>
      <c r="C377" s="251"/>
      <c r="D377" s="251"/>
      <c r="E377" s="251"/>
      <c r="F377" s="251" t="s">
        <v>181</v>
      </c>
      <c r="H377" s="184">
        <f t="shared" si="213"/>
        <v>3</v>
      </c>
      <c r="I377" s="300" cm="1">
        <f t="array" ref="I377">IFERROR(SUMPRODUCT(--($F$5:$F$220=F377),--($AS$5:$AS$220=$B$369),$J$5:$J$220,$I$5:$I$220)/SUMIFS($J$5:$J$220,$F$5:$F$220,F377,$AS$5:$AS$220,$B$369)/12,"")</f>
        <v>5.4993680728172238</v>
      </c>
      <c r="J377" s="253">
        <f t="shared" si="214"/>
        <v>111036</v>
      </c>
      <c r="K377" s="253"/>
      <c r="L377" s="253"/>
      <c r="M377" s="253"/>
      <c r="N377" s="254" cm="1">
        <f t="array" ref="N377">IFERROR(SUMPRODUCT(--($F$5:$F$220=F377),--($AS$5:$AS$220=$B$369),$J$5:$J$220,$N$5:$N$220)/SUMIFS($J$5:$J$220,$F$5:$F$220,F377,$AS$5:$AS$220,$B$369,$N$5:$N$220,"&gt;0"),"")</f>
        <v>4.8883666931276935</v>
      </c>
      <c r="O377" s="254" cm="1">
        <f t="array" ref="O377">IFERROR(SUMPRODUCT(--($F$5:$F$220=F377),--($AS$5:$AS$220=$B$369),$J$5:$J$220,$O$5:$O$220)/SUMIFS($J$5:$J$220,$F$5:$F$220,F377,$AS$5:$AS$220,$B$369),"")</f>
        <v>8.0222938506430346</v>
      </c>
      <c r="P377" s="254" cm="1">
        <f t="array" ref="P377">IFERROR(SUMPRODUCT(--($F$5:$F$220=F377),--($AS$5:$AS$220=$B$369),$J$5:$J$220,$P$5:$P$220)/SUMIFS($J$5:$J$220,$F$5:$F$220,F377,$AS$5:$AS$220,$B$369,$P$5:$P$220,"&gt;0"),"")</f>
        <v>10.07121564177384</v>
      </c>
      <c r="Q377" s="254" cm="1">
        <f t="array" ref="Q377">IFERROR(SUMPRODUCT(--($F$5:$F$220=F377),--($AS$5:$AS$220=$B$369),$J$5:$J$220,$Q$5:$Q$220)/SUMIFS($J$5:$J$220,$AS$5:$AS$220,$B$369,$F$5:$F$220,F377),"")</f>
        <v>9.2067932922655711</v>
      </c>
      <c r="R377" s="254" cm="1">
        <f t="array" ref="R377">IFERROR(SUMPRODUCT(--($F$5:$F$220=F377),--($I$5:$I$220&gt;12),--($AS$5:$AS$220=$B$369),$R$5:$R$220,$J$5:$J$220)/SUMIFS($J$5:$J$220,$I$5:$I$220,"&gt;12",$F$5:$F$220,F377,$AS$5:$AS$220,$B$369),"")</f>
        <v>3.9279648042076443</v>
      </c>
      <c r="S377" s="254" cm="1">
        <f t="array" ref="S377">IFERROR(SUMPRODUCT(--($F$5:$F$220=F377),--($I$5:$I$220&gt;12),--($AS$5:$AS$220=$B$369),$S$5:$S$220,$J$5:$J$220)/SUMIFS($J$5:$J$220,$I$5:$I$220,"&gt;12",$F$5:$F$220,F377,$AS$5:$AS$220,$B$369),"")</f>
        <v>3.2881407831694225</v>
      </c>
      <c r="T377" s="254" cm="1">
        <f t="array" ref="T377">IFERROR(SUMPRODUCT(--($F$5:$F$220=F377),--($AS$5:$AS$220=$B$369),$T$5:$T$220,$J$5:$J$220)/SUMIFS($J$5:$J$220,$F$5:$F$220,F377,$AS$5:$AS$220,$B$369),"")</f>
        <v>0</v>
      </c>
      <c r="U377" s="254" cm="1">
        <f t="array" ref="U377">IFERROR(SUMPRODUCT(--($F$5:$F$220=F377),--($AS$5:$AS$220=$B$369),$U$5:$U$220,$J$5:$J$220)/SUMIFS($J$5:$J$220,$F$5:$F$220,F377,$AS$5:$AS$220,$B$369),"")</f>
        <v>0</v>
      </c>
      <c r="V377" s="254" cm="1">
        <f t="array" ref="V377">IFERROR(SUMPRODUCT(--($AR$5:$AR$220=$B$389),--($F$5:$F$220=F377),--($AS$5:$AS$220=$B$369),$V$5:$V$220,$J$5:$J$220)/SUMIFS($J$5:$J$220,$F$5:$F$220,F377,$AS$5:$AS$220,$B$369,$AR$5:$AR$220,$B$389),"")</f>
        <v>19.351709295588112</v>
      </c>
      <c r="W377" s="254" cm="1">
        <f t="array" ref="W377">IFERROR(SUMPRODUCT(--($AR$5:$AR$220=$B$389),--($F$5:$F$220=F377),--($AS$5:$AS$220=$B$369),$W$5:$W$220,$J$5:$J$220)/SUMIFS($J$5:$J$220,$F$5:$F$220,F377,$AS$5:$AS$220,$B$369,$AR$5:$AR$220,$B$389),"")</f>
        <v>7.6758546477940568</v>
      </c>
      <c r="X377" s="256" cm="1">
        <f t="array" ref="X377">IFERROR((IFERROR(SUMPRODUCT(--($F$5:$F$220=F377),--($N$5:$N$220&gt;0),--($AS$5:$AS$220=$B$369),$J$5:$J$220,$Q$5:$Q$220)/SUMIFS($J$5:$J$220,$F$5:$F$220,F377,$N$5:$N$220,"&gt;0",$AS$5:$AS$220,$B$369),""))/N377-1,"NA")</f>
        <v>0.73155940754125592</v>
      </c>
      <c r="Y377" s="256"/>
      <c r="Z377" s="257">
        <f t="shared" si="215"/>
        <v>0.14765096662815358</v>
      </c>
      <c r="AG377" s="254" t="str" cm="1">
        <f t="array" ref="AG377">IFERROR(SUMPRODUCT(--($F$5:$F$220=F377),--($AS$148:$AS$221=$B$369),$AG$5:$AG$220,$J$5:$J$220)/SUMIFS($J$5:$J$220,$F$5:$F$220,F377,$AS$148:$AS$221,$B$369),"")</f>
        <v/>
      </c>
      <c r="AH377" s="254" t="str" cm="1">
        <f t="array" ref="AH377">IFERROR(SUMPRODUCT(--($F$5:$F$220=F377),--($AS$148:$AS$221=$B$369),$AH$5:$AH$220,$J$5:$J$220)/SUMIFS($J$5:$J$220,$F$5:$F$220,F377,$AS$148:$AS$221,$B$369),"")</f>
        <v/>
      </c>
    </row>
    <row r="378" spans="1:34">
      <c r="A378" s="306" t="s">
        <v>21</v>
      </c>
      <c r="B378" s="251"/>
      <c r="C378" s="251"/>
      <c r="D378" s="251"/>
      <c r="E378" s="251"/>
      <c r="F378" s="251" t="s">
        <v>600</v>
      </c>
      <c r="H378" s="184">
        <f t="shared" si="213"/>
        <v>0</v>
      </c>
      <c r="I378" s="300" t="str" cm="1">
        <f t="array" ref="I378">IFERROR(SUMPRODUCT(--($F$5:$F$220=F378),--($AS$5:$AS$220=$B$369),$J$5:$J$220,$I$5:$I$220)/SUMIFS($J$5:$J$220,$F$5:$F$220,F378,$AS$5:$AS$220,$B$369)/12,"")</f>
        <v/>
      </c>
      <c r="J378" s="253">
        <f t="shared" si="214"/>
        <v>0</v>
      </c>
      <c r="K378" s="253"/>
      <c r="L378" s="253"/>
      <c r="M378" s="253"/>
      <c r="N378" s="254" t="str" cm="1">
        <f t="array" ref="N378">IFERROR(SUMPRODUCT(--($F$5:$F$220=F378),--($AS$5:$AS$220=$B$369),$J$5:$J$220,$N$5:$N$220)/SUMIFS($J$5:$J$220,$F$5:$F$220,F378,$AS$5:$AS$220,$B$369,$N$5:$N$220,"&gt;0"),"")</f>
        <v/>
      </c>
      <c r="O378" s="254" t="str" cm="1">
        <f t="array" ref="O378">IFERROR(SUMPRODUCT(--($F$5:$F$220=F378),--($AS$5:$AS$220=$B$369),$J$5:$J$220,$O$5:$O$220)/SUMIFS($J$5:$J$220,$F$5:$F$220,F378,$AS$5:$AS$220,$B$369),"")</f>
        <v/>
      </c>
      <c r="P378" s="254" t="str" cm="1">
        <f t="array" ref="P378">IFERROR(SUMPRODUCT(--($F$5:$F$220=F378),--($AS$5:$AS$220=$B$369),$J$5:$J$220,$P$5:$P$220)/SUMIFS($J$5:$J$220,$F$5:$F$220,F378,$AS$5:$AS$220,$B$369,$P$5:$P$220,"&gt;0"),"")</f>
        <v/>
      </c>
      <c r="Q378" s="254" t="str" cm="1">
        <f t="array" ref="Q378">IFERROR(SUMPRODUCT(--($F$5:$F$220=F378),--($AS$5:$AS$220=$B$369),$J$5:$J$220,$Q$5:$Q$220)/SUMIFS($J$5:$J$220,$AS$5:$AS$220,$B$369,$F$5:$F$220,F378),"")</f>
        <v/>
      </c>
      <c r="R378" s="254" t="str" cm="1">
        <f t="array" ref="R378">IFERROR(SUMPRODUCT(--($F$5:$F$220=F378),--($I$5:$I$220&gt;12),--($AS$5:$AS$220=$B$369),$R$5:$R$220,$J$5:$J$220)/SUMIFS($J$5:$J$220,$I$5:$I$220,"&gt;12",$F$5:$F$220,F378,$AS$5:$AS$220,$B$369),"")</f>
        <v/>
      </c>
      <c r="S378" s="254" t="str" cm="1">
        <f t="array" ref="S378">IFERROR(SUMPRODUCT(--($F$5:$F$220=F378),--($I$5:$I$220&gt;12),--($AS$5:$AS$220=$B$369),$S$5:$S$220,$J$5:$J$220)/SUMIFS($J$5:$J$220,$I$5:$I$220,"&gt;12",$F$5:$F$220,F378,$AS$5:$AS$220,$B$369),"")</f>
        <v/>
      </c>
      <c r="T378" s="254" t="str" cm="1">
        <f t="array" ref="T378">IFERROR(SUMPRODUCT(--($F$5:$F$220=F378),--($AS$5:$AS$220=$B$369),$T$5:$T$220,$J$5:$J$220)/SUMIFS($J$5:$J$220,$F$5:$F$220,F378,$AS$5:$AS$220,$B$369),"")</f>
        <v/>
      </c>
      <c r="U378" s="254" t="str" cm="1">
        <f t="array" ref="U378">IFERROR(SUMPRODUCT(--($F$5:$F$220=F378),--($AS$5:$AS$220=$B$369),$U$5:$U$220,$J$5:$J$220)/SUMIFS($J$5:$J$220,$F$5:$F$220,F378,$AS$5:$AS$220,$B$369),"")</f>
        <v/>
      </c>
      <c r="V378" s="254" t="str" cm="1">
        <f t="array" ref="V378">IFERROR(SUMPRODUCT(--($AR$5:$AR$220=$B$389),--($F$5:$F$220=F378),--($AS$5:$AS$220=$B$369),$V$5:$V$220,$J$5:$J$220)/SUMIFS($J$5:$J$220,$F$5:$F$220,F378,$AS$5:$AS$220,$B$369,$AR$5:$AR$220,$B$389),"")</f>
        <v/>
      </c>
      <c r="W378" s="254" t="str" cm="1">
        <f t="array" ref="W378">IFERROR(SUMPRODUCT(--($AR$5:$AR$220=$B$389),--($F$5:$F$220=F378),--($AS$5:$AS$220=$B$369),$W$5:$W$220,$J$5:$J$220)/SUMIFS($J$5:$J$220,$F$5:$F$220,F378,$AS$5:$AS$220,$B$369,$AR$5:$AR$220,$B$389),"")</f>
        <v/>
      </c>
      <c r="X378" s="256" t="str" cm="1">
        <f t="array" ref="X378">IFERROR((IFERROR(SUMPRODUCT(--($F$5:$F$220=F378),--($N$5:$N$220&gt;0),--($AS$5:$AS$220=$B$369),$J$5:$J$220,$Q$5:$Q$220)/SUMIFS($J$5:$J$220,$F$5:$F$220,F378,$N$5:$N$220,"&gt;0",$AS$5:$AS$220,$B$369),""))/N378-1,"NA")</f>
        <v>NA</v>
      </c>
      <c r="Y378" s="256"/>
      <c r="Z378" s="257" t="str">
        <f t="shared" si="215"/>
        <v>NA</v>
      </c>
      <c r="AG378" s="254" t="str" cm="1">
        <f t="array" ref="AG378">IFERROR(SUMPRODUCT(--($F$5:$F$220=F378),--($AS$148:$AS$221=$B$369),$AG$5:$AG$220,$J$5:$J$220)/SUMIFS($J$5:$J$220,$F$5:$F$220,F378,$AS$148:$AS$221,$B$369),"")</f>
        <v/>
      </c>
      <c r="AH378" s="254" t="str" cm="1">
        <f t="array" ref="AH378">IFERROR(SUMPRODUCT(--($F$5:$F$220=F378),--($AS$148:$AS$221=$B$369),$AH$5:$AH$220,$J$5:$J$220)/SUMIFS($J$5:$J$220,$F$5:$F$220,F378,$AS$148:$AS$221,$B$369),"")</f>
        <v/>
      </c>
    </row>
    <row r="379" spans="1:34">
      <c r="A379" s="306" t="s">
        <v>22</v>
      </c>
      <c r="B379" s="251"/>
      <c r="C379" s="251"/>
      <c r="D379" s="251"/>
      <c r="E379" s="251"/>
      <c r="F379" s="251" t="s">
        <v>221</v>
      </c>
      <c r="H379" s="184">
        <f t="shared" si="213"/>
        <v>0</v>
      </c>
      <c r="I379" s="300" t="str" cm="1">
        <f t="array" ref="I379">IFERROR(SUMPRODUCT(--($F$5:$F$220=F379),--($AS$5:$AS$220=$B$369),$J$5:$J$220,$I$5:$I$220)/SUMIFS($J$5:$J$220,$F$5:$F$220,F379,$AS$5:$AS$220,$B$369)/12,"")</f>
        <v/>
      </c>
      <c r="J379" s="253">
        <f t="shared" si="214"/>
        <v>0</v>
      </c>
      <c r="K379" s="253"/>
      <c r="L379" s="253"/>
      <c r="M379" s="253"/>
      <c r="N379" s="254" t="str" cm="1">
        <f t="array" ref="N379">IFERROR(SUMPRODUCT(--($F$5:$F$220=F379),--($AS$5:$AS$220=$B$369),$J$5:$J$220,$N$5:$N$220)/SUMIFS($J$5:$J$220,$F$5:$F$220,F379,$AS$5:$AS$220,$B$369,$N$5:$N$220,"&gt;0"),"")</f>
        <v/>
      </c>
      <c r="O379" s="254" t="str" cm="1">
        <f t="array" ref="O379">IFERROR(SUMPRODUCT(--($F$5:$F$220=F379),--($AS$5:$AS$220=$B$369),$J$5:$J$220,$O$5:$O$220)/SUMIFS($J$5:$J$220,$F$5:$F$220,F379,$AS$5:$AS$220,$B$369),"")</f>
        <v/>
      </c>
      <c r="P379" s="254" t="str" cm="1">
        <f t="array" ref="P379">IFERROR(SUMPRODUCT(--($F$5:$F$220=F379),--($AS$5:$AS$220=$B$369),$J$5:$J$220,$P$5:$P$220)/SUMIFS($J$5:$J$220,$F$5:$F$220,F379,$AS$5:$AS$220,$B$369,$P$5:$P$220,"&gt;0"),"")</f>
        <v/>
      </c>
      <c r="Q379" s="254" t="str" cm="1">
        <f t="array" ref="Q379">IFERROR(SUMPRODUCT(--($F$5:$F$220=F379),--($AS$5:$AS$220=$B$369),$J$5:$J$220,$Q$5:$Q$220)/SUMIFS($J$5:$J$220,$AS$5:$AS$220,$B$369,$F$5:$F$220,F379),"")</f>
        <v/>
      </c>
      <c r="R379" s="254" t="str" cm="1">
        <f t="array" ref="R379">IFERROR(SUMPRODUCT(--($F$5:$F$220=F379),--($I$5:$I$220&gt;12),--($AS$5:$AS$220=$B$369),$R$5:$R$220,$J$5:$J$220)/SUMIFS($J$5:$J$220,$I$5:$I$220,"&gt;12",$F$5:$F$220,F379,$AS$5:$AS$220,$B$369),"")</f>
        <v/>
      </c>
      <c r="S379" s="254" t="str" cm="1">
        <f t="array" ref="S379">IFERROR(SUMPRODUCT(--($F$5:$F$220=F379),--($I$5:$I$220&gt;12),--($AS$5:$AS$220=$B$369),$S$5:$S$220,$J$5:$J$220)/SUMIFS($J$5:$J$220,$I$5:$I$220,"&gt;12",$F$5:$F$220,F379,$AS$5:$AS$220,$B$369),"")</f>
        <v/>
      </c>
      <c r="T379" s="254" t="str" cm="1">
        <f t="array" ref="T379">IFERROR(SUMPRODUCT(--($F$5:$F$220=F379),--($AS$5:$AS$220=$B$369),$T$5:$T$220,$J$5:$J$220)/SUMIFS($J$5:$J$220,$F$5:$F$220,F379,$AS$5:$AS$220,$B$369),"")</f>
        <v/>
      </c>
      <c r="U379" s="254" t="str" cm="1">
        <f t="array" ref="U379">IFERROR(SUMPRODUCT(--($F$5:$F$220=F379),--($AS$5:$AS$220=$B$369),$U$5:$U$220,$J$5:$J$220)/SUMIFS($J$5:$J$220,$F$5:$F$220,F379,$AS$5:$AS$220,$B$369),"")</f>
        <v/>
      </c>
      <c r="V379" s="254" t="str" cm="1">
        <f t="array" ref="V379">IFERROR(SUMPRODUCT(--($AR$5:$AR$220=$B$389),--($F$5:$F$220=F379),--($AS$5:$AS$220=$B$369),$V$5:$V$220,$J$5:$J$220)/SUMIFS($J$5:$J$220,$F$5:$F$220,F379,$AS$5:$AS$220,$B$369,$AR$5:$AR$220,$B$389),"")</f>
        <v/>
      </c>
      <c r="W379" s="254" t="str" cm="1">
        <f t="array" ref="W379">IFERROR(SUMPRODUCT(--($AR$5:$AR$220=$B$389),--($F$5:$F$220=F379),--($AS$5:$AS$220=$B$369),$W$5:$W$220,$J$5:$J$220)/SUMIFS($J$5:$J$220,$F$5:$F$220,F379,$AS$5:$AS$220,$B$369,$AR$5:$AR$220,$B$389),"")</f>
        <v/>
      </c>
      <c r="X379" s="256" t="str" cm="1">
        <f t="array" ref="X379">IFERROR((IFERROR(SUMPRODUCT(--($F$5:$F$220=F379),--($N$5:$N$220&gt;0),--($AS$5:$AS$220=$B$369),$J$5:$J$220,$Q$5:$Q$220)/SUMIFS($J$5:$J$220,$F$5:$F$220,F379,$N$5:$N$220,"&gt;0",$AS$5:$AS$220,$B$369),""))/N379-1,"NA")</f>
        <v>NA</v>
      </c>
      <c r="Y379" s="256"/>
      <c r="Z379" s="257" t="str">
        <f t="shared" si="215"/>
        <v>NA</v>
      </c>
      <c r="AG379" s="254" t="str" cm="1">
        <f t="array" ref="AG379">IFERROR(SUMPRODUCT(--($F$5:$F$220=F379),--($AS$148:$AS$221=$B$369),$AG$5:$AG$220,$J$5:$J$220)/SUMIFS($J$5:$J$220,$F$5:$F$220,F379,$AS$148:$AS$221,$B$369),"")</f>
        <v/>
      </c>
      <c r="AH379" s="254" t="str" cm="1">
        <f t="array" ref="AH379">IFERROR(SUMPRODUCT(--($F$5:$F$220=F379),--($AS$148:$AS$221=$B$369),$AH$5:$AH$220,$J$5:$J$220)/SUMIFS($J$5:$J$220,$F$5:$F$220,F379,$AS$148:$AS$221,$B$369),"")</f>
        <v/>
      </c>
    </row>
    <row r="380" spans="1:34">
      <c r="A380" s="306" t="s">
        <v>23</v>
      </c>
      <c r="B380" s="251"/>
      <c r="C380" s="251"/>
      <c r="D380" s="251"/>
      <c r="E380" s="251"/>
      <c r="F380" s="251" t="s">
        <v>158</v>
      </c>
      <c r="H380" s="184">
        <f t="shared" si="213"/>
        <v>3</v>
      </c>
      <c r="I380" s="300" cm="1">
        <f t="array" ref="I380">IFERROR(SUMPRODUCT(--($F$5:$F$220=F380),--($AS$5:$AS$220=$B$369),$J$5:$J$220,$I$5:$I$220)/SUMIFS($J$5:$J$220,$F$5:$F$220,F380,$AS$5:$AS$220,$B$369)/12,"")</f>
        <v>4.5175887213180035</v>
      </c>
      <c r="J380" s="253">
        <f t="shared" si="214"/>
        <v>26788</v>
      </c>
      <c r="K380" s="253"/>
      <c r="L380" s="253"/>
      <c r="M380" s="253"/>
      <c r="N380" s="254" cm="1">
        <f t="array" ref="N380">IFERROR(SUMPRODUCT(--($F$5:$F$220=F380),--($AS$5:$AS$220=$B$369),$J$5:$J$220,$N$5:$N$220)/SUMIFS($J$5:$J$220,$F$5:$F$220,F380,$AS$5:$AS$220,$B$369,$N$5:$N$220,"&gt;0"),"")</f>
        <v>4.2356768558951963</v>
      </c>
      <c r="O380" s="254" cm="1">
        <f t="array" ref="O380">IFERROR(SUMPRODUCT(--($F$5:$F$220=F380),--($AS$5:$AS$220=$B$369),$J$5:$J$220,$O$5:$O$220)/SUMIFS($J$5:$J$220,$F$5:$F$220,F380,$AS$5:$AS$220,$B$369),"")</f>
        <v>4.8745707032999848</v>
      </c>
      <c r="P380" s="254" cm="1">
        <f t="array" ref="P380">IFERROR(SUMPRODUCT(--($F$5:$F$220=F380),--($AS$5:$AS$220=$B$369),$J$5:$J$220,$P$5:$P$220)/SUMIFS($J$5:$J$220,$F$5:$F$220,F380,$AS$5:$AS$220,$B$369,$P$5:$P$220,"&gt;0"),"")</f>
        <v>4.5829830521128869</v>
      </c>
      <c r="Q380" s="254" cm="1">
        <f t="array" ref="Q380">IFERROR(SUMPRODUCT(--($F$5:$F$220=F380),--($AS$5:$AS$220=$B$369),$J$5:$J$220,$Q$5:$Q$220)/SUMIFS($J$5:$J$220,$AS$5:$AS$220,$B$369,$F$5:$F$220,F380),"")</f>
        <v>5.1999141406599962</v>
      </c>
      <c r="R380" s="254" cm="1">
        <f t="array" ref="R380">IFERROR(SUMPRODUCT(--($F$5:$F$220=F380),--($I$5:$I$220&gt;12),--($AS$5:$AS$220=$B$369),$R$5:$R$220,$J$5:$J$220)/SUMIFS($J$5:$J$220,$I$5:$I$220,"&gt;12",$F$5:$F$220,F380,$AS$5:$AS$220,$B$369),"")</f>
        <v>3.320572644467672</v>
      </c>
      <c r="S380" s="254" cm="1">
        <f t="array" ref="S380">IFERROR(SUMPRODUCT(--($F$5:$F$220=F380),--($I$5:$I$220&gt;12),--($AS$5:$AS$220=$B$369),$S$5:$S$220,$J$5:$J$220)/SUMIFS($J$5:$J$220,$I$5:$I$220,"&gt;12",$F$5:$F$220,F380,$AS$5:$AS$220,$B$369),"")</f>
        <v>3</v>
      </c>
      <c r="T380" s="254" cm="1">
        <f t="array" ref="T380">IFERROR(SUMPRODUCT(--($F$5:$F$220=F380),--($AS$5:$AS$220=$B$369),$T$5:$T$220,$J$5:$J$220)/SUMIFS($J$5:$J$220,$F$5:$F$220,F380,$AS$5:$AS$220,$B$369),"")</f>
        <v>0</v>
      </c>
      <c r="U380" s="254" cm="1">
        <f t="array" ref="U380">IFERROR(SUMPRODUCT(--($F$5:$F$220=F380),--($AS$5:$AS$220=$B$369),$U$5:$U$220,$J$5:$J$220)/SUMIFS($J$5:$J$220,$F$5:$F$220,F380,$AS$5:$AS$220,$B$369),"")</f>
        <v>0</v>
      </c>
      <c r="V380" s="254" cm="1">
        <f t="array" ref="V380">IFERROR(SUMPRODUCT(--($AR$5:$AR$220=$B$389),--($F$5:$F$220=F380),--($AS$5:$AS$220=$B$369),$V$5:$V$220,$J$5:$J$220)/SUMIFS($J$5:$J$220,$F$5:$F$220,F380,$AS$5:$AS$220,$B$369,$AR$5:$AR$220,$B$389),"")</f>
        <v>4</v>
      </c>
      <c r="W380" s="254" cm="1">
        <f t="array" ref="W380">IFERROR(SUMPRODUCT(--($AR$5:$AR$220=$B$389),--($F$5:$F$220=F380),--($AS$5:$AS$220=$B$369),$W$5:$W$220,$J$5:$J$220)/SUMIFS($J$5:$J$220,$F$5:$F$220,F380,$AS$5:$AS$220,$B$369,$AR$5:$AR$220,$B$389),"")</f>
        <v>12</v>
      </c>
      <c r="X380" s="256" cm="1">
        <f t="array" ref="X380">IFERROR((IFERROR(SUMPRODUCT(--($F$5:$F$220=F380),--($N$5:$N$220&gt;0),--($AS$5:$AS$220=$B$369),$J$5:$J$220,$Q$5:$Q$220)/SUMIFS($J$5:$J$220,$F$5:$F$220,F380,$N$5:$N$220,"&gt;0",$AS$5:$AS$220,$B$369),""))/N380-1,"NA")</f>
        <v>0.1747786014000432</v>
      </c>
      <c r="Y380" s="256"/>
      <c r="Z380" s="257">
        <f t="shared" si="215"/>
        <v>6.6742992801347656E-2</v>
      </c>
      <c r="AG380" s="254" t="str" cm="1">
        <f t="array" ref="AG380">IFERROR(SUMPRODUCT(--($F$5:$F$220=F380),--($AS$148:$AS$221=$B$369),$AG$5:$AG$220,$J$5:$J$220)/SUMIFS($J$5:$J$220,$F$5:$F$220,F380,$AS$148:$AS$221,$B$369),"")</f>
        <v/>
      </c>
      <c r="AH380" s="254" t="str" cm="1">
        <f t="array" ref="AH380">IFERROR(SUMPRODUCT(--($F$5:$F$220=F380),--($AS$148:$AS$221=$B$369),$AH$5:$AH$220,$J$5:$J$220)/SUMIFS($J$5:$J$220,$F$5:$F$220,F380,$AS$148:$AS$221,$B$369),"")</f>
        <v/>
      </c>
    </row>
    <row r="381" spans="1:34">
      <c r="A381" s="306" t="s">
        <v>24</v>
      </c>
      <c r="B381" s="251"/>
      <c r="C381" s="251"/>
      <c r="D381" s="251"/>
      <c r="E381" s="251"/>
      <c r="F381" s="251" t="s">
        <v>474</v>
      </c>
      <c r="H381" s="184">
        <f t="shared" si="213"/>
        <v>0</v>
      </c>
      <c r="I381" s="300" t="str" cm="1">
        <f t="array" ref="I381">IFERROR(SUMPRODUCT(--($F$5:$F$220=F381),--($AS$5:$AS$220=$B$369),$J$5:$J$220,$I$5:$I$220)/SUMIFS($J$5:$J$220,$F$5:$F$220,F381,$AS$5:$AS$220,$B$369)/12,"")</f>
        <v/>
      </c>
      <c r="J381" s="253">
        <f t="shared" si="214"/>
        <v>0</v>
      </c>
      <c r="K381" s="253"/>
      <c r="L381" s="253"/>
      <c r="M381" s="253"/>
      <c r="N381" s="254" t="str" cm="1">
        <f t="array" ref="N381">IFERROR(SUMPRODUCT(--($F$5:$F$220=F381),--($AS$5:$AS$220=$B$369),$J$5:$J$220,$N$5:$N$220)/SUMIFS($J$5:$J$220,$F$5:$F$220,F381,$AS$5:$AS$220,$B$369,$N$5:$N$220,"&gt;0"),"")</f>
        <v/>
      </c>
      <c r="O381" s="254" t="str" cm="1">
        <f t="array" ref="O381">IFERROR(SUMPRODUCT(--($F$5:$F$220=F381),--($AS$5:$AS$220=$B$369),$J$5:$J$220,$O$5:$O$220)/SUMIFS($J$5:$J$220,$F$5:$F$220,F381,$AS$5:$AS$220,$B$369),"")</f>
        <v/>
      </c>
      <c r="P381" s="254" t="str" cm="1">
        <f t="array" ref="P381">IFERROR(SUMPRODUCT(--($F$5:$F$220=F381),--($AS$5:$AS$220=$B$369),$J$5:$J$220,$P$5:$P$220)/SUMIFS($J$5:$J$220,$F$5:$F$220,F381,$AS$5:$AS$220,$B$369,$P$5:$P$220,"&gt;0"),"")</f>
        <v/>
      </c>
      <c r="Q381" s="254" t="str" cm="1">
        <f t="array" ref="Q381">IFERROR(SUMPRODUCT(--($F$5:$F$220=F381),--($AS$5:$AS$220=$B$369),$J$5:$J$220,$Q$5:$Q$220)/SUMIFS($J$5:$J$220,$AS$5:$AS$220,$B$369,$F$5:$F$220,F381),"")</f>
        <v/>
      </c>
      <c r="R381" s="254" t="str" cm="1">
        <f t="array" ref="R381">IFERROR(SUMPRODUCT(--($F$5:$F$220=F381),--($I$5:$I$220&gt;12),--($AS$5:$AS$220=$B$369),$R$5:$R$220,$J$5:$J$220)/SUMIFS($J$5:$J$220,$I$5:$I$220,"&gt;12",$F$5:$F$220,F381,$AS$5:$AS$220,$B$369),"")</f>
        <v/>
      </c>
      <c r="S381" s="254" t="str" cm="1">
        <f t="array" ref="S381">IFERROR(SUMPRODUCT(--($F$5:$F$220=F381),--($I$5:$I$220&gt;12),--($AS$5:$AS$220=$B$369),$S$5:$S$220,$J$5:$J$220)/SUMIFS($J$5:$J$220,$I$5:$I$220,"&gt;12",$F$5:$F$220,F381,$AS$5:$AS$220,$B$369),"")</f>
        <v/>
      </c>
      <c r="T381" s="254" t="str" cm="1">
        <f t="array" ref="T381">IFERROR(SUMPRODUCT(--($F$5:$F$220=F381),--($AS$5:$AS$220=$B$369),$T$5:$T$220,$J$5:$J$220)/SUMIFS($J$5:$J$220,$F$5:$F$220,F381,$AS$5:$AS$220,$B$369),"")</f>
        <v/>
      </c>
      <c r="U381" s="254" t="str" cm="1">
        <f t="array" ref="U381">IFERROR(SUMPRODUCT(--($F$5:$F$220=F381),--($AS$5:$AS$220=$B$369),$U$5:$U$220,$J$5:$J$220)/SUMIFS($J$5:$J$220,$F$5:$F$220,F381,$AS$5:$AS$220,$B$369),"")</f>
        <v/>
      </c>
      <c r="V381" s="254" t="str" cm="1">
        <f t="array" ref="V381">IFERROR(SUMPRODUCT(--($AR$5:$AR$220=$B$389),--($F$5:$F$220=F381),--($AS$5:$AS$220=$B$369),$V$5:$V$220,$J$5:$J$220)/SUMIFS($J$5:$J$220,$F$5:$F$220,F381,$AS$5:$AS$220,$B$369,$AR$5:$AR$220,$B$389),"")</f>
        <v/>
      </c>
      <c r="W381" s="254" t="str" cm="1">
        <f t="array" ref="W381">IFERROR(SUMPRODUCT(--($AR$5:$AR$220=$B$389),--($F$5:$F$220=F381),--($AS$5:$AS$220=$B$369),$W$5:$W$220,$J$5:$J$220)/SUMIFS($J$5:$J$220,$F$5:$F$220,F381,$AS$5:$AS$220,$B$369,$AR$5:$AR$220,$B$389),"")</f>
        <v/>
      </c>
      <c r="X381" s="256" t="str" cm="1">
        <f t="array" ref="X381">IFERROR((IFERROR(SUMPRODUCT(--($F$5:$F$220=F381),--($N$5:$N$220&gt;0),--($AS$5:$AS$220=$B$369),$J$5:$J$220,$Q$5:$Q$220)/SUMIFS($J$5:$J$220,$F$5:$F$220,F381,$N$5:$N$220,"&gt;0",$AS$5:$AS$220,$B$369),""))/N381-1,"NA")</f>
        <v>NA</v>
      </c>
      <c r="Y381" s="256"/>
      <c r="Z381" s="257" t="str">
        <f t="shared" si="215"/>
        <v>NA</v>
      </c>
      <c r="AG381" s="254" t="str" cm="1">
        <f t="array" ref="AG381">IFERROR(SUMPRODUCT(--($F$5:$F$220=F381),--($AS$148:$AS$221=$B$369),$AG$5:$AG$220,$J$5:$J$220)/SUMIFS($J$5:$J$220,$F$5:$F$220,F381,$AS$148:$AS$221,$B$369),"")</f>
        <v/>
      </c>
      <c r="AH381" s="254" t="str" cm="1">
        <f t="array" ref="AH381">IFERROR(SUMPRODUCT(--($F$5:$F$220=F381),--($AS$148:$AS$221=$B$369),$AH$5:$AH$220,$J$5:$J$220)/SUMIFS($J$5:$J$220,$F$5:$F$220,F381,$AS$148:$AS$221,$B$369),"")</f>
        <v/>
      </c>
    </row>
    <row r="382" spans="1:34">
      <c r="A382" s="306" t="s">
        <v>25</v>
      </c>
      <c r="B382" s="251"/>
      <c r="C382" s="251"/>
      <c r="D382" s="251"/>
      <c r="E382" s="251"/>
      <c r="F382" s="251" t="s">
        <v>173</v>
      </c>
      <c r="H382" s="184">
        <f t="shared" si="213"/>
        <v>1</v>
      </c>
      <c r="I382" s="300" cm="1">
        <f t="array" ref="I382">IFERROR(SUMPRODUCT(--($F$5:$F$220=F382),--($AS$5:$AS$220=$B$369),$J$5:$J$220,$I$5:$I$220)/SUMIFS($J$5:$J$220,$F$5:$F$220,F382,$AS$5:$AS$220,$B$369)/12,"")</f>
        <v>5</v>
      </c>
      <c r="J382" s="253">
        <f t="shared" si="214"/>
        <v>32264</v>
      </c>
      <c r="K382" s="253"/>
      <c r="L382" s="253"/>
      <c r="M382" s="253"/>
      <c r="N382" s="254" cm="1">
        <f t="array" ref="N382">IFERROR(SUMPRODUCT(--($F$5:$F$220=F382),--($AS$5:$AS$220=$B$369),$J$5:$J$220,$N$5:$N$220)/SUMIFS($J$5:$J$220,$F$5:$F$220,F382,$AS$5:$AS$220,$B$369,$N$5:$N$220,"&gt;0"),"")</f>
        <v>12.22</v>
      </c>
      <c r="O382" s="254" cm="1">
        <f t="array" ref="O382">IFERROR(SUMPRODUCT(--($F$5:$F$220=F382),--($AS$5:$AS$220=$B$369),$J$5:$J$220,$O$5:$O$220)/SUMIFS($J$5:$J$220,$F$5:$F$220,F382,$AS$5:$AS$220,$B$369),"")</f>
        <v>13.77</v>
      </c>
      <c r="P382" s="254" cm="1">
        <f t="array" ref="P382">IFERROR(SUMPRODUCT(--($F$5:$F$220=F382),--($AS$5:$AS$220=$B$369),$J$5:$J$220,$P$5:$P$220)/SUMIFS($J$5:$J$220,$F$5:$F$220,F382,$AS$5:$AS$220,$B$369,$P$5:$P$220,"&gt;0"),"")</f>
        <v>15</v>
      </c>
      <c r="Q382" s="254" cm="1">
        <f t="array" ref="Q382">IFERROR(SUMPRODUCT(--($F$5:$F$220=F382),--($AS$5:$AS$220=$B$369),$J$5:$J$220,$Q$5:$Q$220)/SUMIFS($J$5:$J$220,$AS$5:$AS$220,$B$369,$F$5:$F$220,F382),"")</f>
        <v>15</v>
      </c>
      <c r="R382" s="254" cm="1">
        <f t="array" ref="R382">IFERROR(SUMPRODUCT(--($F$5:$F$220=F382),--($I$5:$I$220&gt;12),--($AS$5:$AS$220=$B$369),$R$5:$R$220,$J$5:$J$220)/SUMIFS($J$5:$J$220,$I$5:$I$220,"&gt;12",$F$5:$F$220,F382,$AS$5:$AS$220,$B$369),"")</f>
        <v>3</v>
      </c>
      <c r="S382" s="254" cm="1">
        <f t="array" ref="S382">IFERROR(SUMPRODUCT(--($F$5:$F$220=F382),--($I$5:$I$220&gt;12),--($AS$5:$AS$220=$B$369),$S$5:$S$220,$J$5:$J$220)/SUMIFS($J$5:$J$220,$I$5:$I$220,"&gt;12",$F$5:$F$220,F382,$AS$5:$AS$220,$B$369),"")</f>
        <v>3.5</v>
      </c>
      <c r="T382" s="254" cm="1">
        <f t="array" ref="T382">IFERROR(SUMPRODUCT(--($F$5:$F$220=F382),--($AS$5:$AS$220=$B$369),$T$5:$T$220,$J$5:$J$220)/SUMIFS($J$5:$J$220,$F$5:$F$220,F382,$AS$5:$AS$220,$B$369),"")</f>
        <v>0</v>
      </c>
      <c r="U382" s="254" cm="1">
        <f t="array" ref="U382">IFERROR(SUMPRODUCT(--($F$5:$F$220=F382),--($AS$5:$AS$220=$B$369),$U$5:$U$220,$J$5:$J$220)/SUMIFS($J$5:$J$220,$F$5:$F$220,F382,$AS$5:$AS$220,$B$369),"")</f>
        <v>0</v>
      </c>
      <c r="V382" s="254" t="str" cm="1">
        <f t="array" ref="V382">IFERROR(SUMPRODUCT(--($AR$5:$AR$220=$B$389),--($F$5:$F$220=F382),--($AS$5:$AS$220=$B$369),$V$5:$V$220,$J$5:$J$220)/SUMIFS($J$5:$J$220,$F$5:$F$220,F382,$AS$5:$AS$220,$B$369,$AR$5:$AR$220,$B$389),"")</f>
        <v/>
      </c>
      <c r="W382" s="254" t="str" cm="1">
        <f t="array" ref="W382">IFERROR(SUMPRODUCT(--($AR$5:$AR$220=$B$389),--($F$5:$F$220=F382),--($AS$5:$AS$220=$B$369),$W$5:$W$220,$J$5:$J$220)/SUMIFS($J$5:$J$220,$F$5:$F$220,F382,$AS$5:$AS$220,$B$369,$AR$5:$AR$220,$B$389),"")</f>
        <v/>
      </c>
      <c r="X382" s="256" cm="1">
        <f t="array" ref="X382">IFERROR((IFERROR(SUMPRODUCT(--($F$5:$F$220=F382),--($N$5:$N$220&gt;0),--($AS$5:$AS$220=$B$369),$J$5:$J$220,$Q$5:$Q$220)/SUMIFS($J$5:$J$220,$F$5:$F$220,F382,$N$5:$N$220,"&gt;0",$AS$5:$AS$220,$B$369),""))/N382-1,"NA")</f>
        <v>0.22749590834697209</v>
      </c>
      <c r="Y382" s="256"/>
      <c r="Z382" s="257">
        <f t="shared" si="215"/>
        <v>8.9324618736383421E-2</v>
      </c>
      <c r="AG382" s="254" t="str" cm="1">
        <f t="array" ref="AG382">IFERROR(SUMPRODUCT(--($F$5:$F$220=F382),--($AS$148:$AS$221=$B$369),$AG$5:$AG$220,$J$5:$J$220)/SUMIFS($J$5:$J$220,$F$5:$F$220,F382,$AS$148:$AS$221,$B$369),"")</f>
        <v/>
      </c>
      <c r="AH382" s="254" t="str" cm="1">
        <f t="array" ref="AH382">IFERROR(SUMPRODUCT(--($F$5:$F$220=F382),--($AS$148:$AS$221=$B$369),$AH$5:$AH$220,$J$5:$J$220)/SUMIFS($J$5:$J$220,$F$5:$F$220,F382,$AS$148:$AS$221,$B$369),"")</f>
        <v/>
      </c>
    </row>
    <row r="383" spans="1:34">
      <c r="A383" s="184" t="s">
        <v>26</v>
      </c>
      <c r="B383" s="251"/>
      <c r="C383" s="251"/>
      <c r="D383" s="251"/>
      <c r="E383" s="251"/>
      <c r="F383" s="251" t="s">
        <v>274</v>
      </c>
      <c r="H383" s="184">
        <f t="shared" si="213"/>
        <v>0</v>
      </c>
      <c r="I383" s="300" t="str" cm="1">
        <f t="array" ref="I383">IFERROR(SUMPRODUCT(--($F$5:$F$220=F383),--($AS$5:$AS$220=$B$369),$J$5:$J$220,$I$5:$I$220)/SUMIFS($J$5:$J$220,$F$5:$F$220,F383,$AS$5:$AS$220,$B$369)/12,"")</f>
        <v/>
      </c>
      <c r="J383" s="253">
        <f t="shared" si="214"/>
        <v>0</v>
      </c>
      <c r="K383" s="253"/>
      <c r="L383" s="253"/>
      <c r="M383" s="253"/>
      <c r="N383" s="254" t="str" cm="1">
        <f t="array" ref="N383">IFERROR(SUMPRODUCT(--($F$5:$F$220=F383),--($AS$5:$AS$220=$B$369),$J$5:$J$220,$N$5:$N$220)/SUMIFS($J$5:$J$220,$F$5:$F$220,F383,$AS$5:$AS$220,$B$369,$N$5:$N$220,"&gt;0"),"")</f>
        <v/>
      </c>
      <c r="O383" s="254" t="str" cm="1">
        <f t="array" ref="O383">IFERROR(SUMPRODUCT(--($F$5:$F$220=F383),--($AS$5:$AS$220=$B$369),$J$5:$J$220,$O$5:$O$220)/SUMIFS($J$5:$J$220,$F$5:$F$220,F383,$AS$5:$AS$220,$B$369),"")</f>
        <v/>
      </c>
      <c r="P383" s="254" t="str" cm="1">
        <f t="array" ref="P383">IFERROR(SUMPRODUCT(--($F$5:$F$220=F383),--($AS$5:$AS$220=$B$369),$J$5:$J$220,$P$5:$P$220)/SUMIFS($J$5:$J$220,$F$5:$F$220,F383,$AS$5:$AS$220,$B$369,$P$5:$P$220,"&gt;0"),"")</f>
        <v/>
      </c>
      <c r="Q383" s="254" t="str" cm="1">
        <f t="array" ref="Q383">IFERROR(SUMPRODUCT(--($F$5:$F$220=F383),--($AS$5:$AS$220=$B$369),$J$5:$J$220,$Q$5:$Q$220)/SUMIFS($J$5:$J$220,$AS$5:$AS$220,$B$369,$F$5:$F$220,F383),"")</f>
        <v/>
      </c>
      <c r="R383" s="254" t="str" cm="1">
        <f t="array" ref="R383">IFERROR(SUMPRODUCT(--($F$5:$F$220=F383),--($I$5:$I$220&gt;12),--($AS$5:$AS$220=$B$369),$R$5:$R$220,$J$5:$J$220)/SUMIFS($J$5:$J$220,$I$5:$I$220,"&gt;12",$F$5:$F$220,F383,$AS$5:$AS$220,$B$369),"")</f>
        <v/>
      </c>
      <c r="S383" s="254" t="str" cm="1">
        <f t="array" ref="S383">IFERROR(SUMPRODUCT(--($F$5:$F$220=F383),--($I$5:$I$220&gt;12),--($AS$5:$AS$220=$B$369),$S$5:$S$220,$J$5:$J$220)/SUMIFS($J$5:$J$220,$I$5:$I$220,"&gt;12",$F$5:$F$220,F383,$AS$5:$AS$220,$B$369),"")</f>
        <v/>
      </c>
      <c r="T383" s="254" t="str" cm="1">
        <f t="array" ref="T383">IFERROR(SUMPRODUCT(--($F$5:$F$220=F383),--($AS$5:$AS$220=$B$369),$T$5:$T$220,$J$5:$J$220)/SUMIFS($J$5:$J$220,$F$5:$F$220,F383,$AS$5:$AS$220,$B$369),"")</f>
        <v/>
      </c>
      <c r="U383" s="254" t="str" cm="1">
        <f t="array" ref="U383">IFERROR(SUMPRODUCT(--($F$5:$F$220=F383),--($AS$5:$AS$220=$B$369),$U$5:$U$220,$J$5:$J$220)/SUMIFS($J$5:$J$220,$F$5:$F$220,F383,$AS$5:$AS$220,$B$369),"")</f>
        <v/>
      </c>
      <c r="V383" s="254" t="str" cm="1">
        <f t="array" ref="V383">IFERROR(SUMPRODUCT(--($AR$5:$AR$220=$B$389),--($F$5:$F$220=F383),--($AS$5:$AS$220=$B$369),$V$5:$V$220,$J$5:$J$220)/SUMIFS($J$5:$J$220,$F$5:$F$220,F383,$AS$5:$AS$220,$B$369,$AR$5:$AR$220,$B$389),"")</f>
        <v/>
      </c>
      <c r="W383" s="254" t="str" cm="1">
        <f t="array" ref="W383">IFERROR(SUMPRODUCT(--($AR$5:$AR$220=$B$389),--($F$5:$F$220=F383),--($AS$5:$AS$220=$B$369),$W$5:$W$220,$J$5:$J$220)/SUMIFS($J$5:$J$220,$F$5:$F$220,F383,$AS$5:$AS$220,$B$369,$AR$5:$AR$220,$B$389),"")</f>
        <v/>
      </c>
      <c r="X383" s="256" t="str" cm="1">
        <f t="array" ref="X383">IFERROR((IFERROR(SUMPRODUCT(--($F$5:$F$220=F383),--($N$5:$N$220&gt;0),--($AS$5:$AS$220=$B$369),$J$5:$J$220,$Q$5:$Q$220)/SUMIFS($J$5:$J$220,$F$5:$F$220,F383,$N$5:$N$220,"&gt;0",$AS$5:$AS$220,$B$369),""))/N383-1,"NA")</f>
        <v>NA</v>
      </c>
      <c r="Y383" s="256"/>
      <c r="Z383" s="257" t="str">
        <f t="shared" si="215"/>
        <v>NA</v>
      </c>
      <c r="AG383" s="254" t="str" cm="1">
        <f t="array" ref="AG383">IFERROR(SUMPRODUCT(--($F$5:$F$220=F383),--($AS$148:$AS$221=$B$369),$AG$5:$AG$220,$J$5:$J$220)/SUMIFS($J$5:$J$220,$F$5:$F$220,F383,$AS$148:$AS$221,$B$369),"")</f>
        <v/>
      </c>
      <c r="AH383" s="254" t="str" cm="1">
        <f t="array" ref="AH383">IFERROR(SUMPRODUCT(--($F$5:$F$220=F383),--($AS$148:$AS$221=$B$369),$AH$5:$AH$220,$J$5:$J$220)/SUMIFS($J$5:$J$220,$F$5:$F$220,F383,$AS$148:$AS$221,$B$369),"")</f>
        <v/>
      </c>
    </row>
    <row r="384" spans="1:34">
      <c r="B384" s="251"/>
      <c r="C384" s="251"/>
      <c r="D384" s="251"/>
      <c r="E384" s="251"/>
      <c r="F384" s="251" t="s">
        <v>177</v>
      </c>
      <c r="H384" s="184">
        <f t="shared" si="213"/>
        <v>0</v>
      </c>
      <c r="I384" s="300" t="str" cm="1">
        <f t="array" ref="I384">IFERROR(SUMPRODUCT(--($F$5:$F$220=F384),--($AS$5:$AS$220=$B$369),$J$5:$J$220,$I$5:$I$220)/SUMIFS($J$5:$J$220,$F$5:$F$220,F384,$AS$5:$AS$220,$B$369)/12,"")</f>
        <v/>
      </c>
      <c r="J384" s="253">
        <f t="shared" si="214"/>
        <v>0</v>
      </c>
      <c r="K384" s="253"/>
      <c r="L384" s="253"/>
      <c r="M384" s="253"/>
      <c r="N384" s="254" t="str" cm="1">
        <f t="array" ref="N384">IFERROR(SUMPRODUCT(--($F$5:$F$220=F384),--($AS$5:$AS$220=$B$369),$J$5:$J$220,$N$5:$N$220)/SUMIFS($J$5:$J$220,$F$5:$F$220,F384,$AS$5:$AS$220,$B$369,$N$5:$N$220,"&gt;0"),"")</f>
        <v/>
      </c>
      <c r="O384" s="254" t="str" cm="1">
        <f t="array" ref="O384">IFERROR(SUMPRODUCT(--($F$5:$F$220=F384),--($AS$5:$AS$220=$B$369),$J$5:$J$220,$O$5:$O$220)/SUMIFS($J$5:$J$220,$F$5:$F$220,F384,$AS$5:$AS$220,$B$369),"")</f>
        <v/>
      </c>
      <c r="P384" s="254" t="str" cm="1">
        <f t="array" ref="P384">IFERROR(SUMPRODUCT(--($F$5:$F$220=F384),--($AS$5:$AS$220=$B$369),$J$5:$J$220,$P$5:$P$220)/SUMIFS($J$5:$J$220,$F$5:$F$220,F384,$AS$5:$AS$220,$B$369,$P$5:$P$220,"&gt;0"),"")</f>
        <v/>
      </c>
      <c r="Q384" s="254" t="str" cm="1">
        <f t="array" ref="Q384">IFERROR(SUMPRODUCT(--($F$5:$F$220=F384),--($AS$5:$AS$220=$B$369),$J$5:$J$220,$Q$5:$Q$220)/SUMIFS($J$5:$J$220,$AS$5:$AS$220,$B$369,$F$5:$F$220,F384),"")</f>
        <v/>
      </c>
      <c r="R384" s="254" t="str" cm="1">
        <f t="array" ref="R384">IFERROR(SUMPRODUCT(--($F$5:$F$220=F384),--($I$5:$I$220&gt;12),--($AS$5:$AS$220=$B$369),$R$5:$R$220,$J$5:$J$220)/SUMIFS($J$5:$J$220,$I$5:$I$220,"&gt;12",$F$5:$F$220,F384,$AS$5:$AS$220,$B$369),"")</f>
        <v/>
      </c>
      <c r="S384" s="254" t="str" cm="1">
        <f t="array" ref="S384">IFERROR(SUMPRODUCT(--($F$5:$F$220=F384),--($I$5:$I$220&gt;12),--($AS$5:$AS$220=$B$369),$S$5:$S$220,$J$5:$J$220)/SUMIFS($J$5:$J$220,$I$5:$I$220,"&gt;12",$F$5:$F$220,F384,$AS$5:$AS$220,$B$369),"")</f>
        <v/>
      </c>
      <c r="T384" s="254" t="str" cm="1">
        <f t="array" ref="T384">IFERROR(SUMPRODUCT(--($F$5:$F$220=F384),--($AS$5:$AS$220=$B$369),$T$5:$T$220,$J$5:$J$220)/SUMIFS($J$5:$J$220,$F$5:$F$220,F384,$AS$5:$AS$220,$B$369),"")</f>
        <v/>
      </c>
      <c r="U384" s="254" t="str" cm="1">
        <f t="array" ref="U384">IFERROR(SUMPRODUCT(--($F$5:$F$220=F384),--($AS$5:$AS$220=$B$369),$U$5:$U$220,$J$5:$J$220)/SUMIFS($J$5:$J$220,$F$5:$F$220,F384,$AS$5:$AS$220,$B$369),"")</f>
        <v/>
      </c>
      <c r="V384" s="254" t="str" cm="1">
        <f t="array" ref="V384">IFERROR(SUMPRODUCT(--($AR$5:$AR$220=$B$389),--($F$5:$F$220=F384),--($AS$5:$AS$220=$B$369),$V$5:$V$220,$J$5:$J$220)/SUMIFS($J$5:$J$220,$F$5:$F$220,F384,$AS$5:$AS$220,$B$369,$AR$5:$AR$220,$B$389),"")</f>
        <v/>
      </c>
      <c r="W384" s="254" t="str" cm="1">
        <f t="array" ref="W384">IFERROR(SUMPRODUCT(--($AR$5:$AR$220=$B$389),--($F$5:$F$220=F384),--($AS$5:$AS$220=$B$369),$W$5:$W$220,$J$5:$J$220)/SUMIFS($J$5:$J$220,$F$5:$F$220,F384,$AS$5:$AS$220,$B$369,$AR$5:$AR$220,$B$389),"")</f>
        <v/>
      </c>
      <c r="X384" s="256" t="str" cm="1">
        <f t="array" ref="X384">IFERROR((IFERROR(SUMPRODUCT(--($F$5:$F$220=F384),--($N$5:$N$220&gt;0),--($AS$5:$AS$220=$B$369),$J$5:$J$220,$Q$5:$Q$220)/SUMIFS($J$5:$J$220,$F$5:$F$220,F384,$N$5:$N$220,"&gt;0",$AS$5:$AS$220,$B$369),""))/N384-1,"NA")</f>
        <v>NA</v>
      </c>
      <c r="Y384" s="256"/>
      <c r="Z384" s="257" t="str">
        <f t="shared" si="215"/>
        <v>NA</v>
      </c>
      <c r="AG384" s="254" t="str" cm="1">
        <f t="array" ref="AG384">IFERROR(SUMPRODUCT(--($F$5:$F$220=F384),--($AS$148:$AS$221=$B$369),$AG$5:$AG$220,$J$5:$J$220)/SUMIFS($J$5:$J$220,$F$5:$F$220,F384,$AS$148:$AS$221,$B$369),"")</f>
        <v/>
      </c>
      <c r="AH384" s="254" t="str" cm="1">
        <f t="array" ref="AH384">IFERROR(SUMPRODUCT(--($F$5:$F$220=F384),--($AS$148:$AS$221=$B$369),$AH$5:$AH$220,$J$5:$J$220)/SUMIFS($J$5:$J$220,$F$5:$F$220,F384,$AS$148:$AS$221,$B$369),"")</f>
        <v/>
      </c>
    </row>
    <row r="385" spans="1:34" ht="14.45" thickBot="1">
      <c r="B385" s="260"/>
      <c r="C385" s="260"/>
      <c r="D385" s="260"/>
      <c r="E385" s="260"/>
      <c r="F385" s="261" t="s">
        <v>27</v>
      </c>
      <c r="G385" s="262"/>
      <c r="H385" s="262">
        <f>SUM(H370:H384)</f>
        <v>17</v>
      </c>
      <c r="I385" s="309" cm="1">
        <f t="array" ref="I385">IFERROR(SUMPRODUCT(--($AS$5:$AS$220=$B$369),$J$5:$J$220,$I$5:$I$220)/SUMIFS($J$5:$J$220,$AS$5:$AS$220,$B$369)/12,"")</f>
        <v>3.7875374891774896</v>
      </c>
      <c r="J385" s="264">
        <f>SUM(J370:J384)</f>
        <v>481250</v>
      </c>
      <c r="K385" s="264"/>
      <c r="L385" s="264"/>
      <c r="M385" s="264"/>
      <c r="N385" s="263" cm="1">
        <f t="array" ref="N385">IFERROR(SUMPRODUCT(--($AS$5:$AS$220=$B$369),$J$5:$J$220,$N$5:$N$220)/SUMIFS($J$5:$J$220,$AS$5:$AS$220,$B$369,$N$5:$N$220,"&gt;0"),"")</f>
        <v>5.6211449744285558</v>
      </c>
      <c r="O385" s="263" cm="1">
        <f t="array" ref="O385">IFERROR(SUMPRODUCT(--($AS$5:$AS$220=$B$369),$J$5:$J$220,$O$5:$O$220)/SUMIFS($J$5:$J$220,$AS$5:$AS$220,$B$369),"")</f>
        <v>7.0122113662337666</v>
      </c>
      <c r="P385" s="263" cm="1">
        <f t="array" ref="P385">IFERROR(SUMPRODUCT(--($AS$5:$AS$220=$B$369),$J$5:$J$220,$P$5:$P$220)/SUMIFS($J$5:$J$220,$AS$5:$AS$220,$B$369,$P$5:$P$220,"&gt;0"),"")</f>
        <v>8.0986800831168839</v>
      </c>
      <c r="Q385" s="263" cm="1">
        <f t="array" ref="Q385">IFERROR(SUMPRODUCT(--($AS$5:$AS$220=$B$369),$J$5:$J$220,$Q$5:$Q$220)/SUMIFS($J$5:$J$220,$AS$5:$AS$220,$B$369),"")</f>
        <v>8.1329411740259747</v>
      </c>
      <c r="R385" s="263" cm="1">
        <f t="array" ref="R385">IFERROR(SUMPRODUCT(--($I$5:$I$220&gt;12),--($AS$5:$AS$220=$B$369),$R$5:$R$220,$Q$5:$Q$220)/SUMIFS($Q$5:$Q$220,$I$5:$I$220,"&gt;12",$AS$5:$AS$220,$B$369),"")</f>
        <v>3.6096179553929506</v>
      </c>
      <c r="S385" s="263" cm="1">
        <f t="array" ref="S385">IFERROR(SUMPRODUCT(--($I$5:$I$220&gt;12),--($AS$5:$AS$220=$B$369),$S$5:$S$220,$J$5:$J$220)/SUMIFS($J$5:$J$220,$I$5:$I$220,"&gt;12",$AS$5:$AS$220,$B$369),"")</f>
        <v>3.2553641558441559</v>
      </c>
      <c r="T385" s="263" cm="1">
        <f t="array" ref="T385">IFERROR(SUMPRODUCT(--($AS$5:$AS$220=$B$369),$T$5:$T$220,$J$5:$J$220)/SUMIFS($J$5:$J$220,$AS$5:$AS$220,$B$369),"")</f>
        <v>0</v>
      </c>
      <c r="U385" s="263" cm="1">
        <f t="array" ref="U385">IFERROR(SUMPRODUCT(--($AS$5:$AS$220=$B$369),$U$5:$U$220,$J$5:$J$220)/SUMIFS($J$5:$J$220,$AS$5:$AS$220,$B$369),"")</f>
        <v>0</v>
      </c>
      <c r="V385" s="263" cm="1">
        <f t="array" ref="V385">IFERROR(SUMPRODUCT(--($AR$5:$AR$220=$B$389),--($AS$5:$AS$220=$B$369),$V$5:$V$220,$J$5:$J$220)/SUMIFS($J$5:$J$220,$AS$5:$AS$220,$B$369,$AR$5:$AR$220,$B$389),"")</f>
        <v>11.925131451790865</v>
      </c>
      <c r="W385" s="263" cm="1">
        <f t="array" ref="W385">IFERROR(SUMPRODUCT(--($AR$5:$AR$220=$B$389),--($AS$5:$AS$220=$B$369),$W$5:$W$220,$J$5:$J$220)/SUMIFS($J$5:$J$220,$AS$5:$AS$220,$B$369,$AR$5:$AR$220,$B$389),"")</f>
        <v>7.5598666839145618</v>
      </c>
      <c r="X385" s="266" cm="1">
        <f t="array" ref="X385">IFERROR((IFERROR(SUMPRODUCT(--($N$5:$N$220&gt;0),--($AS$5:$AS$220=$B$369),$J$5:$J$220,$Q$5:$Q$220)/SUMIFS($J$5:$J$220,$N$5:$N$220,"&gt;0",$AS$5:$AS$220,$B$369),""))/N385-1,"NA")</f>
        <v>0.41734626563404853</v>
      </c>
      <c r="Y385" s="266"/>
      <c r="Z385" s="267">
        <f t="shared" si="215"/>
        <v>0.15982544581997504</v>
      </c>
      <c r="AA385" s="206"/>
      <c r="AB385" s="206"/>
      <c r="AG385" s="269" t="str" cm="1">
        <f t="array" ref="AG385">IFERROR(SUMPRODUCT(--($AS$148:$AS$221=$B$369),$AG$5:$AG$220,$J$5:$J$220)/SUMIFS($J$5:$J$220,$AS$148:$AS$221,$B$369),"")</f>
        <v/>
      </c>
      <c r="AH385" s="269" t="str" cm="1">
        <f t="array" ref="AH385">IFERROR(SUMPRODUCT(--($AS$148:$AS$221=$B$369),$AH$5:$AH$220,$J$5:$J$220)/SUMIFS($J$5:$J$220,$AS$148:$AS$221,$B$369),"")</f>
        <v/>
      </c>
    </row>
    <row r="386" spans="1:34">
      <c r="Q386" s="204"/>
    </row>
    <row r="388" spans="1:34" s="246" customFormat="1">
      <c r="A388" s="250"/>
      <c r="B388" s="310" t="str">
        <f>B369</f>
        <v>Q4 2024</v>
      </c>
      <c r="C388" s="311"/>
      <c r="D388" s="311"/>
      <c r="E388" s="311"/>
      <c r="F388" s="282"/>
      <c r="G388" s="282"/>
      <c r="H388" s="282" t="s">
        <v>730</v>
      </c>
      <c r="I388" s="283" t="s">
        <v>731</v>
      </c>
      <c r="J388" s="283" t="s">
        <v>732</v>
      </c>
      <c r="K388" s="283"/>
      <c r="L388" s="283"/>
      <c r="M388" s="283"/>
      <c r="N388" s="284" t="s">
        <v>94</v>
      </c>
      <c r="O388" s="284" t="s">
        <v>95</v>
      </c>
      <c r="P388" s="284" t="s">
        <v>58</v>
      </c>
      <c r="Q388" s="284" t="s">
        <v>96</v>
      </c>
      <c r="R388" s="283" t="s">
        <v>734</v>
      </c>
      <c r="S388" s="283" t="s">
        <v>735</v>
      </c>
      <c r="T388" s="283" t="s">
        <v>736</v>
      </c>
      <c r="U388" s="283" t="s">
        <v>737</v>
      </c>
      <c r="V388" s="283" t="s">
        <v>64</v>
      </c>
      <c r="W388" s="283" t="s">
        <v>738</v>
      </c>
      <c r="X388" s="283" t="s">
        <v>755</v>
      </c>
      <c r="Y388" s="283"/>
      <c r="Z388" s="286" t="s">
        <v>740</v>
      </c>
      <c r="AD388" s="287"/>
      <c r="AG388" s="288" t="s">
        <v>741</v>
      </c>
      <c r="AH388" s="288" t="s">
        <v>742</v>
      </c>
    </row>
    <row r="389" spans="1:34">
      <c r="B389" s="312" t="s">
        <v>143</v>
      </c>
      <c r="C389" s="250"/>
      <c r="D389" s="250"/>
      <c r="E389" s="250"/>
      <c r="F389" s="184" t="s">
        <v>153</v>
      </c>
      <c r="H389" s="184">
        <f t="shared" ref="H389:H403" si="216">COUNTIFS($F$5:$F$220,F389,$AS$5:$AS$220,$B$369,$AR$5:$AR$220,$B$389)</f>
        <v>1</v>
      </c>
      <c r="I389" s="254" cm="1">
        <f t="array" ref="I389">IFERROR(SUMPRODUCT(--($AR$5:$AR$220=$B$389),--($F$5:$F$220=F389),--($AS$5:$AS$220=$B$369),$J$5:$J$220,$I$5:$I$220)/SUMIFS($J$5:$J$220,$AS$5:$AS$220,$B$369,$F$5:$F$220,F389,$AR$5:$AR$220,$B$389)/12,"")</f>
        <v>3</v>
      </c>
      <c r="J389" s="253">
        <f t="shared" ref="J389:J403" si="217">SUMIFS($J$5:$J$220,$F$5:$F$220,F389,$AS$5:$AS$220,$B$369,$AR$5:$AR$220,$B$389)</f>
        <v>12040</v>
      </c>
      <c r="K389" s="253"/>
      <c r="L389" s="253"/>
      <c r="M389" s="253"/>
      <c r="N389" s="254" cm="1">
        <f t="array" ref="N389">IFERROR(SUMPRODUCT(--($F$5:$F$220=F389),--($AS$5:$AS$220=$B$369),--($AR$5:$AR$220=$B$389),$J$5:$J$220,$N$5:$N$220)/SUMIFS($J$5:$J$220,$F$5:$F$220,F389,$AS$5:$AS$220,$B$369,$N$5:$N$220,"&gt;0",$AR$5:$AR$220,$B$389),"")</f>
        <v>5.18</v>
      </c>
      <c r="O389" s="254" cm="1">
        <f t="array" ref="O389">IFERROR(SUMPRODUCT(--($F$5:$F$220=F389),--($AR$5:$AR$220=$B$389),--($AS$5:$AS$220=$B$369),$J$5:$J$220,$O$5:$O$220)/SUMIFS($J$5:$J$220,$F$5:$F$220,F389,$AS$5:$AS$220,$B$369,$AR$5:$AR$220,$B$389),"")</f>
        <v>6.5400000000000009</v>
      </c>
      <c r="P389" s="254" cm="1">
        <f t="array" ref="P389">IFERROR(SUMPRODUCT(--($AR$5:$AR$220=$B$389),--($F$5:$F$220=F389),--($AS$5:$AS$220=$B$369),$J$5:$J$220,$P$5:$P$220)/SUMIFS($J$5:$J$220,$F$5:$F$220,F389,$AS$5:$AS$220,$B$369,$P$5:$P$220,"&gt;0",$AR$5:$AR$220,$B$389),"")</f>
        <v>6.9</v>
      </c>
      <c r="Q389" s="254" cm="1">
        <f t="array" ref="Q389">IFERROR(SUMPRODUCT(--($AR$5:$AR$220=$B$389),--($F$5:$F$220=F389),--($AS$5:$AS$220=$B$369),$J$5:$J$220,$Q$5:$Q$220)/SUMIFS($J$5:$J$220,$AS$5:$AS$220,$B$369,$F$5:$F$220,F389,$AR$5:$AR$220,$B$389),"")</f>
        <v>7</v>
      </c>
      <c r="R389" s="254" cm="1">
        <f t="array" ref="R389">IFERROR(SUMPRODUCT(--($AR$5:$AR$220=$B$389),--($F$5:$F$220=F389),--($I$5:$I$220&gt;12),--($AS$5:$AS$220=$B$369),$R$5:$R$220,$J$5:$J$220)/SUMIFS($J$5:$J$220,$I$5:$I$220,"&gt;12",$F$5:$F$220,F389,$AS$5:$AS$220,$B$369,$AR$5:$AR$220,$B$389),"")</f>
        <v>4</v>
      </c>
      <c r="S389" s="254" cm="1">
        <f t="array" ref="S389">IFERROR(SUMPRODUCT(--($AR$5:$AR$220=$B$389),--($F$5:$F$220=F389),--($I$5:$I$220&gt;12),--($AS$5:$AS$220=$B$369),$S$5:$S$220,$J$5:$J$220)/SUMIFS($J$5:$J$220,$I$5:$I$220,"&gt;12",$F$5:$F$220,F389,$AS$5:$AS$220,$B$369,$AR$5:$AR$220,$B$389),"")</f>
        <v>3</v>
      </c>
      <c r="T389" s="254" cm="1">
        <f t="array" ref="T389">IFERROR(SUMPRODUCT(--($AR$5:$AR$220=$B$389),--($F$5:$F$220=F389),--($AS$5:$AS$220=$B$369),$T$5:$T$220,$J$5:$J$220)/SUMIFS($J$5:$J$220,$F$5:$F$220,F389,$AS$5:$AS$220,$B$369,$AR$5:$AR$220,$B$389),"")</f>
        <v>0</v>
      </c>
      <c r="U389" s="254" cm="1">
        <f t="array" ref="U389">IFERROR(SUMPRODUCT(--($AR$5:$AR$220=$B$389),--($F$5:$F$220=F389),--($AS$5:$AS$220=$B$369),$U$5:$U$220,$J$5:$J$220)/SUMIFS($J$5:$J$220,$F$5:$F$220,F389,$AS$5:$AS$220,$B$369,$AR$5:$AR$220,$B$389),"")</f>
        <v>0</v>
      </c>
      <c r="V389" s="254" cm="1">
        <f t="array" ref="V389">IFERROR(SUMPRODUCT(--($AR$5:$AR$220=$B$389),--($F$5:$F$220=F389),--($AS$5:$AS$220=$B$369),$V$5:$V$220,$J$5:$J$220)/SUMIFS($J$5:$J$220,$F$5:$F$220,F389,$AS$5:$AS$220,$B$369,$AR$5:$AR$220,$B$389),"")</f>
        <v>0</v>
      </c>
      <c r="W389" s="254" cm="1">
        <f t="array" ref="W389">IFERROR(SUMPRODUCT(--($AR$5:$AR$220=$B$389),--($F$5:$F$220=F389),--($AS$5:$AS$220=$B$369),$W$5:$W$220,$J$5:$J$220)/SUMIFS($J$5:$J$220,$F$5:$F$220,F389,$AS$5:$AS$220,$B$369,$AR$5:$AR$220,$B$389),"")</f>
        <v>6</v>
      </c>
      <c r="X389" s="256" cm="1">
        <f t="array" ref="X389">IFERROR((IFERROR(SUMPRODUCT(--($F$5:$F$220=F389),--($N$5:$N$220&gt;0),--($AS$5:$AS$220=$B$369),--($AR$5:$AR$220=$B$389),$J$5:$J$220,$Q$5:$Q$220)/SUMIFS($J$5:$J$220,$F$5:$F$220,F389,$N$5:$N$220,"&gt;0",$AS$5:$AS$220,$B$369,$AR$5:$AR$220,$B$389),""))/N389-1,"NA")</f>
        <v>0.35135135135135132</v>
      </c>
      <c r="Y389" s="256"/>
      <c r="Z389" s="289">
        <f t="shared" ref="Z389:Z404" si="218">IFERROR(Q389/O389-1,"NA")</f>
        <v>7.0336391437308743E-2</v>
      </c>
      <c r="AG389" s="290"/>
      <c r="AH389" s="290"/>
    </row>
    <row r="390" spans="1:34">
      <c r="B390" s="251" t="s">
        <v>759</v>
      </c>
      <c r="F390" s="184" t="s">
        <v>207</v>
      </c>
      <c r="H390" s="184">
        <f t="shared" si="216"/>
        <v>0</v>
      </c>
      <c r="I390" s="254" t="str" cm="1">
        <f t="array" ref="I390">IFERROR(SUMPRODUCT(--($AR$5:$AR$220=$B$389),--($F$5:$F$220=F390),--($AS$5:$AS$220=$B$369),$J$5:$J$220,$I$5:$I$220)/SUMIFS($J$5:$J$220,$AS$5:$AS$220,$B$369,$F$5:$F$220,F390,$AR$5:$AR$220,$B$389)/12,"")</f>
        <v/>
      </c>
      <c r="J390" s="253">
        <f t="shared" si="217"/>
        <v>0</v>
      </c>
      <c r="K390" s="253"/>
      <c r="L390" s="253"/>
      <c r="M390" s="253"/>
      <c r="N390" s="254" t="str" cm="1">
        <f t="array" ref="N390">IFERROR(SUMPRODUCT(--($F$5:$F$220=F390),--($AS$5:$AS$220=$B$369),--($AR$5:$AR$220=$B$389),$J$5:$J$220,$N$5:$N$220)/SUMIFS($J$5:$J$220,$F$5:$F$220,F390,$AS$5:$AS$220,$B$369,$N$5:$N$220,"&gt;0",$AR$5:$AR$220,$B$389),"")</f>
        <v/>
      </c>
      <c r="O390" s="254" t="str" cm="1">
        <f t="array" ref="O390">IFERROR(SUMPRODUCT(--($F$5:$F$220=F390),--($AR$5:$AR$220=$B$389),--($AS$5:$AS$220=$B$369),$J$5:$J$220,$O$5:$O$220)/SUMIFS($J$5:$J$220,$F$5:$F$220,F390,$AS$5:$AS$220,$B$369,$AR$5:$AR$220,$B$389),"")</f>
        <v/>
      </c>
      <c r="P390" s="254" t="str" cm="1">
        <f t="array" ref="P390">IFERROR(SUMPRODUCT(--($AR$5:$AR$220=$B$389),--($F$5:$F$220=F390),--($AS$5:$AS$220=$B$369),$J$5:$J$220,$P$5:$P$220)/SUMIFS($J$5:$J$220,$F$5:$F$220,F390,$AS$5:$AS$220,$B$369,$P$5:$P$220,"&gt;0",$AR$5:$AR$220,$B$389),"")</f>
        <v/>
      </c>
      <c r="Q390" s="254" t="str" cm="1">
        <f t="array" ref="Q390">IFERROR(SUMPRODUCT(--($AR$5:$AR$220=$B$389),--($F$5:$F$220=F390),--($AS$5:$AS$220=$B$369),$J$5:$J$220,$Q$5:$Q$220)/SUMIFS($J$5:$J$220,$AS$5:$AS$220,$B$369,$F$5:$F$220,F390,$AR$5:$AR$220,$B$389),"")</f>
        <v/>
      </c>
      <c r="R390" s="254" t="str" cm="1">
        <f t="array" ref="R390">IFERROR(SUMPRODUCT(--($AR$5:$AR$220=$B$389),--($F$5:$F$220=F390),--($I$5:$I$220&gt;12),--($AS$5:$AS$220=$B$369),$R$5:$R$220,$J$5:$J$220)/SUMIFS($J$5:$J$220,$I$5:$I$220,"&gt;12",$F$5:$F$220,F390,$AS$5:$AS$220,$B$369,$AR$5:$AR$220,$B$389),"")</f>
        <v/>
      </c>
      <c r="S390" s="254" t="str" cm="1">
        <f t="array" ref="S390">IFERROR(SUMPRODUCT(--($AR$5:$AR$220=$B$389),--($F$5:$F$220=F390),--($I$5:$I$220&gt;12),--($AS$5:$AS$220=$B$369),$S$5:$S$220,$J$5:$J$220)/SUMIFS($J$5:$J$220,$I$5:$I$220,"&gt;12",$F$5:$F$220,F390,$AS$5:$AS$220,$B$369,$AR$5:$AR$220,$B$389),"")</f>
        <v/>
      </c>
      <c r="T390" s="254" t="str" cm="1">
        <f t="array" ref="T390">IFERROR(SUMPRODUCT(--($AR$5:$AR$220=$B$389),--($F$5:$F$220=F390),--($AS$5:$AS$220=$B$369),$T$5:$T$220,$J$5:$J$220)/SUMIFS($J$5:$J$220,$F$5:$F$220,F390,$AS$5:$AS$220,$B$369,$AR$5:$AR$220,$B$389),"")</f>
        <v/>
      </c>
      <c r="U390" s="254" t="str" cm="1">
        <f t="array" ref="U390">IFERROR(SUMPRODUCT(--($AR$5:$AR$220=$B$389),--($F$5:$F$220=F390),--($AS$5:$AS$220=$B$369),$U$5:$U$220,$J$5:$J$220)/SUMIFS($J$5:$J$220,$F$5:$F$220,F390,$AS$5:$AS$220,$B$369,$AR$5:$AR$220,$B$389),"")</f>
        <v/>
      </c>
      <c r="V390" s="254" t="str" cm="1">
        <f t="array" ref="V390">IFERROR(SUMPRODUCT(--($AR$5:$AR$220=$B$389),--($F$5:$F$220=F390),--($AS$5:$AS$220=$B$369),$V$5:$V$220,$J$5:$J$220)/SUMIFS($J$5:$J$220,$F$5:$F$220,F390,$AS$5:$AS$220,$B$369,$AR$5:$AR$220,$B$389),"")</f>
        <v/>
      </c>
      <c r="W390" s="254" t="str" cm="1">
        <f t="array" ref="W390">IFERROR(SUMPRODUCT(--($AR$5:$AR$220=$B$389),--($F$5:$F$220=F390),--($AS$5:$AS$220=$B$369),$W$5:$W$220,$J$5:$J$220)/SUMIFS($J$5:$J$220,$F$5:$F$220,F390,$AS$5:$AS$220,$B$369,$AR$5:$AR$220,$B$389),"")</f>
        <v/>
      </c>
      <c r="X390" s="256" t="str" cm="1">
        <f t="array" ref="X390">IFERROR((IFERROR(SUMPRODUCT(--($F$5:$F$220=F390),--($N$5:$N$220&gt;0),--($AS$5:$AS$220=$B$369),--($AR$5:$AR$220=$B$389),$J$5:$J$220,$Q$5:$Q$220)/SUMIFS($J$5:$J$220,$F$5:$F$220,F390,$N$5:$N$220,"&gt;0",$AS$5:$AS$220,$B$369,$AR$5:$AR$220,$B$389),""))/N390-1,"NA")</f>
        <v>NA</v>
      </c>
      <c r="Y390" s="256"/>
      <c r="Z390" s="289" t="str">
        <f t="shared" si="218"/>
        <v>NA</v>
      </c>
      <c r="AG390" s="290"/>
      <c r="AH390" s="290"/>
    </row>
    <row r="391" spans="1:34">
      <c r="F391" s="184" t="s">
        <v>201</v>
      </c>
      <c r="H391" s="184">
        <f t="shared" si="216"/>
        <v>0</v>
      </c>
      <c r="I391" s="254" t="str" cm="1">
        <f t="array" ref="I391">IFERROR(SUMPRODUCT(--($AR$5:$AR$220=$B$389),--($F$5:$F$220=F391),--($AS$5:$AS$220=$B$369),$J$5:$J$220,$I$5:$I$220)/SUMIFS($J$5:$J$220,$AS$5:$AS$220,$B$369,$F$5:$F$220,F391,$AR$5:$AR$220,$B$389)/12,"")</f>
        <v/>
      </c>
      <c r="J391" s="253">
        <f t="shared" si="217"/>
        <v>0</v>
      </c>
      <c r="K391" s="253"/>
      <c r="L391" s="253"/>
      <c r="M391" s="253"/>
      <c r="N391" s="254" t="str" cm="1">
        <f t="array" ref="N391">IFERROR(SUMPRODUCT(--($F$5:$F$220=F391),--($AS$5:$AS$220=$B$369),--($AR$5:$AR$220=$B$389),$J$5:$J$220,$N$5:$N$220)/SUMIFS($J$5:$J$220,$F$5:$F$220,F391,$AS$5:$AS$220,$B$369,$N$5:$N$220,"&gt;0",$AR$5:$AR$220,$B$389),"")</f>
        <v/>
      </c>
      <c r="O391" s="254" t="str" cm="1">
        <f t="array" ref="O391">IFERROR(SUMPRODUCT(--($F$5:$F$220=F391),--($AR$5:$AR$220=$B$389),--($AS$5:$AS$220=$B$369),$J$5:$J$220,$O$5:$O$220)/SUMIFS($J$5:$J$220,$F$5:$F$220,F391,$AS$5:$AS$220,$B$369,$AR$5:$AR$220,$B$389),"")</f>
        <v/>
      </c>
      <c r="P391" s="254" t="str" cm="1">
        <f t="array" ref="P391">IFERROR(SUMPRODUCT(--($AR$5:$AR$220=$B$389),--($F$5:$F$220=F391),--($AS$5:$AS$220=$B$369),$J$5:$J$220,$P$5:$P$220)/SUMIFS($J$5:$J$220,$F$5:$F$220,F391,$AS$5:$AS$220,$B$369,$P$5:$P$220,"&gt;0",$AR$5:$AR$220,$B$389),"")</f>
        <v/>
      </c>
      <c r="Q391" s="254" t="str" cm="1">
        <f t="array" ref="Q391">IFERROR(SUMPRODUCT(--($AR$5:$AR$220=$B$389),--($F$5:$F$220=F391),--($AS$5:$AS$220=$B$369),$J$5:$J$220,$Q$5:$Q$220)/SUMIFS($J$5:$J$220,$AS$5:$AS$220,$B$369,$F$5:$F$220,F391,$AR$5:$AR$220,$B$389),"")</f>
        <v/>
      </c>
      <c r="R391" s="254" t="str" cm="1">
        <f t="array" ref="R391">IFERROR(SUMPRODUCT(--($AR$5:$AR$220=$B$389),--($F$5:$F$220=F391),--($I$5:$I$220&gt;12),--($AS$5:$AS$220=$B$369),$R$5:$R$220,$J$5:$J$220)/SUMIFS($J$5:$J$220,$I$5:$I$220,"&gt;12",$F$5:$F$220,F391,$AS$5:$AS$220,$B$369,$AR$5:$AR$220,$B$389),"")</f>
        <v/>
      </c>
      <c r="S391" s="254" t="str" cm="1">
        <f t="array" ref="S391">IFERROR(SUMPRODUCT(--($AR$5:$AR$220=$B$389),--($F$5:$F$220=F391),--($I$5:$I$220&gt;12),--($AS$5:$AS$220=$B$369),$S$5:$S$220,$J$5:$J$220)/SUMIFS($J$5:$J$220,$I$5:$I$220,"&gt;12",$F$5:$F$220,F391,$AS$5:$AS$220,$B$369,$AR$5:$AR$220,$B$389),"")</f>
        <v/>
      </c>
      <c r="T391" s="254" t="str" cm="1">
        <f t="array" ref="T391">IFERROR(SUMPRODUCT(--($AR$5:$AR$220=$B$389),--($F$5:$F$220=F391),--($AS$5:$AS$220=$B$369),$T$5:$T$220,$J$5:$J$220)/SUMIFS($J$5:$J$220,$F$5:$F$220,F391,$AS$5:$AS$220,$B$369,$AR$5:$AR$220,$B$389),"")</f>
        <v/>
      </c>
      <c r="U391" s="254" t="str" cm="1">
        <f t="array" ref="U391">IFERROR(SUMPRODUCT(--($AR$5:$AR$220=$B$389),--($F$5:$F$220=F391),--($AS$5:$AS$220=$B$369),$U$5:$U$220,$J$5:$J$220)/SUMIFS($J$5:$J$220,$F$5:$F$220,F391,$AS$5:$AS$220,$B$369,$AR$5:$AR$220,$B$389),"")</f>
        <v/>
      </c>
      <c r="V391" s="254" t="str" cm="1">
        <f t="array" ref="V391">IFERROR(SUMPRODUCT(--($AR$5:$AR$220=$B$389),--($F$5:$F$220=F391),--($AS$5:$AS$220=$B$369),$V$5:$V$220,$J$5:$J$220)/SUMIFS($J$5:$J$220,$F$5:$F$220,F391,$AS$5:$AS$220,$B$369,$AR$5:$AR$220,$B$389),"")</f>
        <v/>
      </c>
      <c r="W391" s="254" t="str" cm="1">
        <f t="array" ref="W391">IFERROR(SUMPRODUCT(--($AR$5:$AR$220=$B$389),--($F$5:$F$220=F391),--($AS$5:$AS$220=$B$369),$W$5:$W$220,$J$5:$J$220)/SUMIFS($J$5:$J$220,$F$5:$F$220,F391,$AS$5:$AS$220,$B$369,$AR$5:$AR$220,$B$389),"")</f>
        <v/>
      </c>
      <c r="X391" s="256" t="str" cm="1">
        <f t="array" ref="X391">IFERROR((IFERROR(SUMPRODUCT(--($F$5:$F$220=F391),--($N$5:$N$220&gt;0),--($AS$5:$AS$220=$B$369),--($AR$5:$AR$220=$B$389),$J$5:$J$220,$Q$5:$Q$220)/SUMIFS($J$5:$J$220,$F$5:$F$220,F391,$N$5:$N$220,"&gt;0",$AS$5:$AS$220,$B$369,$AR$5:$AR$220,$B$389),""))/N391-1,"NA")</f>
        <v>NA</v>
      </c>
      <c r="Y391" s="256"/>
      <c r="Z391" s="289" t="str">
        <f t="shared" si="218"/>
        <v>NA</v>
      </c>
      <c r="AG391" s="290"/>
      <c r="AH391" s="290"/>
    </row>
    <row r="392" spans="1:34">
      <c r="B392" s="291"/>
      <c r="F392" s="184" t="s">
        <v>144</v>
      </c>
      <c r="H392" s="184">
        <f t="shared" si="216"/>
        <v>2</v>
      </c>
      <c r="I392" s="254" cm="1">
        <f t="array" ref="I392">IFERROR(SUMPRODUCT(--($AR$5:$AR$220=$B$389),--($F$5:$F$220=F392),--($AS$5:$AS$220=$B$369),$J$5:$J$220,$I$5:$I$220)/SUMIFS($J$5:$J$220,$AS$5:$AS$220,$B$369,$F$5:$F$220,F392,$AR$5:$AR$220,$B$389)/12,"")</f>
        <v>6.6712459642880679</v>
      </c>
      <c r="J392" s="253">
        <f t="shared" si="217"/>
        <v>30354</v>
      </c>
      <c r="K392" s="253"/>
      <c r="L392" s="253"/>
      <c r="M392" s="253"/>
      <c r="N392" s="254" cm="1">
        <f t="array" ref="N392">IFERROR(SUMPRODUCT(--($F$5:$F$220=F392),--($AS$5:$AS$220=$B$369),--($AR$5:$AR$220=$B$389),$J$5:$J$220,$N$5:$N$220)/SUMIFS($J$5:$J$220,$F$5:$F$220,F392,$AS$5:$AS$220,$B$369,$N$5:$N$220,"&gt;0",$AR$5:$AR$220,$B$389),"")</f>
        <v>6.7864993081636689</v>
      </c>
      <c r="O392" s="254" cm="1">
        <f t="array" ref="O392">IFERROR(SUMPRODUCT(--($F$5:$F$220=F392),--($AR$5:$AR$220=$B$389),--($AS$5:$AS$220=$B$369),$J$5:$J$220,$O$5:$O$220)/SUMIFS($J$5:$J$220,$F$5:$F$220,F392,$AS$5:$AS$220,$B$369,$AR$5:$AR$220,$B$389),"")</f>
        <v>6.2882140739276542</v>
      </c>
      <c r="P392" s="254" cm="1">
        <f t="array" ref="P392">IFERROR(SUMPRODUCT(--($AR$5:$AR$220=$B$389),--($F$5:$F$220=F392),--($AS$5:$AS$220=$B$369),$J$5:$J$220,$P$5:$P$220)/SUMIFS($J$5:$J$220,$F$5:$F$220,F392,$AS$5:$AS$220,$B$369,$P$5:$P$220,"&gt;0",$AR$5:$AR$220,$B$389),"")</f>
        <v>8</v>
      </c>
      <c r="Q392" s="254" cm="1">
        <f t="array" ref="Q392">IFERROR(SUMPRODUCT(--($AR$5:$AR$220=$B$389),--($F$5:$F$220=F392),--($AS$5:$AS$220=$B$369),$J$5:$J$220,$Q$5:$Q$220)/SUMIFS($J$5:$J$220,$AS$5:$AS$220,$B$369,$F$5:$F$220,F392,$AR$5:$AR$220,$B$389),"")</f>
        <v>8.1074372405613762</v>
      </c>
      <c r="R392" s="254" cm="1">
        <f t="array" ref="R392">IFERROR(SUMPRODUCT(--($AR$5:$AR$220=$B$389),--($F$5:$F$220=F392),--($I$5:$I$220&gt;12),--($AS$5:$AS$220=$B$369),$R$5:$R$220,$J$5:$J$220)/SUMIFS($J$5:$J$220,$I$5:$I$220,"&gt;12",$F$5:$F$220,F392,$AS$5:$AS$220,$B$369,$AR$5:$AR$220,$B$389),"")</f>
        <v>3.5</v>
      </c>
      <c r="S392" s="254" cm="1">
        <f t="array" ref="S392">IFERROR(SUMPRODUCT(--($AR$5:$AR$220=$B$389),--($F$5:$F$220=F392),--($I$5:$I$220&gt;12),--($AS$5:$AS$220=$B$369),$S$5:$S$220,$J$5:$J$220)/SUMIFS($J$5:$J$220,$I$5:$I$220,"&gt;12",$F$5:$F$220,F392,$AS$5:$AS$220,$B$369,$AR$5:$AR$220,$B$389),"")</f>
        <v>2.8581241352045859</v>
      </c>
      <c r="T392" s="254" cm="1">
        <f t="array" ref="T392">IFERROR(SUMPRODUCT(--($AR$5:$AR$220=$B$389),--($F$5:$F$220=F392),--($AS$5:$AS$220=$B$369),$T$5:$T$220,$J$5:$J$220)/SUMIFS($J$5:$J$220,$F$5:$F$220,F392,$AS$5:$AS$220,$B$369,$AR$5:$AR$220,$B$389),"")</f>
        <v>0</v>
      </c>
      <c r="U392" s="254" cm="1">
        <f t="array" ref="U392">IFERROR(SUMPRODUCT(--($AR$5:$AR$220=$B$389),--($F$5:$F$220=F392),--($AS$5:$AS$220=$B$369),$U$5:$U$220,$J$5:$J$220)/SUMIFS($J$5:$J$220,$F$5:$F$220,F392,$AS$5:$AS$220,$B$369,$AR$5:$AR$220,$B$389),"")</f>
        <v>0</v>
      </c>
      <c r="V392" s="254" cm="1">
        <f t="array" ref="V392">IFERROR(SUMPRODUCT(--($AR$5:$AR$220=$B$389),--($F$5:$F$220=F392),--($AS$5:$AS$220=$B$369),$V$5:$V$220,$J$5:$J$220)/SUMIFS($J$5:$J$220,$F$5:$F$220,F392,$AS$5:$AS$220,$B$369,$AR$5:$AR$220,$B$389),"")</f>
        <v>2.5537655663174541</v>
      </c>
      <c r="W392" s="254" cm="1">
        <f t="array" ref="W392">IFERROR(SUMPRODUCT(--($AR$5:$AR$220=$B$389),--($F$5:$F$220=F392),--($AS$5:$AS$220=$B$369),$W$5:$W$220,$J$5:$J$220)/SUMIFS($J$5:$J$220,$F$5:$F$220,F392,$AS$5:$AS$220,$B$369,$AR$5:$AR$220,$B$389),"")</f>
        <v>6.8512551887724848</v>
      </c>
      <c r="X392" s="256" cm="1">
        <f t="array" ref="X392">IFERROR((IFERROR(SUMPRODUCT(--($F$5:$F$220=F392),--($N$5:$N$220&gt;0),--($AS$5:$AS$220=$B$369),--($AR$5:$AR$220=$B$389),$J$5:$J$220,$Q$5:$Q$220)/SUMIFS($J$5:$J$220,$F$5:$F$220,F392,$N$5:$N$220,"&gt;0",$AS$5:$AS$220,$B$369,$AR$5:$AR$220,$B$389),""))/N392-1,"NA")</f>
        <v>0.19464201975364737</v>
      </c>
      <c r="Y392" s="256"/>
      <c r="Z392" s="289">
        <f t="shared" si="218"/>
        <v>0.28930681195740915</v>
      </c>
      <c r="AG392" s="290"/>
      <c r="AH392" s="290"/>
    </row>
    <row r="393" spans="1:34">
      <c r="B393" s="291"/>
      <c r="F393" s="184" t="s">
        <v>185</v>
      </c>
      <c r="H393" s="184">
        <f t="shared" si="216"/>
        <v>0</v>
      </c>
      <c r="I393" s="254" t="str" cm="1">
        <f t="array" ref="I393">IFERROR(SUMPRODUCT(--($AR$5:$AR$220=$B$389),--($F$5:$F$220=F393),--($AS$5:$AS$220=$B$369),$J$5:$J$220,$I$5:$I$220)/SUMIFS($J$5:$J$220,$AS$5:$AS$220,$B$369,$F$5:$F$220,F393,$AR$5:$AR$220,$B$389)/12,"")</f>
        <v/>
      </c>
      <c r="J393" s="253">
        <f t="shared" si="217"/>
        <v>0</v>
      </c>
      <c r="K393" s="253"/>
      <c r="L393" s="253"/>
      <c r="M393" s="253"/>
      <c r="N393" s="254" t="str" cm="1">
        <f t="array" ref="N393">IFERROR(SUMPRODUCT(--($F$5:$F$220=F393),--($AS$5:$AS$220=$B$369),--($AR$5:$AR$220=$B$389),$J$5:$J$220,$N$5:$N$220)/SUMIFS($J$5:$J$220,$F$5:$F$220,F393,$AS$5:$AS$220,$B$369,$N$5:$N$220,"&gt;0",$AR$5:$AR$220,$B$389),"")</f>
        <v/>
      </c>
      <c r="O393" s="254" t="str" cm="1">
        <f t="array" ref="O393">IFERROR(SUMPRODUCT(--($F$5:$F$220=F393),--($AR$5:$AR$220=$B$389),--($AS$5:$AS$220=$B$369),$J$5:$J$220,$O$5:$O$220)/SUMIFS($J$5:$J$220,$F$5:$F$220,F393,$AS$5:$AS$220,$B$369,$AR$5:$AR$220,$B$389),"")</f>
        <v/>
      </c>
      <c r="P393" s="254" t="str" cm="1">
        <f t="array" ref="P393">IFERROR(SUMPRODUCT(--($AR$5:$AR$220=$B$389),--($F$5:$F$220=F393),--($AS$5:$AS$220=$B$369),$J$5:$J$220,$P$5:$P$220)/SUMIFS($J$5:$J$220,$F$5:$F$220,F393,$AS$5:$AS$220,$B$369,$P$5:$P$220,"&gt;0",$AR$5:$AR$220,$B$389),"")</f>
        <v/>
      </c>
      <c r="Q393" s="254" t="str" cm="1">
        <f t="array" ref="Q393">IFERROR(SUMPRODUCT(--($AR$5:$AR$220=$B$389),--($F$5:$F$220=F393),--($AS$5:$AS$220=$B$369),$J$5:$J$220,$Q$5:$Q$220)/SUMIFS($J$5:$J$220,$AS$5:$AS$220,$B$369,$F$5:$F$220,F393,$AR$5:$AR$220,$B$389),"")</f>
        <v/>
      </c>
      <c r="R393" s="254" t="str" cm="1">
        <f t="array" ref="R393">IFERROR(SUMPRODUCT(--($AR$5:$AR$220=$B$389),--($F$5:$F$220=F393),--($I$5:$I$220&gt;12),--($AS$5:$AS$220=$B$369),$R$5:$R$220,$J$5:$J$220)/SUMIFS($J$5:$J$220,$I$5:$I$220,"&gt;12",$F$5:$F$220,F393,$AS$5:$AS$220,$B$369,$AR$5:$AR$220,$B$389),"")</f>
        <v/>
      </c>
      <c r="S393" s="254" t="str" cm="1">
        <f t="array" ref="S393">IFERROR(SUMPRODUCT(--($AR$5:$AR$220=$B$389),--($F$5:$F$220=F393),--($I$5:$I$220&gt;12),--($AS$5:$AS$220=$B$369),$S$5:$S$220,$J$5:$J$220)/SUMIFS($J$5:$J$220,$I$5:$I$220,"&gt;12",$F$5:$F$220,F393,$AS$5:$AS$220,$B$369,$AR$5:$AR$220,$B$389),"")</f>
        <v/>
      </c>
      <c r="T393" s="254" t="str" cm="1">
        <f t="array" ref="T393">IFERROR(SUMPRODUCT(--($AR$5:$AR$220=$B$389),--($F$5:$F$220=F393),--($AS$5:$AS$220=$B$369),$T$5:$T$220,$J$5:$J$220)/SUMIFS($J$5:$J$220,$F$5:$F$220,F393,$AS$5:$AS$220,$B$369,$AR$5:$AR$220,$B$389),"")</f>
        <v/>
      </c>
      <c r="U393" s="254" t="str" cm="1">
        <f t="array" ref="U393">IFERROR(SUMPRODUCT(--($AR$5:$AR$220=$B$389),--($F$5:$F$220=F393),--($AS$5:$AS$220=$B$369),$U$5:$U$220,$J$5:$J$220)/SUMIFS($J$5:$J$220,$F$5:$F$220,F393,$AS$5:$AS$220,$B$369,$AR$5:$AR$220,$B$389),"")</f>
        <v/>
      </c>
      <c r="V393" s="254" t="str" cm="1">
        <f t="array" ref="V393">IFERROR(SUMPRODUCT(--($AR$5:$AR$220=$B$389),--($F$5:$F$220=F393),--($AS$5:$AS$220=$B$369),$V$5:$V$220,$J$5:$J$220)/SUMIFS($J$5:$J$220,$F$5:$F$220,F393,$AS$5:$AS$220,$B$369,$AR$5:$AR$220,$B$389),"")</f>
        <v/>
      </c>
      <c r="W393" s="254" t="str" cm="1">
        <f t="array" ref="W393">IFERROR(SUMPRODUCT(--($AR$5:$AR$220=$B$389),--($F$5:$F$220=F393),--($AS$5:$AS$220=$B$369),$W$5:$W$220,$J$5:$J$220)/SUMIFS($J$5:$J$220,$F$5:$F$220,F393,$AS$5:$AS$220,$B$369,$AR$5:$AR$220,$B$389),"")</f>
        <v/>
      </c>
      <c r="X393" s="256" t="str" cm="1">
        <f t="array" ref="X393">IFERROR((IFERROR(SUMPRODUCT(--($F$5:$F$220=F393),--($N$5:$N$220&gt;0),--($AS$5:$AS$220=$B$369),--($AR$5:$AR$220=$B$389),$J$5:$J$220,$Q$5:$Q$220)/SUMIFS($J$5:$J$220,$F$5:$F$220,F393,$N$5:$N$220,"&gt;0",$AS$5:$AS$220,$B$369,$AR$5:$AR$220,$B$389),""))/N393-1,"NA")</f>
        <v>NA</v>
      </c>
      <c r="Y393" s="256"/>
      <c r="Z393" s="289" t="str">
        <f t="shared" si="218"/>
        <v>NA</v>
      </c>
      <c r="AG393" s="290"/>
      <c r="AH393" s="290"/>
    </row>
    <row r="394" spans="1:34">
      <c r="B394" s="291"/>
      <c r="F394" s="184" t="s">
        <v>214</v>
      </c>
      <c r="H394" s="184">
        <f t="shared" si="216"/>
        <v>0</v>
      </c>
      <c r="I394" s="254" t="str" cm="1">
        <f t="array" ref="I394">IFERROR(SUMPRODUCT(--($AR$5:$AR$220=$B$389),--($F$5:$F$220=F394),--($AS$5:$AS$220=$B$369),$J$5:$J$220,$I$5:$I$220)/SUMIFS($J$5:$J$220,$AS$5:$AS$220,$B$369,$F$5:$F$220,F394,$AR$5:$AR$220,$B$389)/12,"")</f>
        <v/>
      </c>
      <c r="J394" s="253">
        <f t="shared" si="217"/>
        <v>0</v>
      </c>
      <c r="K394" s="253"/>
      <c r="L394" s="253"/>
      <c r="M394" s="253"/>
      <c r="N394" s="254" t="str" cm="1">
        <f t="array" ref="N394">IFERROR(SUMPRODUCT(--($F$5:$F$220=F394),--($AS$5:$AS$220=$B$369),--($AR$5:$AR$220=$B$389),$J$5:$J$220,$N$5:$N$220)/SUMIFS($J$5:$J$220,$F$5:$F$220,F394,$AS$5:$AS$220,$B$369,$N$5:$N$220,"&gt;0",$AR$5:$AR$220,$B$389),"")</f>
        <v/>
      </c>
      <c r="O394" s="254" t="str" cm="1">
        <f t="array" ref="O394">IFERROR(SUMPRODUCT(--($F$5:$F$220=F394),--($AR$5:$AR$220=$B$389),--($AS$5:$AS$220=$B$369),$J$5:$J$220,$O$5:$O$220)/SUMIFS($J$5:$J$220,$F$5:$F$220,F394,$AS$5:$AS$220,$B$369,$AR$5:$AR$220,$B$389),"")</f>
        <v/>
      </c>
      <c r="P394" s="254" t="str" cm="1">
        <f t="array" ref="P394">IFERROR(SUMPRODUCT(--($AR$5:$AR$220=$B$389),--($F$5:$F$220=F394),--($AS$5:$AS$220=$B$369),$J$5:$J$220,$P$5:$P$220)/SUMIFS($J$5:$J$220,$F$5:$F$220,F394,$AS$5:$AS$220,$B$369,$P$5:$P$220,"&gt;0",$AR$5:$AR$220,$B$389),"")</f>
        <v/>
      </c>
      <c r="Q394" s="254" t="str" cm="1">
        <f t="array" ref="Q394">IFERROR(SUMPRODUCT(--($AR$5:$AR$220=$B$389),--($F$5:$F$220=F394),--($AS$5:$AS$220=$B$369),$J$5:$J$220,$Q$5:$Q$220)/SUMIFS($J$5:$J$220,$AS$5:$AS$220,$B$369,$F$5:$F$220,F394,$AR$5:$AR$220,$B$389),"")</f>
        <v/>
      </c>
      <c r="R394" s="254" t="str" cm="1">
        <f t="array" ref="R394">IFERROR(SUMPRODUCT(--($AR$5:$AR$220=$B$389),--($F$5:$F$220=F394),--($I$5:$I$220&gt;12),--($AS$5:$AS$220=$B$369),$R$5:$R$220,$J$5:$J$220)/SUMIFS($J$5:$J$220,$I$5:$I$220,"&gt;12",$F$5:$F$220,F394,$AS$5:$AS$220,$B$369,$AR$5:$AR$220,$B$389),"")</f>
        <v/>
      </c>
      <c r="S394" s="254" t="str" cm="1">
        <f t="array" ref="S394">IFERROR(SUMPRODUCT(--($AR$5:$AR$220=$B$389),--($F$5:$F$220=F394),--($I$5:$I$220&gt;12),--($AS$5:$AS$220=$B$369),$S$5:$S$220,$J$5:$J$220)/SUMIFS($J$5:$J$220,$I$5:$I$220,"&gt;12",$F$5:$F$220,F394,$AS$5:$AS$220,$B$369,$AR$5:$AR$220,$B$389),"")</f>
        <v/>
      </c>
      <c r="T394" s="254" t="str" cm="1">
        <f t="array" ref="T394">IFERROR(SUMPRODUCT(--($AR$5:$AR$220=$B$389),--($F$5:$F$220=F394),--($AS$5:$AS$220=$B$369),$T$5:$T$220,$J$5:$J$220)/SUMIFS($J$5:$J$220,$F$5:$F$220,F394,$AS$5:$AS$220,$B$369,$AR$5:$AR$220,$B$389),"")</f>
        <v/>
      </c>
      <c r="U394" s="254" t="str" cm="1">
        <f t="array" ref="U394">IFERROR(SUMPRODUCT(--($AR$5:$AR$220=$B$389),--($F$5:$F$220=F394),--($AS$5:$AS$220=$B$369),$U$5:$U$220,$J$5:$J$220)/SUMIFS($J$5:$J$220,$F$5:$F$220,F394,$AS$5:$AS$220,$B$369,$AR$5:$AR$220,$B$389),"")</f>
        <v/>
      </c>
      <c r="V394" s="254" t="str" cm="1">
        <f t="array" ref="V394">IFERROR(SUMPRODUCT(--($AR$5:$AR$220=$B$389),--($F$5:$F$220=F394),--($AS$5:$AS$220=$B$369),$V$5:$V$220,$J$5:$J$220)/SUMIFS($J$5:$J$220,$F$5:$F$220,F394,$AS$5:$AS$220,$B$369,$AR$5:$AR$220,$B$389),"")</f>
        <v/>
      </c>
      <c r="W394" s="254" t="str" cm="1">
        <f t="array" ref="W394">IFERROR(SUMPRODUCT(--($AR$5:$AR$220=$B$389),--($F$5:$F$220=F394),--($AS$5:$AS$220=$B$369),$W$5:$W$220,$J$5:$J$220)/SUMIFS($J$5:$J$220,$F$5:$F$220,F394,$AS$5:$AS$220,$B$369,$AR$5:$AR$220,$B$389),"")</f>
        <v/>
      </c>
      <c r="X394" s="256" t="str" cm="1">
        <f t="array" ref="X394">IFERROR((IFERROR(SUMPRODUCT(--($F$5:$F$220=F394),--($N$5:$N$220&gt;0),--($AS$5:$AS$220=$B$369),--($AR$5:$AR$220=$B$389),$J$5:$J$220,$Q$5:$Q$220)/SUMIFS($J$5:$J$220,$F$5:$F$220,F394,$N$5:$N$220,"&gt;0",$AS$5:$AS$220,$B$369,$AR$5:$AR$220,$B$389),""))/N394-1,"NA")</f>
        <v>NA</v>
      </c>
      <c r="Y394" s="256"/>
      <c r="Z394" s="289" t="str">
        <f t="shared" si="218"/>
        <v>NA</v>
      </c>
      <c r="AG394" s="290"/>
      <c r="AH394" s="290"/>
    </row>
    <row r="395" spans="1:34">
      <c r="B395" s="291"/>
      <c r="F395" s="184" t="s">
        <v>244</v>
      </c>
      <c r="H395" s="184">
        <f t="shared" si="216"/>
        <v>1</v>
      </c>
      <c r="I395" s="254" cm="1">
        <f t="array" ref="I395">IFERROR(SUMPRODUCT(--($AR$5:$AR$220=$B$389),--($F$5:$F$220=F395),--($AS$5:$AS$220=$B$369),$J$5:$J$220,$I$5:$I$220)/SUMIFS($J$5:$J$220,$AS$5:$AS$220,$B$369,$F$5:$F$220,F395,$AR$5:$AR$220,$B$389)/12,"")</f>
        <v>3.0833333333333335</v>
      </c>
      <c r="J395" s="253">
        <f t="shared" si="217"/>
        <v>6924</v>
      </c>
      <c r="K395" s="253"/>
      <c r="L395" s="253"/>
      <c r="M395" s="253"/>
      <c r="N395" s="254" cm="1">
        <f t="array" ref="N395">IFERROR(SUMPRODUCT(--($F$5:$F$220=F395),--($AS$5:$AS$220=$B$369),--($AR$5:$AR$220=$B$389),$J$5:$J$220,$N$5:$N$220)/SUMIFS($J$5:$J$220,$F$5:$F$220,F395,$AS$5:$AS$220,$B$369,$N$5:$N$220,"&gt;0",$AR$5:$AR$220,$B$389),"")</f>
        <v>8.1199999999999992</v>
      </c>
      <c r="O395" s="254" cm="1">
        <f t="array" ref="O395">IFERROR(SUMPRODUCT(--($F$5:$F$220=F395),--($AR$5:$AR$220=$B$389),--($AS$5:$AS$220=$B$369),$J$5:$J$220,$O$5:$O$220)/SUMIFS($J$5:$J$220,$F$5:$F$220,F395,$AS$5:$AS$220,$B$369,$AR$5:$AR$220,$B$389),"")</f>
        <v>8.1199999999999992</v>
      </c>
      <c r="P395" s="254" cm="1">
        <f t="array" ref="P395">IFERROR(SUMPRODUCT(--($AR$5:$AR$220=$B$389),--($F$5:$F$220=F395),--($AS$5:$AS$220=$B$369),$J$5:$J$220,$P$5:$P$220)/SUMIFS($J$5:$J$220,$F$5:$F$220,F395,$AS$5:$AS$220,$B$369,$P$5:$P$220,"&gt;0",$AR$5:$AR$220,$B$389),"")</f>
        <v>8.25</v>
      </c>
      <c r="Q395" s="254" cm="1">
        <f t="array" ref="Q395">IFERROR(SUMPRODUCT(--($AR$5:$AR$220=$B$389),--($F$5:$F$220=F395),--($AS$5:$AS$220=$B$369),$J$5:$J$220,$Q$5:$Q$220)/SUMIFS($J$5:$J$220,$AS$5:$AS$220,$B$369,$F$5:$F$220,F395,$AR$5:$AR$220,$B$389),"")</f>
        <v>11.5</v>
      </c>
      <c r="R395" s="254" cm="1">
        <f t="array" ref="R395">IFERROR(SUMPRODUCT(--($AR$5:$AR$220=$B$389),--($F$5:$F$220=F395),--($I$5:$I$220&gt;12),--($AS$5:$AS$220=$B$369),$R$5:$R$220,$J$5:$J$220)/SUMIFS($J$5:$J$220,$I$5:$I$220,"&gt;12",$F$5:$F$220,F395,$AS$5:$AS$220,$B$369,$AR$5:$AR$220,$B$389),"")</f>
        <v>4.5</v>
      </c>
      <c r="S395" s="254" cm="1">
        <f t="array" ref="S395">IFERROR(SUMPRODUCT(--($AR$5:$AR$220=$B$389),--($F$5:$F$220=F395),--($I$5:$I$220&gt;12),--($AS$5:$AS$220=$B$369),$S$5:$S$220,$J$5:$J$220)/SUMIFS($J$5:$J$220,$I$5:$I$220,"&gt;12",$F$5:$F$220,F395,$AS$5:$AS$220,$B$369,$AR$5:$AR$220,$B$389),"")</f>
        <v>3</v>
      </c>
      <c r="T395" s="254" cm="1">
        <f t="array" ref="T395">IFERROR(SUMPRODUCT(--($AR$5:$AR$220=$B$389),--($F$5:$F$220=F395),--($AS$5:$AS$220=$B$369),$T$5:$T$220,$J$5:$J$220)/SUMIFS($J$5:$J$220,$F$5:$F$220,F395,$AS$5:$AS$220,$B$369,$AR$5:$AR$220,$B$389),"")</f>
        <v>0</v>
      </c>
      <c r="U395" s="254" cm="1">
        <f t="array" ref="U395">IFERROR(SUMPRODUCT(--($AR$5:$AR$220=$B$389),--($F$5:$F$220=F395),--($AS$5:$AS$220=$B$369),$U$5:$U$220,$J$5:$J$220)/SUMIFS($J$5:$J$220,$F$5:$F$220,F395,$AS$5:$AS$220,$B$369,$AR$5:$AR$220,$B$389),"")</f>
        <v>0</v>
      </c>
      <c r="V395" s="254" cm="1">
        <f t="array" ref="V395">IFERROR(SUMPRODUCT(--($AR$5:$AR$220=$B$389),--($F$5:$F$220=F395),--($AS$5:$AS$220=$B$369),$V$5:$V$220,$J$5:$J$220)/SUMIFS($J$5:$J$220,$F$5:$F$220,F395,$AS$5:$AS$220,$B$369,$AR$5:$AR$220,$B$389),"")</f>
        <v>7</v>
      </c>
      <c r="W395" s="254" cm="1">
        <f t="array" ref="W395">IFERROR(SUMPRODUCT(--($AR$5:$AR$220=$B$389),--($F$5:$F$220=F395),--($AS$5:$AS$220=$B$369),$W$5:$W$220,$J$5:$J$220)/SUMIFS($J$5:$J$220,$F$5:$F$220,F395,$AS$5:$AS$220,$B$369,$AR$5:$AR$220,$B$389),"")</f>
        <v>6</v>
      </c>
      <c r="X395" s="256" cm="1">
        <f t="array" ref="X395">IFERROR((IFERROR(SUMPRODUCT(--($F$5:$F$220=F395),--($N$5:$N$220&gt;0),--($AS$5:$AS$220=$B$369),--($AR$5:$AR$220=$B$389),$J$5:$J$220,$Q$5:$Q$220)/SUMIFS($J$5:$J$220,$F$5:$F$220,F395,$N$5:$N$220,"&gt;0",$AS$5:$AS$220,$B$369,$AR$5:$AR$220,$B$389),""))/N395-1,"NA")</f>
        <v>0.41625615763546819</v>
      </c>
      <c r="Y395" s="256"/>
      <c r="Z395" s="289">
        <f t="shared" si="218"/>
        <v>0.41625615763546819</v>
      </c>
      <c r="AG395" s="290"/>
      <c r="AH395" s="290"/>
    </row>
    <row r="396" spans="1:34">
      <c r="B396" s="291"/>
      <c r="F396" s="184" t="s">
        <v>181</v>
      </c>
      <c r="H396" s="184">
        <f t="shared" si="216"/>
        <v>2</v>
      </c>
      <c r="I396" s="254" cm="1">
        <f t="array" ref="I396">IFERROR(SUMPRODUCT(--($AR$5:$AR$220=$B$389),--($F$5:$F$220=F396),--($AS$5:$AS$220=$B$369),$J$5:$J$220,$I$5:$I$220)/SUMIFS($J$5:$J$220,$AS$5:$AS$220,$B$369,$F$5:$F$220,F396,$AR$5:$AR$220,$B$389)/12,"")</f>
        <v>5.7649454147467551</v>
      </c>
      <c r="J396" s="253">
        <f t="shared" si="217"/>
        <v>72486</v>
      </c>
      <c r="K396" s="253"/>
      <c r="L396" s="253"/>
      <c r="M396" s="253"/>
      <c r="N396" s="254" cm="1">
        <f t="array" ref="N396">IFERROR(SUMPRODUCT(--($F$5:$F$220=F396),--($AS$5:$AS$220=$B$369),--($AR$5:$AR$220=$B$389),$J$5:$J$220,$N$5:$N$220)/SUMIFS($J$5:$J$220,$F$5:$F$220,F396,$AS$5:$AS$220,$B$369,$N$5:$N$220,"&gt;0",$AR$5:$AR$220,$B$389),"")</f>
        <v>6.26</v>
      </c>
      <c r="O396" s="254" cm="1">
        <f t="array" ref="O396">IFERROR(SUMPRODUCT(--($F$5:$F$220=F396),--($AR$5:$AR$220=$B$389),--($AS$5:$AS$220=$B$369),$J$5:$J$220,$O$5:$O$220)/SUMIFS($J$5:$J$220,$F$5:$F$220,F396,$AS$5:$AS$220,$B$369,$AR$5:$AR$220,$B$389),"")</f>
        <v>9.2307606986176634</v>
      </c>
      <c r="P396" s="254" cm="1">
        <f t="array" ref="P396">IFERROR(SUMPRODUCT(--($AR$5:$AR$220=$B$389),--($F$5:$F$220=F396),--($AS$5:$AS$220=$B$369),$J$5:$J$220,$P$5:$P$220)/SUMIFS($J$5:$J$220,$F$5:$F$220,F396,$AS$5:$AS$220,$B$369,$P$5:$P$220,"&gt;0",$AR$5:$AR$220,$B$389),"")</f>
        <v>10.720690892034323</v>
      </c>
      <c r="Q396" s="254" cm="1">
        <f t="array" ref="Q396">IFERROR(SUMPRODUCT(--($AR$5:$AR$220=$B$389),--($F$5:$F$220=F396),--($AS$5:$AS$220=$B$369),$J$5:$J$220,$Q$5:$Q$220)/SUMIFS($J$5:$J$220,$AS$5:$AS$220,$B$369,$F$5:$F$220,F396,$AR$5:$AR$220,$B$389),"")</f>
        <v>9.3965455398283808</v>
      </c>
      <c r="R396" s="254" cm="1">
        <f t="array" ref="R396">IFERROR(SUMPRODUCT(--($AR$5:$AR$220=$B$389),--($F$5:$F$220=F396),--($I$5:$I$220&gt;12),--($AS$5:$AS$220=$B$369),$R$5:$R$220,$J$5:$J$220)/SUMIFS($J$5:$J$220,$I$5:$I$220,"&gt;12",$F$5:$F$220,F396,$AS$5:$AS$220,$B$369,$AR$5:$AR$220,$B$389),"")</f>
        <v>3.889654553982838</v>
      </c>
      <c r="S396" s="254" cm="1">
        <f t="array" ref="S396">IFERROR(SUMPRODUCT(--($AR$5:$AR$220=$B$389),--($F$5:$F$220=F396),--($I$5:$I$220&gt;12),--($AS$5:$AS$220=$B$369),$S$5:$S$220,$J$5:$J$220)/SUMIFS($J$5:$J$220,$I$5:$I$220,"&gt;12",$F$5:$F$220,F396,$AS$5:$AS$220,$B$369,$AR$5:$AR$220,$B$389),"")</f>
        <v>3.4413817840686476</v>
      </c>
      <c r="T396" s="254" cm="1">
        <f t="array" ref="T396">IFERROR(SUMPRODUCT(--($AR$5:$AR$220=$B$389),--($F$5:$F$220=F396),--($AS$5:$AS$220=$B$369),$T$5:$T$220,$J$5:$J$220)/SUMIFS($J$5:$J$220,$F$5:$F$220,F396,$AS$5:$AS$220,$B$369,$AR$5:$AR$220,$B$389),"")</f>
        <v>0</v>
      </c>
      <c r="U396" s="254" cm="1">
        <f t="array" ref="U396">IFERROR(SUMPRODUCT(--($AR$5:$AR$220=$B$389),--($F$5:$F$220=F396),--($AS$5:$AS$220=$B$369),$U$5:$U$220,$J$5:$J$220)/SUMIFS($J$5:$J$220,$F$5:$F$220,F396,$AS$5:$AS$220,$B$369,$AR$5:$AR$220,$B$389),"")</f>
        <v>0</v>
      </c>
      <c r="V396" s="254" cm="1">
        <f t="array" ref="V396">IFERROR(SUMPRODUCT(--($AR$5:$AR$220=$B$389),--($F$5:$F$220=F396),--($AS$5:$AS$220=$B$369),$V$5:$V$220,$J$5:$J$220)/SUMIFS($J$5:$J$220,$F$5:$F$220,F396,$AS$5:$AS$220,$B$369,$AR$5:$AR$220,$B$389),"")</f>
        <v>19.351709295588112</v>
      </c>
      <c r="W396" s="254" cm="1">
        <f t="array" ref="W396">IFERROR(SUMPRODUCT(--($AR$5:$AR$220=$B$389),--($F$5:$F$220=F396),--($AS$5:$AS$220=$B$369),$W$5:$W$220,$J$5:$J$220)/SUMIFS($J$5:$J$220,$F$5:$F$220,F396,$AS$5:$AS$220,$B$369,$AR$5:$AR$220,$B$389),"")</f>
        <v>7.6758546477940568</v>
      </c>
      <c r="X396" s="256" cm="1">
        <f t="array" ref="X396">IFERROR((IFERROR(SUMPRODUCT(--($F$5:$F$220=F396),--($N$5:$N$220&gt;0),--($AS$5:$AS$220=$B$369),--($AR$5:$AR$220=$B$389),$J$5:$J$220,$Q$5:$Q$220)/SUMIFS($J$5:$J$220,$F$5:$F$220,F396,$N$5:$N$220,"&gt;0",$AS$5:$AS$220,$B$369,$AR$5:$AR$220,$B$389),""))/N396-1,"NA")</f>
        <v>0.27795527156549515</v>
      </c>
      <c r="Y396" s="256"/>
      <c r="Z396" s="289">
        <f t="shared" si="218"/>
        <v>1.7960041065255172E-2</v>
      </c>
      <c r="AG396" s="290"/>
      <c r="AH396" s="290"/>
    </row>
    <row r="397" spans="1:34">
      <c r="B397" s="291"/>
      <c r="F397" s="184" t="s">
        <v>600</v>
      </c>
      <c r="H397" s="184">
        <f t="shared" si="216"/>
        <v>0</v>
      </c>
      <c r="I397" s="254" t="str" cm="1">
        <f t="array" ref="I397">IFERROR(SUMPRODUCT(--($AR$5:$AR$220=$B$389),--($F$5:$F$220=F397),--($AS$5:$AS$220=$B$369),$J$5:$J$220,$I$5:$I$220)/SUMIFS($J$5:$J$220,$AS$5:$AS$220,$B$369,$F$5:$F$220,F397,$AR$5:$AR$220,$B$389)/12,"")</f>
        <v/>
      </c>
      <c r="J397" s="253">
        <f t="shared" si="217"/>
        <v>0</v>
      </c>
      <c r="K397" s="253"/>
      <c r="L397" s="253"/>
      <c r="M397" s="253"/>
      <c r="N397" s="254" t="str" cm="1">
        <f t="array" ref="N397">IFERROR(SUMPRODUCT(--($F$5:$F$220=F397),--($AS$5:$AS$220=$B$369),--($AR$5:$AR$220=$B$389),$J$5:$J$220,$N$5:$N$220)/SUMIFS($J$5:$J$220,$F$5:$F$220,F397,$AS$5:$AS$220,$B$369,$N$5:$N$220,"&gt;0",$AR$5:$AR$220,$B$389),"")</f>
        <v/>
      </c>
      <c r="O397" s="254" t="str" cm="1">
        <f t="array" ref="O397">IFERROR(SUMPRODUCT(--($F$5:$F$220=F397),--($AR$5:$AR$220=$B$389),--($AS$5:$AS$220=$B$369),$J$5:$J$220,$O$5:$O$220)/SUMIFS($J$5:$J$220,$F$5:$F$220,F397,$AS$5:$AS$220,$B$369,$AR$5:$AR$220,$B$389),"")</f>
        <v/>
      </c>
      <c r="P397" s="254" t="str" cm="1">
        <f t="array" ref="P397">IFERROR(SUMPRODUCT(--($AR$5:$AR$220=$B$389),--($F$5:$F$220=F397),--($AS$5:$AS$220=$B$369),$J$5:$J$220,$P$5:$P$220)/SUMIFS($J$5:$J$220,$F$5:$F$220,F397,$AS$5:$AS$220,$B$369,$P$5:$P$220,"&gt;0",$AR$5:$AR$220,$B$389),"")</f>
        <v/>
      </c>
      <c r="Q397" s="254" t="str" cm="1">
        <f t="array" ref="Q397">IFERROR(SUMPRODUCT(--($AR$5:$AR$220=$B$389),--($F$5:$F$220=F397),--($AS$5:$AS$220=$B$369),$J$5:$J$220,$Q$5:$Q$220)/SUMIFS($J$5:$J$220,$AS$5:$AS$220,$B$369,$F$5:$F$220,F397,$AR$5:$AR$220,$B$389),"")</f>
        <v/>
      </c>
      <c r="R397" s="254" t="str" cm="1">
        <f t="array" ref="R397">IFERROR(SUMPRODUCT(--($AR$5:$AR$220=$B$389),--($F$5:$F$220=F397),--($I$5:$I$220&gt;12),--($AS$5:$AS$220=$B$369),$R$5:$R$220,$J$5:$J$220)/SUMIFS($J$5:$J$220,$I$5:$I$220,"&gt;12",$F$5:$F$220,F397,$AS$5:$AS$220,$B$369,$AR$5:$AR$220,$B$389),"")</f>
        <v/>
      </c>
      <c r="S397" s="254" t="str" cm="1">
        <f t="array" ref="S397">IFERROR(SUMPRODUCT(--($AR$5:$AR$220=$B$389),--($F$5:$F$220=F397),--($I$5:$I$220&gt;12),--($AS$5:$AS$220=$B$369),$S$5:$S$220,$J$5:$J$220)/SUMIFS($J$5:$J$220,$I$5:$I$220,"&gt;12",$F$5:$F$220,F397,$AS$5:$AS$220,$B$369,$AR$5:$AR$220,$B$389),"")</f>
        <v/>
      </c>
      <c r="T397" s="254" t="str" cm="1">
        <f t="array" ref="T397">IFERROR(SUMPRODUCT(--($AR$5:$AR$220=$B$389),--($F$5:$F$220=F397),--($AS$5:$AS$220=$B$369),$T$5:$T$220,$J$5:$J$220)/SUMIFS($J$5:$J$220,$F$5:$F$220,F397,$AS$5:$AS$220,$B$369,$AR$5:$AR$220,$B$389),"")</f>
        <v/>
      </c>
      <c r="U397" s="254" t="str" cm="1">
        <f t="array" ref="U397">IFERROR(SUMPRODUCT(--($AR$5:$AR$220=$B$389),--($F$5:$F$220=F397),--($AS$5:$AS$220=$B$369),$U$5:$U$220,$J$5:$J$220)/SUMIFS($J$5:$J$220,$F$5:$F$220,F397,$AS$5:$AS$220,$B$369,$AR$5:$AR$220,$B$389),"")</f>
        <v/>
      </c>
      <c r="V397" s="254" t="str" cm="1">
        <f t="array" ref="V397">IFERROR(SUMPRODUCT(--($AR$5:$AR$220=$B$389),--($F$5:$F$220=F397),--($AS$5:$AS$220=$B$369),$V$5:$V$220,$J$5:$J$220)/SUMIFS($J$5:$J$220,$F$5:$F$220,F397,$AS$5:$AS$220,$B$369,$AR$5:$AR$220,$B$389),"")</f>
        <v/>
      </c>
      <c r="W397" s="254" t="str" cm="1">
        <f t="array" ref="W397">IFERROR(SUMPRODUCT(--($AR$5:$AR$220=$B$389),--($F$5:$F$220=F397),--($AS$5:$AS$220=$B$369),$W$5:$W$220,$J$5:$J$220)/SUMIFS($J$5:$J$220,$F$5:$F$220,F397,$AS$5:$AS$220,$B$369,$AR$5:$AR$220,$B$389),"")</f>
        <v/>
      </c>
      <c r="X397" s="256" t="str" cm="1">
        <f t="array" ref="X397">IFERROR((IFERROR(SUMPRODUCT(--($F$5:$F$220=F397),--($N$5:$N$220&gt;0),--($AS$5:$AS$220=$B$369),--($AR$5:$AR$220=$B$389),$J$5:$J$220,$Q$5:$Q$220)/SUMIFS($J$5:$J$220,$F$5:$F$220,F397,$N$5:$N$220,"&gt;0",$AS$5:$AS$220,$B$369,$AR$5:$AR$220,$B$389),""))/N397-1,"NA")</f>
        <v>NA</v>
      </c>
      <c r="Y397" s="256"/>
      <c r="Z397" s="289" t="str">
        <f t="shared" si="218"/>
        <v>NA</v>
      </c>
      <c r="AG397" s="290"/>
      <c r="AH397" s="290"/>
    </row>
    <row r="398" spans="1:34">
      <c r="B398" s="291"/>
      <c r="F398" s="184" t="s">
        <v>221</v>
      </c>
      <c r="H398" s="184">
        <f t="shared" si="216"/>
        <v>0</v>
      </c>
      <c r="I398" s="254" t="str" cm="1">
        <f t="array" ref="I398">IFERROR(SUMPRODUCT(--($AR$5:$AR$220=$B$389),--($F$5:$F$220=F398),--($AS$5:$AS$220=$B$369),$J$5:$J$220,$I$5:$I$220)/SUMIFS($J$5:$J$220,$AS$5:$AS$220,$B$369,$F$5:$F$220,F398,$AR$5:$AR$220,$B$389)/12,"")</f>
        <v/>
      </c>
      <c r="J398" s="253">
        <f t="shared" si="217"/>
        <v>0</v>
      </c>
      <c r="K398" s="253"/>
      <c r="L398" s="253"/>
      <c r="M398" s="253"/>
      <c r="N398" s="254" t="str" cm="1">
        <f t="array" ref="N398">IFERROR(SUMPRODUCT(--($F$5:$F$220=F398),--($AS$5:$AS$220=$B$369),--($AR$5:$AR$220=$B$389),$J$5:$J$220,$N$5:$N$220)/SUMIFS($J$5:$J$220,$F$5:$F$220,F398,$AS$5:$AS$220,$B$369,$N$5:$N$220,"&gt;0",$AR$5:$AR$220,$B$389),"")</f>
        <v/>
      </c>
      <c r="O398" s="254" t="str" cm="1">
        <f t="array" ref="O398">IFERROR(SUMPRODUCT(--($F$5:$F$220=F398),--($AR$5:$AR$220=$B$389),--($AS$5:$AS$220=$B$369),$J$5:$J$220,$O$5:$O$220)/SUMIFS($J$5:$J$220,$F$5:$F$220,F398,$AS$5:$AS$220,$B$369,$AR$5:$AR$220,$B$389),"")</f>
        <v/>
      </c>
      <c r="P398" s="254" t="str" cm="1">
        <f t="array" ref="P398">IFERROR(SUMPRODUCT(--($AR$5:$AR$220=$B$389),--($F$5:$F$220=F398),--($AS$5:$AS$220=$B$369),$J$5:$J$220,$P$5:$P$220)/SUMIFS($J$5:$J$220,$F$5:$F$220,F398,$AS$5:$AS$220,$B$369,$P$5:$P$220,"&gt;0",$AR$5:$AR$220,$B$389),"")</f>
        <v/>
      </c>
      <c r="Q398" s="254" t="str" cm="1">
        <f t="array" ref="Q398">IFERROR(SUMPRODUCT(--($AR$5:$AR$220=$B$389),--($F$5:$F$220=F398),--($AS$5:$AS$220=$B$369),$J$5:$J$220,$Q$5:$Q$220)/SUMIFS($J$5:$J$220,$AS$5:$AS$220,$B$369,$F$5:$F$220,F398,$AR$5:$AR$220,$B$389),"")</f>
        <v/>
      </c>
      <c r="R398" s="254" t="str" cm="1">
        <f t="array" ref="R398">IFERROR(SUMPRODUCT(--($AR$5:$AR$220=$B$389),--($F$5:$F$220=F398),--($I$5:$I$220&gt;12),--($AS$5:$AS$220=$B$369),$R$5:$R$220,$J$5:$J$220)/SUMIFS($J$5:$J$220,$I$5:$I$220,"&gt;12",$F$5:$F$220,F398,$AS$5:$AS$220,$B$369,$AR$5:$AR$220,$B$389),"")</f>
        <v/>
      </c>
      <c r="S398" s="254" t="str" cm="1">
        <f t="array" ref="S398">IFERROR(SUMPRODUCT(--($AR$5:$AR$220=$B$389),--($F$5:$F$220=F398),--($I$5:$I$220&gt;12),--($AS$5:$AS$220=$B$369),$S$5:$S$220,$J$5:$J$220)/SUMIFS($J$5:$J$220,$I$5:$I$220,"&gt;12",$F$5:$F$220,F398,$AS$5:$AS$220,$B$369,$AR$5:$AR$220,$B$389),"")</f>
        <v/>
      </c>
      <c r="T398" s="254" t="str" cm="1">
        <f t="array" ref="T398">IFERROR(SUMPRODUCT(--($AR$5:$AR$220=$B$389),--($F$5:$F$220=F398),--($AS$5:$AS$220=$B$369),$T$5:$T$220,$J$5:$J$220)/SUMIFS($J$5:$J$220,$F$5:$F$220,F398,$AS$5:$AS$220,$B$369,$AR$5:$AR$220,$B$389),"")</f>
        <v/>
      </c>
      <c r="U398" s="254" t="str" cm="1">
        <f t="array" ref="U398">IFERROR(SUMPRODUCT(--($AR$5:$AR$220=$B$389),--($F$5:$F$220=F398),--($AS$5:$AS$220=$B$369),$U$5:$U$220,$J$5:$J$220)/SUMIFS($J$5:$J$220,$F$5:$F$220,F398,$AS$5:$AS$220,$B$369,$AR$5:$AR$220,$B$389),"")</f>
        <v/>
      </c>
      <c r="V398" s="254" t="str" cm="1">
        <f t="array" ref="V398">IFERROR(SUMPRODUCT(--($AR$5:$AR$220=$B$389),--($F$5:$F$220=F398),--($AS$5:$AS$220=$B$369),$V$5:$V$220,$J$5:$J$220)/SUMIFS($J$5:$J$220,$F$5:$F$220,F398,$AS$5:$AS$220,$B$369,$AR$5:$AR$220,$B$389),"")</f>
        <v/>
      </c>
      <c r="W398" s="254" t="str" cm="1">
        <f t="array" ref="W398">IFERROR(SUMPRODUCT(--($AR$5:$AR$220=$B$389),--($F$5:$F$220=F398),--($AS$5:$AS$220=$B$369),$W$5:$W$220,$J$5:$J$220)/SUMIFS($J$5:$J$220,$F$5:$F$220,F398,$AS$5:$AS$220,$B$369,$AR$5:$AR$220,$B$389),"")</f>
        <v/>
      </c>
      <c r="X398" s="256" t="str" cm="1">
        <f t="array" ref="X398">IFERROR((IFERROR(SUMPRODUCT(--($F$5:$F$220=F398),--($N$5:$N$220&gt;0),--($AS$5:$AS$220=$B$369),--($AR$5:$AR$220=$B$389),$J$5:$J$220,$Q$5:$Q$220)/SUMIFS($J$5:$J$220,$F$5:$F$220,F398,$N$5:$N$220,"&gt;0",$AS$5:$AS$220,$B$369,$AR$5:$AR$220,$B$389),""))/N398-1,"NA")</f>
        <v>NA</v>
      </c>
      <c r="Y398" s="256"/>
      <c r="Z398" s="289" t="str">
        <f t="shared" si="218"/>
        <v>NA</v>
      </c>
      <c r="AG398" s="290"/>
      <c r="AH398" s="290"/>
    </row>
    <row r="399" spans="1:34">
      <c r="B399" s="291"/>
      <c r="F399" s="184" t="s">
        <v>158</v>
      </c>
      <c r="H399" s="184">
        <f t="shared" si="216"/>
        <v>1</v>
      </c>
      <c r="I399" s="254" cm="1">
        <f t="array" ref="I399">IFERROR(SUMPRODUCT(--($AR$5:$AR$220=$B$389),--($F$5:$F$220=F399),--($AS$5:$AS$220=$B$369),$J$5:$J$220,$I$5:$I$220)/SUMIFS($J$5:$J$220,$AS$5:$AS$220,$B$369,$F$5:$F$220,F399,$AR$5:$AR$220,$B$389)/12,"")</f>
        <v>5.166666666666667</v>
      </c>
      <c r="J399" s="253">
        <f t="shared" si="217"/>
        <v>9613</v>
      </c>
      <c r="K399" s="253"/>
      <c r="L399" s="253"/>
      <c r="M399" s="253"/>
      <c r="N399" s="254" t="str" cm="1">
        <f t="array" ref="N399">IFERROR(SUMPRODUCT(--($F$5:$F$220=F399),--($AS$5:$AS$220=$B$369),--($AR$5:$AR$220=$B$389),$J$5:$J$220,$N$5:$N$220)/SUMIFS($J$5:$J$220,$F$5:$F$220,F399,$AS$5:$AS$220,$B$369,$N$5:$N$220,"&gt;0",$AR$5:$AR$220,$B$389),"")</f>
        <v/>
      </c>
      <c r="O399" s="254" cm="1">
        <f t="array" ref="O399">IFERROR(SUMPRODUCT(--($F$5:$F$220=F399),--($AR$5:$AR$220=$B$389),--($AS$5:$AS$220=$B$369),$J$5:$J$220,$O$5:$O$220)/SUMIFS($J$5:$J$220,$F$5:$F$220,F399,$AS$5:$AS$220,$B$369,$AR$5:$AR$220,$B$389),"")</f>
        <v>5</v>
      </c>
      <c r="P399" s="254" cm="1">
        <f t="array" ref="P399">IFERROR(SUMPRODUCT(--($AR$5:$AR$220=$B$389),--($F$5:$F$220=F399),--($AS$5:$AS$220=$B$369),$J$5:$J$220,$P$5:$P$220)/SUMIFS($J$5:$J$220,$F$5:$F$220,F399,$AS$5:$AS$220,$B$369,$P$5:$P$220,"&gt;0",$AR$5:$AR$220,$B$389),"")</f>
        <v>4.1500000000000004</v>
      </c>
      <c r="Q399" s="254" cm="1">
        <f t="array" ref="Q399">IFERROR(SUMPRODUCT(--($AR$5:$AR$220=$B$389),--($F$5:$F$220=F399),--($AS$5:$AS$220=$B$369),$J$5:$J$220,$Q$5:$Q$220)/SUMIFS($J$5:$J$220,$AS$5:$AS$220,$B$369,$F$5:$F$220,F399,$AR$5:$AR$220,$B$389),"")</f>
        <v>5.6</v>
      </c>
      <c r="R399" s="254" cm="1">
        <f t="array" ref="R399">IFERROR(SUMPRODUCT(--($AR$5:$AR$220=$B$389),--($F$5:$F$220=F399),--($I$5:$I$220&gt;12),--($AS$5:$AS$220=$B$369),$R$5:$R$220,$J$5:$J$220)/SUMIFS($J$5:$J$220,$I$5:$I$220,"&gt;12",$F$5:$F$220,F399,$AS$5:$AS$220,$B$369,$AR$5:$AR$220,$B$389),"")</f>
        <v>3</v>
      </c>
      <c r="S399" s="254" cm="1">
        <f t="array" ref="S399">IFERROR(SUMPRODUCT(--($AR$5:$AR$220=$B$389),--($F$5:$F$220=F399),--($I$5:$I$220&gt;12),--($AS$5:$AS$220=$B$369),$S$5:$S$220,$J$5:$J$220)/SUMIFS($J$5:$J$220,$I$5:$I$220,"&gt;12",$F$5:$F$220,F399,$AS$5:$AS$220,$B$369,$AR$5:$AR$220,$B$389),"")</f>
        <v>3</v>
      </c>
      <c r="T399" s="254" cm="1">
        <f t="array" ref="T399">IFERROR(SUMPRODUCT(--($AR$5:$AR$220=$B$389),--($F$5:$F$220=F399),--($AS$5:$AS$220=$B$369),$T$5:$T$220,$J$5:$J$220)/SUMIFS($J$5:$J$220,$F$5:$F$220,F399,$AS$5:$AS$220,$B$369,$AR$5:$AR$220,$B$389),"")</f>
        <v>0</v>
      </c>
      <c r="U399" s="254" cm="1">
        <f t="array" ref="U399">IFERROR(SUMPRODUCT(--($AR$5:$AR$220=$B$389),--($F$5:$F$220=F399),--($AS$5:$AS$220=$B$369),$U$5:$U$220,$J$5:$J$220)/SUMIFS($J$5:$J$220,$F$5:$F$220,F399,$AS$5:$AS$220,$B$369,$AR$5:$AR$220,$B$389),"")</f>
        <v>0</v>
      </c>
      <c r="V399" s="254" cm="1">
        <f t="array" ref="V399">IFERROR(SUMPRODUCT(--($AR$5:$AR$220=$B$389),--($F$5:$F$220=F399),--($AS$5:$AS$220=$B$369),$V$5:$V$220,$J$5:$J$220)/SUMIFS($J$5:$J$220,$F$5:$F$220,F399,$AS$5:$AS$220,$B$369,$AR$5:$AR$220,$B$389),"")</f>
        <v>4</v>
      </c>
      <c r="W399" s="254" cm="1">
        <f t="array" ref="W399">IFERROR(SUMPRODUCT(--($AR$5:$AR$220=$B$389),--($F$5:$F$220=F399),--($AS$5:$AS$220=$B$369),$W$5:$W$220,$J$5:$J$220)/SUMIFS($J$5:$J$220,$F$5:$F$220,F399,$AS$5:$AS$220,$B$369,$AR$5:$AR$220,$B$389),"")</f>
        <v>12</v>
      </c>
      <c r="X399" s="256" t="str" cm="1">
        <f t="array" ref="X399">IFERROR((IFERROR(SUMPRODUCT(--($F$5:$F$220=F399),--($N$5:$N$220&gt;0),--($AS$5:$AS$220=$B$369),--($AR$5:$AR$220=$B$389),$J$5:$J$220,$Q$5:$Q$220)/SUMIFS($J$5:$J$220,$F$5:$F$220,F399,$N$5:$N$220,"&gt;0",$AS$5:$AS$220,$B$369,$AR$5:$AR$220,$B$389),""))/N399-1,"NA")</f>
        <v>NA</v>
      </c>
      <c r="Y399" s="256"/>
      <c r="Z399" s="289">
        <f t="shared" si="218"/>
        <v>0.11999999999999988</v>
      </c>
      <c r="AG399" s="290"/>
      <c r="AH399" s="290"/>
    </row>
    <row r="400" spans="1:34">
      <c r="B400" s="291"/>
      <c r="F400" s="184" t="s">
        <v>474</v>
      </c>
      <c r="H400" s="184">
        <f t="shared" si="216"/>
        <v>0</v>
      </c>
      <c r="I400" s="254" t="str" cm="1">
        <f t="array" ref="I400">IFERROR(SUMPRODUCT(--($AR$5:$AR$220=$B$389),--($F$5:$F$220=F400),--($AS$5:$AS$220=$B$369),$J$5:$J$220,$I$5:$I$220)/SUMIFS($J$5:$J$220,$AS$5:$AS$220,$B$369,$F$5:$F$220,F400,$AR$5:$AR$220,$B$389)/12,"")</f>
        <v/>
      </c>
      <c r="J400" s="253">
        <f t="shared" si="217"/>
        <v>0</v>
      </c>
      <c r="K400" s="253"/>
      <c r="L400" s="253"/>
      <c r="M400" s="253"/>
      <c r="N400" s="254" t="str" cm="1">
        <f t="array" ref="N400">IFERROR(SUMPRODUCT(--($F$5:$F$220=F400),--($AS$5:$AS$220=$B$369),--($AR$5:$AR$220=$B$389),$J$5:$J$220,$N$5:$N$220)/SUMIFS($J$5:$J$220,$F$5:$F$220,F400,$AS$5:$AS$220,$B$369,$N$5:$N$220,"&gt;0",$AR$5:$AR$220,$B$389),"")</f>
        <v/>
      </c>
      <c r="O400" s="254" t="str" cm="1">
        <f t="array" ref="O400">IFERROR(SUMPRODUCT(--($F$5:$F$220=F400),--($AR$5:$AR$220=$B$389),--($AS$5:$AS$220=$B$369),$J$5:$J$220,$O$5:$O$220)/SUMIFS($J$5:$J$220,$F$5:$F$220,F400,$AS$5:$AS$220,$B$369,$AR$5:$AR$220,$B$389),"")</f>
        <v/>
      </c>
      <c r="P400" s="254" t="str" cm="1">
        <f t="array" ref="P400">IFERROR(SUMPRODUCT(--($AR$5:$AR$220=$B$389),--($F$5:$F$220=F400),--($AS$5:$AS$220=$B$369),$J$5:$J$220,$P$5:$P$220)/SUMIFS($J$5:$J$220,$F$5:$F$220,F400,$AS$5:$AS$220,$B$369,$P$5:$P$220,"&gt;0",$AR$5:$AR$220,$B$389),"")</f>
        <v/>
      </c>
      <c r="Q400" s="254" t="str" cm="1">
        <f t="array" ref="Q400">IFERROR(SUMPRODUCT(--($AR$5:$AR$220=$B$389),--($F$5:$F$220=F400),--($AS$5:$AS$220=$B$369),$J$5:$J$220,$Q$5:$Q$220)/SUMIFS($J$5:$J$220,$AS$5:$AS$220,$B$369,$F$5:$F$220,F400,$AR$5:$AR$220,$B$389),"")</f>
        <v/>
      </c>
      <c r="R400" s="254" t="str" cm="1">
        <f t="array" ref="R400">IFERROR(SUMPRODUCT(--($AR$5:$AR$220=$B$389),--($F$5:$F$220=F400),--($I$5:$I$220&gt;12),--($AS$5:$AS$220=$B$369),$R$5:$R$220,$J$5:$J$220)/SUMIFS($J$5:$J$220,$I$5:$I$220,"&gt;12",$F$5:$F$220,F400,$AS$5:$AS$220,$B$369,$AR$5:$AR$220,$B$389),"")</f>
        <v/>
      </c>
      <c r="S400" s="254" t="str" cm="1">
        <f t="array" ref="S400">IFERROR(SUMPRODUCT(--($AR$5:$AR$220=$B$389),--($F$5:$F$220=F400),--($I$5:$I$220&gt;12),--($AS$5:$AS$220=$B$369),$S$5:$S$220,$J$5:$J$220)/SUMIFS($J$5:$J$220,$I$5:$I$220,"&gt;12",$F$5:$F$220,F400,$AS$5:$AS$220,$B$369,$AR$5:$AR$220,$B$389),"")</f>
        <v/>
      </c>
      <c r="T400" s="254" t="str" cm="1">
        <f t="array" ref="T400">IFERROR(SUMPRODUCT(--($AR$5:$AR$220=$B$389),--($F$5:$F$220=F400),--($AS$5:$AS$220=$B$369),$T$5:$T$220,$J$5:$J$220)/SUMIFS($J$5:$J$220,$F$5:$F$220,F400,$AS$5:$AS$220,$B$369,$AR$5:$AR$220,$B$389),"")</f>
        <v/>
      </c>
      <c r="U400" s="254" t="str" cm="1">
        <f t="array" ref="U400">IFERROR(SUMPRODUCT(--($AR$5:$AR$220=$B$389),--($F$5:$F$220=F400),--($AS$5:$AS$220=$B$369),$U$5:$U$220,$J$5:$J$220)/SUMIFS($J$5:$J$220,$F$5:$F$220,F400,$AS$5:$AS$220,$B$369,$AR$5:$AR$220,$B$389),"")</f>
        <v/>
      </c>
      <c r="V400" s="254" t="str" cm="1">
        <f t="array" ref="V400">IFERROR(SUMPRODUCT(--($AR$5:$AR$220=$B$389),--($F$5:$F$220=F400),--($AS$5:$AS$220=$B$369),$V$5:$V$220,$J$5:$J$220)/SUMIFS($J$5:$J$220,$F$5:$F$220,F400,$AS$5:$AS$220,$B$369,$AR$5:$AR$220,$B$389),"")</f>
        <v/>
      </c>
      <c r="W400" s="254" t="str" cm="1">
        <f t="array" ref="W400">IFERROR(SUMPRODUCT(--($AR$5:$AR$220=$B$389),--($F$5:$F$220=F400),--($AS$5:$AS$220=$B$369),$W$5:$W$220,$J$5:$J$220)/SUMIFS($J$5:$J$220,$F$5:$F$220,F400,$AS$5:$AS$220,$B$369,$AR$5:$AR$220,$B$389),"")</f>
        <v/>
      </c>
      <c r="X400" s="256" t="str" cm="1">
        <f t="array" ref="X400">IFERROR((IFERROR(SUMPRODUCT(--($F$5:$F$220=F400),--($N$5:$N$220&gt;0),--($AS$5:$AS$220=$B$369),--($AR$5:$AR$220=$B$389),$J$5:$J$220,$Q$5:$Q$220)/SUMIFS($J$5:$J$220,$F$5:$F$220,F400,$N$5:$N$220,"&gt;0",$AS$5:$AS$220,$B$369,$AR$5:$AR$220,$B$389),""))/N400-1,"NA")</f>
        <v>NA</v>
      </c>
      <c r="Y400" s="256"/>
      <c r="Z400" s="289" t="str">
        <f t="shared" si="218"/>
        <v>NA</v>
      </c>
      <c r="AG400" s="290"/>
      <c r="AH400" s="290"/>
    </row>
    <row r="401" spans="2:34">
      <c r="B401" s="291"/>
      <c r="F401" s="184" t="s">
        <v>173</v>
      </c>
      <c r="H401" s="184">
        <f t="shared" si="216"/>
        <v>0</v>
      </c>
      <c r="I401" s="254" t="str" cm="1">
        <f t="array" ref="I401">IFERROR(SUMPRODUCT(--($AR$5:$AR$220=$B$389),--($F$5:$F$220=F401),--($AS$5:$AS$220=$B$369),$J$5:$J$220,$I$5:$I$220)/SUMIFS($J$5:$J$220,$AS$5:$AS$220,$B$369,$F$5:$F$220,F401,$AR$5:$AR$220,$B$389)/12,"")</f>
        <v/>
      </c>
      <c r="J401" s="253">
        <f t="shared" si="217"/>
        <v>0</v>
      </c>
      <c r="K401" s="253"/>
      <c r="L401" s="253"/>
      <c r="M401" s="253"/>
      <c r="N401" s="254" t="str" cm="1">
        <f t="array" ref="N401">IFERROR(SUMPRODUCT(--($F$5:$F$220=F401),--($AS$5:$AS$220=$B$369),--($AR$5:$AR$220=$B$389),$J$5:$J$220,$N$5:$N$220)/SUMIFS($J$5:$J$220,$F$5:$F$220,F401,$AS$5:$AS$220,$B$369,$N$5:$N$220,"&gt;0",$AR$5:$AR$220,$B$389),"")</f>
        <v/>
      </c>
      <c r="O401" s="254" t="str" cm="1">
        <f t="array" ref="O401">IFERROR(SUMPRODUCT(--($F$5:$F$220=F401),--($AR$5:$AR$220=$B$389),--($AS$5:$AS$220=$B$369),$J$5:$J$220,$O$5:$O$220)/SUMIFS($J$5:$J$220,$F$5:$F$220,F401,$AS$5:$AS$220,$B$369,$AR$5:$AR$220,$B$389),"")</f>
        <v/>
      </c>
      <c r="P401" s="254" t="str" cm="1">
        <f t="array" ref="P401">IFERROR(SUMPRODUCT(--($AR$5:$AR$220=$B$389),--($F$5:$F$220=F401),--($AS$5:$AS$220=$B$369),$J$5:$J$220,$P$5:$P$220)/SUMIFS($J$5:$J$220,$F$5:$F$220,F401,$AS$5:$AS$220,$B$369,$P$5:$P$220,"&gt;0",$AR$5:$AR$220,$B$389),"")</f>
        <v/>
      </c>
      <c r="Q401" s="254" t="str" cm="1">
        <f t="array" ref="Q401">IFERROR(SUMPRODUCT(--($AR$5:$AR$220=$B$389),--($F$5:$F$220=F401),--($AS$5:$AS$220=$B$369),$J$5:$J$220,$Q$5:$Q$220)/SUMIFS($J$5:$J$220,$AS$5:$AS$220,$B$369,$F$5:$F$220,F401,$AR$5:$AR$220,$B$389),"")</f>
        <v/>
      </c>
      <c r="R401" s="254" t="str" cm="1">
        <f t="array" ref="R401">IFERROR(SUMPRODUCT(--($AR$5:$AR$220=$B$389),--($F$5:$F$220=F401),--($I$5:$I$220&gt;12),--($AS$5:$AS$220=$B$369),$R$5:$R$220,$J$5:$J$220)/SUMIFS($J$5:$J$220,$I$5:$I$220,"&gt;12",$F$5:$F$220,F401,$AS$5:$AS$220,$B$369,$AR$5:$AR$220,$B$389),"")</f>
        <v/>
      </c>
      <c r="S401" s="254" t="str" cm="1">
        <f t="array" ref="S401">IFERROR(SUMPRODUCT(--($AR$5:$AR$220=$B$389),--($F$5:$F$220=F401),--($I$5:$I$220&gt;12),--($AS$5:$AS$220=$B$369),$S$5:$S$220,$J$5:$J$220)/SUMIFS($J$5:$J$220,$I$5:$I$220,"&gt;12",$F$5:$F$220,F401,$AS$5:$AS$220,$B$369,$AR$5:$AR$220,$B$389),"")</f>
        <v/>
      </c>
      <c r="T401" s="254" t="str" cm="1">
        <f t="array" ref="T401">IFERROR(SUMPRODUCT(--($AR$5:$AR$220=$B$389),--($F$5:$F$220=F401),--($AS$5:$AS$220=$B$369),$T$5:$T$220,$J$5:$J$220)/SUMIFS($J$5:$J$220,$F$5:$F$220,F401,$AS$5:$AS$220,$B$369,$AR$5:$AR$220,$B$389),"")</f>
        <v/>
      </c>
      <c r="U401" s="254" t="str" cm="1">
        <f t="array" ref="U401">IFERROR(SUMPRODUCT(--($AR$5:$AR$220=$B$389),--($F$5:$F$220=F401),--($AS$5:$AS$220=$B$369),$U$5:$U$220,$J$5:$J$220)/SUMIFS($J$5:$J$220,$F$5:$F$220,F401,$AS$5:$AS$220,$B$369,$AR$5:$AR$220,$B$389),"")</f>
        <v/>
      </c>
      <c r="V401" s="254" t="str" cm="1">
        <f t="array" ref="V401">IFERROR(SUMPRODUCT(--($AR$5:$AR$220=$B$389),--($F$5:$F$220=F401),--($AS$5:$AS$220=$B$369),$V$5:$V$220,$J$5:$J$220)/SUMIFS($J$5:$J$220,$F$5:$F$220,F401,$AS$5:$AS$220,$B$369,$AR$5:$AR$220,$B$389),"")</f>
        <v/>
      </c>
      <c r="W401" s="254" t="str" cm="1">
        <f t="array" ref="W401">IFERROR(SUMPRODUCT(--($AR$5:$AR$220=$B$389),--($F$5:$F$220=F401),--($AS$5:$AS$220=$B$369),$W$5:$W$220,$J$5:$J$220)/SUMIFS($J$5:$J$220,$F$5:$F$220,F401,$AS$5:$AS$220,$B$369,$AR$5:$AR$220,$B$389),"")</f>
        <v/>
      </c>
      <c r="X401" s="256" t="str" cm="1">
        <f t="array" ref="X401">IFERROR((IFERROR(SUMPRODUCT(--($F$5:$F$220=F401),--($N$5:$N$220&gt;0),--($AS$5:$AS$220=$B$369),--($AR$5:$AR$220=$B$389),$J$5:$J$220,$Q$5:$Q$220)/SUMIFS($J$5:$J$220,$F$5:$F$220,F401,$N$5:$N$220,"&gt;0",$AS$5:$AS$220,$B$369,$AR$5:$AR$220,$B$389),""))/N401-1,"NA")</f>
        <v>NA</v>
      </c>
      <c r="Y401" s="256"/>
      <c r="Z401" s="289" t="str">
        <f t="shared" si="218"/>
        <v>NA</v>
      </c>
      <c r="AG401" s="290"/>
      <c r="AH401" s="290"/>
    </row>
    <row r="402" spans="2:34">
      <c r="B402" s="291"/>
      <c r="F402" s="184" t="s">
        <v>274</v>
      </c>
      <c r="H402" s="184">
        <f t="shared" si="216"/>
        <v>0</v>
      </c>
      <c r="I402" s="254" t="str" cm="1">
        <f t="array" ref="I402">IFERROR(SUMPRODUCT(--($AR$5:$AR$220=$B$389),--($F$5:$F$220=F402),--($AS$5:$AS$220=$B$369),$J$5:$J$220,$I$5:$I$220)/SUMIFS($J$5:$J$220,$AS$5:$AS$220,$B$369,$F$5:$F$220,F402,$AR$5:$AR$220,$B$389)/12,"")</f>
        <v/>
      </c>
      <c r="J402" s="253">
        <f t="shared" si="217"/>
        <v>0</v>
      </c>
      <c r="K402" s="253"/>
      <c r="L402" s="253"/>
      <c r="M402" s="253"/>
      <c r="N402" s="254" t="str" cm="1">
        <f t="array" ref="N402">IFERROR(SUMPRODUCT(--($F$5:$F$220=F402),--($AS$5:$AS$220=$B$369),--($AR$5:$AR$220=$B$389),$J$5:$J$220,$N$5:$N$220)/SUMIFS($J$5:$J$220,$F$5:$F$220,F402,$AS$5:$AS$220,$B$369,$N$5:$N$220,"&gt;0",$AR$5:$AR$220,$B$389),"")</f>
        <v/>
      </c>
      <c r="O402" s="254" t="str" cm="1">
        <f t="array" ref="O402">IFERROR(SUMPRODUCT(--($F$5:$F$220=F402),--($AR$5:$AR$220=$B$389),--($AS$5:$AS$220=$B$369),$J$5:$J$220,$O$5:$O$220)/SUMIFS($J$5:$J$220,$F$5:$F$220,F402,$AS$5:$AS$220,$B$369,$AR$5:$AR$220,$B$389),"")</f>
        <v/>
      </c>
      <c r="P402" s="254" t="str" cm="1">
        <f t="array" ref="P402">IFERROR(SUMPRODUCT(--($AR$5:$AR$220=$B$389),--($F$5:$F$220=F402),--($AS$5:$AS$220=$B$369),$J$5:$J$220,$P$5:$P$220)/SUMIFS($J$5:$J$220,$F$5:$F$220,F402,$AS$5:$AS$220,$B$369,$P$5:$P$220,"&gt;0",$AR$5:$AR$220,$B$389),"")</f>
        <v/>
      </c>
      <c r="Q402" s="254" t="str" cm="1">
        <f t="array" ref="Q402">IFERROR(SUMPRODUCT(--($AR$5:$AR$220=$B$389),--($F$5:$F$220=F402),--($AS$5:$AS$220=$B$369),$J$5:$J$220,$Q$5:$Q$220)/SUMIFS($J$5:$J$220,$AS$5:$AS$220,$B$369,$F$5:$F$220,F402,$AR$5:$AR$220,$B$389),"")</f>
        <v/>
      </c>
      <c r="R402" s="254" t="str" cm="1">
        <f t="array" ref="R402">IFERROR(SUMPRODUCT(--($AR$5:$AR$220=$B$389),--($F$5:$F$220=F402),--($I$5:$I$220&gt;12),--($AS$5:$AS$220=$B$369),$R$5:$R$220,$J$5:$J$220)/SUMIFS($J$5:$J$220,$I$5:$I$220,"&gt;12",$F$5:$F$220,F402,$AS$5:$AS$220,$B$369,$AR$5:$AR$220,$B$389),"")</f>
        <v/>
      </c>
      <c r="S402" s="254" t="str" cm="1">
        <f t="array" ref="S402">IFERROR(SUMPRODUCT(--($AR$5:$AR$220=$B$389),--($F$5:$F$220=F402),--($I$5:$I$220&gt;12),--($AS$5:$AS$220=$B$369),$S$5:$S$220,$J$5:$J$220)/SUMIFS($J$5:$J$220,$I$5:$I$220,"&gt;12",$F$5:$F$220,F402,$AS$5:$AS$220,$B$369,$AR$5:$AR$220,$B$389),"")</f>
        <v/>
      </c>
      <c r="T402" s="254" t="str" cm="1">
        <f t="array" ref="T402">IFERROR(SUMPRODUCT(--($AR$5:$AR$220=$B$389),--($F$5:$F$220=F402),--($AS$5:$AS$220=$B$369),$T$5:$T$220,$J$5:$J$220)/SUMIFS($J$5:$J$220,$F$5:$F$220,F402,$AS$5:$AS$220,$B$369,$AR$5:$AR$220,$B$389),"")</f>
        <v/>
      </c>
      <c r="U402" s="254" t="str" cm="1">
        <f t="array" ref="U402">IFERROR(SUMPRODUCT(--($AR$5:$AR$220=$B$389),--($F$5:$F$220=F402),--($AS$5:$AS$220=$B$369),$U$5:$U$220,$J$5:$J$220)/SUMIFS($J$5:$J$220,$F$5:$F$220,F402,$AS$5:$AS$220,$B$369,$AR$5:$AR$220,$B$389),"")</f>
        <v/>
      </c>
      <c r="V402" s="254" t="str" cm="1">
        <f t="array" ref="V402">IFERROR(SUMPRODUCT(--($AR$5:$AR$220=$B$389),--($F$5:$F$220=F402),--($AS$5:$AS$220=$B$369),$V$5:$V$220,$J$5:$J$220)/SUMIFS($J$5:$J$220,$F$5:$F$220,F402,$AS$5:$AS$220,$B$369,$AR$5:$AR$220,$B$389),"")</f>
        <v/>
      </c>
      <c r="W402" s="254" t="str" cm="1">
        <f t="array" ref="W402">IFERROR(SUMPRODUCT(--($AR$5:$AR$220=$B$389),--($F$5:$F$220=F402),--($AS$5:$AS$220=$B$369),$W$5:$W$220,$J$5:$J$220)/SUMIFS($J$5:$J$220,$F$5:$F$220,F402,$AS$5:$AS$220,$B$369,$AR$5:$AR$220,$B$389),"")</f>
        <v/>
      </c>
      <c r="X402" s="256" t="str" cm="1">
        <f t="array" ref="X402">IFERROR((IFERROR(SUMPRODUCT(--($F$5:$F$220=F402),--($N$5:$N$220&gt;0),--($AS$5:$AS$220=$B$369),--($AR$5:$AR$220=$B$389),$J$5:$J$220,$Q$5:$Q$220)/SUMIFS($J$5:$J$220,$F$5:$F$220,F402,$N$5:$N$220,"&gt;0",$AS$5:$AS$220,$B$369,$AR$5:$AR$220,$B$389),""))/N402-1,"NA")</f>
        <v>NA</v>
      </c>
      <c r="Y402" s="256"/>
      <c r="Z402" s="289" t="str">
        <f t="shared" si="218"/>
        <v>NA</v>
      </c>
      <c r="AG402" s="290"/>
      <c r="AH402" s="290"/>
    </row>
    <row r="403" spans="2:34">
      <c r="B403" s="291"/>
      <c r="F403" s="184" t="s">
        <v>177</v>
      </c>
      <c r="H403" s="184">
        <f t="shared" si="216"/>
        <v>0</v>
      </c>
      <c r="I403" s="254" t="str" cm="1">
        <f t="array" ref="I403">IFERROR(SUMPRODUCT(--($AR$5:$AR$220=$B$389),--($F$5:$F$220=F403),--($AS$5:$AS$220=$B$369),$J$5:$J$220,$I$5:$I$220)/SUMIFS($J$5:$J$220,$AS$5:$AS$220,$B$369,$F$5:$F$220,F403,$AR$5:$AR$220,$B$389)/12,"")</f>
        <v/>
      </c>
      <c r="J403" s="253">
        <f t="shared" si="217"/>
        <v>0</v>
      </c>
      <c r="K403" s="253"/>
      <c r="L403" s="253"/>
      <c r="M403" s="253"/>
      <c r="N403" s="254" t="str" cm="1">
        <f t="array" ref="N403">IFERROR(SUMPRODUCT(--($F$5:$F$220=F403),--($AS$5:$AS$220=$B$369),--($AR$5:$AR$220=$B$389),$J$5:$J$220,$N$5:$N$220)/SUMIFS($J$5:$J$220,$F$5:$F$220,F403,$AS$5:$AS$220,$B$369,$N$5:$N$220,"&gt;0",$AR$5:$AR$220,$B$389),"")</f>
        <v/>
      </c>
      <c r="O403" s="254" t="str" cm="1">
        <f t="array" ref="O403">IFERROR(SUMPRODUCT(--($F$5:$F$220=F403),--($AR$5:$AR$220=$B$389),--($AS$5:$AS$220=$B$369),$J$5:$J$220,$O$5:$O$220)/SUMIFS($J$5:$J$220,$F$5:$F$220,F403,$AS$5:$AS$220,$B$369,$AR$5:$AR$220,$B$389),"")</f>
        <v/>
      </c>
      <c r="P403" s="254" t="str" cm="1">
        <f t="array" ref="P403">IFERROR(SUMPRODUCT(--($AR$5:$AR$220=$B$389),--($F$5:$F$220=F403),--($AS$5:$AS$220=$B$369),$J$5:$J$220,$P$5:$P$220)/SUMIFS($J$5:$J$220,$F$5:$F$220,F403,$AS$5:$AS$220,$B$369,$P$5:$P$220,"&gt;0",$AR$5:$AR$220,$B$389),"")</f>
        <v/>
      </c>
      <c r="Q403" s="254" t="str" cm="1">
        <f t="array" ref="Q403">IFERROR(SUMPRODUCT(--($AR$5:$AR$220=$B$389),--($F$5:$F$220=F403),--($AS$5:$AS$220=$B$369),$J$5:$J$220,$Q$5:$Q$220)/SUMIFS($J$5:$J$220,$AS$5:$AS$220,$B$369,$F$5:$F$220,F403,$AR$5:$AR$220,$B$389),"")</f>
        <v/>
      </c>
      <c r="R403" s="254" t="str" cm="1">
        <f t="array" ref="R403">IFERROR(SUMPRODUCT(--($AR$5:$AR$220=$B$389),--($F$5:$F$220=F403),--($I$5:$I$220&gt;12),--($AS$5:$AS$220=$B$369),$R$5:$R$220,$J$5:$J$220)/SUMIFS($J$5:$J$220,$I$5:$I$220,"&gt;12",$F$5:$F$220,F403,$AS$5:$AS$220,$B$369,$AR$5:$AR$220,$B$389),"")</f>
        <v/>
      </c>
      <c r="S403" s="254" t="str" cm="1">
        <f t="array" ref="S403">IFERROR(SUMPRODUCT(--($AR$5:$AR$220=$B$389),--($F$5:$F$220=F403),--($I$5:$I$220&gt;12),--($AS$5:$AS$220=$B$369),$S$5:$S$220,$J$5:$J$220)/SUMIFS($J$5:$J$220,$I$5:$I$220,"&gt;12",$F$5:$F$220,F403,$AS$5:$AS$220,$B$369,$AR$5:$AR$220,$B$389),"")</f>
        <v/>
      </c>
      <c r="T403" s="254" t="str" cm="1">
        <f t="array" ref="T403">IFERROR(SUMPRODUCT(--($AR$5:$AR$220=$B$389),--($F$5:$F$220=F403),--($AS$5:$AS$220=$B$369),$T$5:$T$220,$J$5:$J$220)/SUMIFS($J$5:$J$220,$F$5:$F$220,F403,$AS$5:$AS$220,$B$369,$AR$5:$AR$220,$B$389),"")</f>
        <v/>
      </c>
      <c r="U403" s="254" t="str" cm="1">
        <f t="array" ref="U403">IFERROR(SUMPRODUCT(--($AR$5:$AR$220=$B$389),--($F$5:$F$220=F403),--($AS$5:$AS$220=$B$369),$U$5:$U$220,$J$5:$J$220)/SUMIFS($J$5:$J$220,$F$5:$F$220,F403,$AS$5:$AS$220,$B$369,$AR$5:$AR$220,$B$389),"")</f>
        <v/>
      </c>
      <c r="V403" s="254" t="str" cm="1">
        <f t="array" ref="V403">IFERROR(SUMPRODUCT(--($AR$5:$AR$220=$B$389),--($F$5:$F$220=F403),--($AS$5:$AS$220=$B$369),$V$5:$V$220,$J$5:$J$220)/SUMIFS($J$5:$J$220,$F$5:$F$220,F403,$AS$5:$AS$220,$B$369,$AR$5:$AR$220,$B$389),"")</f>
        <v/>
      </c>
      <c r="W403" s="254" t="str" cm="1">
        <f t="array" ref="W403">IFERROR(SUMPRODUCT(--($AR$5:$AR$220=$B$389),--($F$5:$F$220=F403),--($AS$5:$AS$220=$B$369),$W$5:$W$220,$J$5:$J$220)/SUMIFS($J$5:$J$220,$F$5:$F$220,F403,$AS$5:$AS$220,$B$369,$AR$5:$AR$220,$B$389),"")</f>
        <v/>
      </c>
      <c r="X403" s="256" t="str" cm="1">
        <f t="array" ref="X403">IFERROR((IFERROR(SUMPRODUCT(--($F$5:$F$220=F403),--($N$5:$N$220&gt;0),--($AS$5:$AS$220=$B$369),--($AR$5:$AR$220=$B$389),$J$5:$J$220,$Q$5:$Q$220)/SUMIFS($J$5:$J$220,$F$5:$F$220,F403,$N$5:$N$220,"&gt;0",$AS$5:$AS$220,$B$369,$AR$5:$AR$220,$B$389),""))/N403-1,"NA")</f>
        <v>NA</v>
      </c>
      <c r="Y403" s="256"/>
      <c r="Z403" s="289" t="str">
        <f t="shared" si="218"/>
        <v>NA</v>
      </c>
      <c r="AG403" s="290"/>
      <c r="AH403" s="290"/>
    </row>
    <row r="404" spans="2:34">
      <c r="B404" s="292"/>
      <c r="C404" s="293"/>
      <c r="D404" s="293"/>
      <c r="E404" s="293"/>
      <c r="F404" s="294" t="s">
        <v>27</v>
      </c>
      <c r="G404" s="294"/>
      <c r="H404" s="294">
        <f>SUM(H389:H403)</f>
        <v>7</v>
      </c>
      <c r="I404" s="295" cm="1">
        <f t="array" ref="I404">IFERROR(SUMPRODUCT(--($AR$5:$AR$220=$B$389),--($AS$5:$AS$220=$B$369),$J$5:$J$220,$I$5:$I$220)/SUMIFS($J$5:$J$220,$AS$5:$AS$220,$B$369,$AR$5:$AR$220,$B$389)/12,"")</f>
        <v>5.53591240098313</v>
      </c>
      <c r="J404" s="303">
        <f>SUM(J389:J403)</f>
        <v>131417</v>
      </c>
      <c r="K404" s="303"/>
      <c r="L404" s="303"/>
      <c r="M404" s="303"/>
      <c r="N404" s="295" cm="1">
        <f t="array" ref="N404">IFERROR(SUMPRODUCT(--($AS$5:$AS$220=$B$369),--($AR$5:$AR$220=$B$389),$J$5:$J$220,$N$5:$N$220)/SUMIFS($J$5:$J$220,$AS$5:$AS$220,$B$369,$N$5:$N$220,"&gt;0",$AR$5:$AR$220,$B$389),"")</f>
        <v>6.4550118063754418</v>
      </c>
      <c r="O404" s="295" cm="1">
        <f t="array" ref="O404">IFERROR(SUMPRODUCT(--($AR$5:$AR$220=$B$389),--($AS$5:$AS$220=$B$369),$J$5:$J$220,$O$5:$O$220)/SUMIFS($J$5:$J$220,$AS$5:$AS$220,$B$369,$AR$5:$AR$220,$B$389),"")</f>
        <v>7.9365900149904505</v>
      </c>
      <c r="P404" s="295" cm="1">
        <f t="array" ref="P404">IFERROR(SUMPRODUCT(--($AR$5:$AR$220=$B$389),--($AS$5:$AS$220=$B$369),$J$5:$J$220,$P$5:$P$220)/SUMIFS($J$5:$J$220,$AS$5:$AS$220,$B$369,$P$5:$P$220,"&gt;0",$AR$5:$AR$220,$B$389),"")</f>
        <v>9.1314285822990939</v>
      </c>
      <c r="Q404" s="295" cm="1">
        <f t="array" ref="Q404">IFERROR(SUMPRODUCT(--($AR$5:$AR$220=$B$389),--($AS$5:$AS$220=$B$369),$J$5:$J$220,$Q$5:$Q$220)/SUMIFS($J$5:$J$220,$AS$5:$AS$220,$B$369,$AR$5:$AR$220,$B$389),"")</f>
        <v>8.7123427714831418</v>
      </c>
      <c r="R404" s="295" cm="1">
        <f t="array" ref="R404">IFERROR(SUMPRODUCT(--($AR$5:$AR$220=$B$389),--($I$5:$I$220&gt;12),--($AS$5:$AS$220=$B$369),$R$5:$R$220,$J$5:$J$220)/SUMIFS($J$5:$J$220,$I$5:$I$220,"&gt;12",$AS$5:$AS$220,$B$369,$AR$5:$AR$220,$B$389),"")</f>
        <v>3.776843939520762</v>
      </c>
      <c r="S404" s="295" cm="1">
        <f t="array" ref="S404">IFERROR(SUMPRODUCT(--($AR$5:$AR$220=$B$389),--($I$5:$I$220&gt;12),--($AS$5:$AS$220=$B$369),$S$5:$S$220,$J$5:$J$220)/SUMIFS($J$5:$J$220,$I$5:$I$220,"&gt;12",$AS$5:$AS$220,$B$369,$AR$5:$AR$220,$B$389),"")</f>
        <v>3.2106843102490545</v>
      </c>
      <c r="T404" s="295" cm="1">
        <f t="array" ref="T404">IFERROR(SUMPRODUCT(--($AR$5:$AR$220=$B$389),--($AS$5:$AS$220=$B$369),$T$5:$T$220,$J$5:$J$220)/SUMIFS($J$5:$J$220,$AS$5:$AS$220,$B$369,$AR$5:$AR$220,$B$389),"")</f>
        <v>0</v>
      </c>
      <c r="U404" s="295" cm="1">
        <f t="array" ref="U404">IFERROR(SUMPRODUCT(--($AR$5:$AR$220=$B$389),--($AS$5:$AS$220=$B$369),$U$5:$U$220,$J$5:$J$220)/SUMIFS($J$5:$J$220,$AS$5:$AS$220,$B$369,$AR$5:$AR$220,$B$389),"")</f>
        <v>0</v>
      </c>
      <c r="V404" s="295" cm="1">
        <f t="array" ref="V404">IFERROR(SUMPRODUCT(--($AR$5:$AR$220=$B$389),--($AS$5:$AS$220=$B$369),$V$5:$V$220,$J$5:$J$220)/SUMIFS($J$5:$J$220,$AS$5:$AS$220,$B$369,$AR$5:$AR$220,$B$389),"")</f>
        <v>11.925131451790865</v>
      </c>
      <c r="W404" s="295" cm="1">
        <f t="array" ref="W404">IFERROR(SUMPRODUCT(--($AR$5:$AR$220=$B$389),--($AS$5:$AS$220=$B$369),$W$5:$W$220,$J$5:$J$220)/SUMIFS($J$5:$J$220,$AS$5:$AS$220,$B$369,$AR$5:$AR$220,$B$389),"")</f>
        <v>7.5598666839145618</v>
      </c>
      <c r="X404" s="298" cm="1">
        <f t="array" ref="X404">IFERROR((IFERROR(SUMPRODUCT(--($N$5:$N$220&gt;0),--($AS$5:$AS$220=$B$369),--($AR$5:$AR$220=$B$389),$J$5:$J$220,$Q$5:$Q$220)/SUMIFS($J$5:$J$220,$N$5:$N$220,"&gt;0",$AS$5:$AS$220,$B$369,$AR$5:$AR$220,$B$389),""))/N404-1,"NA")</f>
        <v>0.26879275154499238</v>
      </c>
      <c r="Y404" s="298"/>
      <c r="Z404" s="299">
        <f t="shared" si="218"/>
        <v>9.7743836462191869E-2</v>
      </c>
      <c r="AG404" s="290"/>
      <c r="AH404" s="290"/>
    </row>
    <row r="406" spans="2:34">
      <c r="W406" s="313"/>
    </row>
    <row r="407" spans="2:34">
      <c r="B407" s="310" t="str">
        <f>B369</f>
        <v>Q4 2024</v>
      </c>
      <c r="C407" s="311"/>
      <c r="D407" s="311"/>
      <c r="E407" s="311"/>
      <c r="F407" s="282"/>
      <c r="G407" s="282"/>
      <c r="H407" s="282" t="s">
        <v>730</v>
      </c>
      <c r="I407" s="283" t="s">
        <v>731</v>
      </c>
      <c r="J407" s="283" t="s">
        <v>732</v>
      </c>
      <c r="K407" s="283"/>
      <c r="L407" s="283"/>
      <c r="M407" s="283"/>
      <c r="N407" s="284" t="s">
        <v>94</v>
      </c>
      <c r="O407" s="284" t="s">
        <v>95</v>
      </c>
      <c r="P407" s="284" t="s">
        <v>58</v>
      </c>
      <c r="Q407" s="284" t="s">
        <v>96</v>
      </c>
      <c r="R407" s="283" t="s">
        <v>734</v>
      </c>
      <c r="S407" s="283" t="s">
        <v>735</v>
      </c>
      <c r="T407" s="283" t="s">
        <v>736</v>
      </c>
      <c r="U407" s="283" t="s">
        <v>737</v>
      </c>
      <c r="V407" s="283" t="s">
        <v>64</v>
      </c>
      <c r="W407" s="283" t="s">
        <v>738</v>
      </c>
      <c r="X407" s="283" t="s">
        <v>755</v>
      </c>
      <c r="Y407" s="283"/>
      <c r="Z407" s="286" t="s">
        <v>740</v>
      </c>
      <c r="AG407" s="288" t="s">
        <v>741</v>
      </c>
      <c r="AH407" s="288" t="s">
        <v>742</v>
      </c>
    </row>
    <row r="408" spans="2:34">
      <c r="B408" s="312" t="s">
        <v>157</v>
      </c>
      <c r="C408" s="250"/>
      <c r="D408" s="250"/>
      <c r="E408" s="250"/>
      <c r="F408" s="184" t="s">
        <v>153</v>
      </c>
      <c r="H408" s="184">
        <f t="shared" ref="H408:H422" si="219">COUNTIFS($F$5:$F$220,F408,$AS$5:$AS$220,$B$369,$AR$5:$AR$220,$B$408)</f>
        <v>2</v>
      </c>
      <c r="I408" s="254" cm="1">
        <f t="array" ref="I408">IFERROR(SUMPRODUCT(--($AR$5:$AR$220=$B$408),--($F$5:$F$220=F408),--($AS$5:$AS$220=$B$369),$J$5:$J$220,$I$5:$I$220)/SUMIFS($J$5:$J$220,$AS$5:$AS$220,$B$369,$F$5:$F$220,F408,$AR$5:$AR$220,$B$408)/12,"")</f>
        <v>3.7839727609898461</v>
      </c>
      <c r="J408" s="253">
        <f t="shared" ref="J408:J422" si="220">SUMIFS($J$5:$J$220,$F$5:$F$220,F408,$AS$5:$AS$220,$B$369,$AR$5:$AR$220,$B$408)</f>
        <v>32894</v>
      </c>
      <c r="K408" s="253"/>
      <c r="L408" s="253"/>
      <c r="M408" s="253"/>
      <c r="N408" s="254" cm="1">
        <f t="array" ref="N408">IFERROR(SUMPRODUCT(--($F$5:$F$220=F408),--($AS$5:$AS$220=$B$369),--($AR$5:$AR$220=$B$408),$J$5:$J$220,$N$5:$N$220)/SUMIFS($J$5:$J$220,$F$5:$F$220,F408,$AS$5:$AS$220,$B$369,$N$5:$N$220,"&gt;0",$AR$5:$AR$220,$B$408),"")</f>
        <v>4.8028576640116745</v>
      </c>
      <c r="O408" s="254" cm="1">
        <f t="array" ref="O408">IFERROR(SUMPRODUCT(--($F$5:$F$220=F408),--($AR$5:$AR$220=$B$408),--($AS$5:$AS$220=$B$369),$J$5:$J$220,$O$5:$O$220)/SUMIFS($J$5:$J$220,$F$5:$F$220,F408,$AS$5:$AS$220,$B$369,$AR$5:$AR$220,$B$408),"")</f>
        <v>8.0689396242475837</v>
      </c>
      <c r="P408" s="254" cm="1">
        <f t="array" ref="P408">IFERROR(SUMPRODUCT(--($AR$5:$AR$220=$B$408),--($F$5:$F$220=F408),--($AS$5:$AS$220=$B$369),$J$5:$J$220,$P$5:$P$220)/SUMIFS($J$5:$J$220,$F$5:$F$220,F408,$AS$5:$AS$220,$B$369,$P$5:$P$220,"&gt;0",$AR$5:$AR$220,$B$408),"")</f>
        <v>6.4324910317991115</v>
      </c>
      <c r="Q408" s="254" cm="1">
        <f t="array" ref="Q408">IFERROR(SUMPRODUCT(--($AR$5:$AR$220=$B$408),--($F$5:$F$220=F408),--($AS$5:$AS$220=$B$369),$J$5:$J$220,$Q$5:$Q$220)/SUMIFS($J$5:$J$220,$AS$5:$AS$220,$B$369,$F$5:$F$220,F408,$AR$5:$AR$220,$B$408),"")</f>
        <v>7.1033094181309666</v>
      </c>
      <c r="R408" s="254" cm="1">
        <f t="array" ref="R408">IFERROR(SUMPRODUCT(--($AR$5:$AR$220=$B$408),--($F$5:$F$220=F408),--($I$5:$I$220&gt;12),--($AS$5:$AS$220=$B$369),$R$5:$R$220,$J$5:$J$220)/SUMIFS($J$5:$J$220,$I$5:$I$220,"&gt;12",$F$5:$F$220,F408,$AS$5:$AS$220,$B$369,$AR$5:$AR$220,$B$408),"")</f>
        <v>3.4120204292576153</v>
      </c>
      <c r="S408" s="254" cm="1">
        <f t="array" ref="S408">IFERROR(SUMPRODUCT(--($AR$5:$AR$220=$B$408),--($F$5:$F$220=F408),--($I$5:$I$220&gt;12),--($AS$5:$AS$220=$B$369),$S$5:$S$220,$J$5:$J$220)/SUMIFS($J$5:$J$220,$I$5:$I$220,"&gt;12",$F$5:$F$220,F408,$AS$5:$AS$220,$B$369,$AR$5:$AR$220,$B$408),"")</f>
        <v>3.3919863804949233</v>
      </c>
      <c r="T408" s="254" cm="1">
        <f t="array" ref="T408">IFERROR(SUMPRODUCT(--($AR$5:$AR$220=$B$408),--($F$5:$F$220=F408),--($AS$5:$AS$220=$B$369),$T$5:$T$220,$J$5:$J$220)/SUMIFS($J$5:$J$220,$F$5:$F$220,F408,$AS$5:$AS$220,$B$369,$AR$5:$AR$220,$B$408),"")</f>
        <v>0</v>
      </c>
      <c r="U408" s="254" cm="1">
        <f t="array" ref="U408">IFERROR(SUMPRODUCT(--($AR$5:$AR$220=$B$408),--($F$5:$F$220=F408),--($AS$5:$AS$220=$B$369),$U$5:$U$220,$J$5:$J$220)/SUMIFS($J$5:$J$220,$F$5:$F$220,F408,$AS$5:$AS$220,$B$369,$AR$5:$AR$220,$B$408),"")</f>
        <v>0</v>
      </c>
      <c r="V408" s="254" cm="1">
        <f t="array" ref="V408">IFERROR(SUMPRODUCT(--($AR$5:$AR$220=$B$408),--($F$5:$F$220=F408),--($AS$5:$AS$220=$B$369),$V$5:$V$220,$J$5:$J$220)/SUMIFS($J$5:$J$220,$F$5:$F$220,F408,$AS$5:$AS$220,$B$369,$AR$5:$AR$220,$B$408),"")</f>
        <v>0</v>
      </c>
      <c r="W408" s="254" cm="1">
        <f t="array" ref="W408">IFERROR(SUMPRODUCT(--($AR$5:$AR$220=$B$408),--($F$5:$F$220=F408),--($AS$5:$AS$220=$B$369),$W$5:$W$220,$J$5:$J$220)/SUMIFS($J$5:$J$220,$F$5:$F$220,F408,$AS$5:$AS$220,$B$369,$AR$5:$AR$220,$B$408),"")</f>
        <v>0</v>
      </c>
      <c r="X408" s="256" cm="1">
        <f t="array" ref="X408">IFERROR((IFERROR(SUMPRODUCT(--($F$5:$F$220=F408),--($N$5:$N$220&gt;0),--($AS$5:$AS$220=$B$369),--($AR$5:$AR$220=$B$408),$J$5:$J$220,$Q$5:$Q$220)/SUMIFS($J$5:$J$220,$F$5:$F$220,F408,$N$5:$N$220,"&gt;0",$AS$5:$AS$220,$B$369,$AR$5:$AR$220,$B$408),""))/N408-1,"NA")</f>
        <v>0.47897562556492623</v>
      </c>
      <c r="Y408" s="256"/>
      <c r="Z408" s="289">
        <f t="shared" ref="Z408:Z423" si="221">IFERROR(Q408/O408-1,"NA")</f>
        <v>-0.11967250358583026</v>
      </c>
      <c r="AG408" s="290"/>
      <c r="AH408" s="290"/>
    </row>
    <row r="409" spans="2:34">
      <c r="B409" s="251" t="s">
        <v>759</v>
      </c>
      <c r="F409" s="184" t="s">
        <v>207</v>
      </c>
      <c r="H409" s="184">
        <f t="shared" si="219"/>
        <v>1</v>
      </c>
      <c r="I409" s="254" cm="1">
        <f t="array" ref="I409">IFERROR(SUMPRODUCT(--($AR$5:$AR$220=$B$408),--($F$5:$F$220=F409),--($AS$5:$AS$220=$B$369),$J$5:$J$220,$I$5:$I$220)/SUMIFS($J$5:$J$220,$AS$5:$AS$220,$B$369,$F$5:$F$220,F409,$AR$5:$AR$220,$B$408)/12,"")</f>
        <v>4.583333333333333</v>
      </c>
      <c r="J409" s="253">
        <f t="shared" si="220"/>
        <v>3408</v>
      </c>
      <c r="K409" s="253"/>
      <c r="L409" s="253"/>
      <c r="M409" s="253"/>
      <c r="N409" s="254" cm="1">
        <f t="array" ref="N409">IFERROR(SUMPRODUCT(--($F$5:$F$220=F409),--($AS$5:$AS$220=$B$369),--($AR$5:$AR$220=$B$408),$J$5:$J$220,$N$5:$N$220)/SUMIFS($J$5:$J$220,$F$5:$F$220,F409,$AS$5:$AS$220,$B$369,$N$5:$N$220,"&gt;0",$AR$5:$AR$220,$B$408),"")</f>
        <v>11.069999999999999</v>
      </c>
      <c r="O409" s="254" cm="1">
        <f t="array" ref="O409">IFERROR(SUMPRODUCT(--($F$5:$F$220=F409),--($AR$5:$AR$220=$B$408),--($AS$5:$AS$220=$B$369),$J$5:$J$220,$O$5:$O$220)/SUMIFS($J$5:$J$220,$F$5:$F$220,F409,$AS$5:$AS$220,$B$369,$AR$5:$AR$220,$B$408),"")</f>
        <v>13.11</v>
      </c>
      <c r="P409" s="254" cm="1">
        <f t="array" ref="P409">IFERROR(SUMPRODUCT(--($AR$5:$AR$220=$B$408),--($F$5:$F$220=F409),--($AS$5:$AS$220=$B$369),$J$5:$J$220,$P$5:$P$220)/SUMIFS($J$5:$J$220,$F$5:$F$220,F409,$AS$5:$AS$220,$B$369,$P$5:$P$220,"&gt;0",$AR$5:$AR$220,$B$408),"")</f>
        <v>12.5</v>
      </c>
      <c r="Q409" s="254" cm="1">
        <f t="array" ref="Q409">IFERROR(SUMPRODUCT(--($AR$5:$AR$220=$B$408),--($F$5:$F$220=F409),--($AS$5:$AS$220=$B$369),$J$5:$J$220,$Q$5:$Q$220)/SUMIFS($J$5:$J$220,$AS$5:$AS$220,$B$369,$F$5:$F$220,F409,$AR$5:$AR$220,$B$408),"")</f>
        <v>12</v>
      </c>
      <c r="R409" s="254" cm="1">
        <f t="array" ref="R409">IFERROR(SUMPRODUCT(--($AR$5:$AR$220=$B$408),--($F$5:$F$220=F409),--($I$5:$I$220&gt;12),--($AS$5:$AS$220=$B$369),$R$5:$R$220,$J$5:$J$220)/SUMIFS($J$5:$J$220,$I$5:$I$220,"&gt;12",$F$5:$F$220,F409,$AS$5:$AS$220,$B$369,$AR$5:$AR$220,$B$408),"")</f>
        <v>3</v>
      </c>
      <c r="S409" s="254" cm="1">
        <f t="array" ref="S409">IFERROR(SUMPRODUCT(--($AR$5:$AR$220=$B$408),--($F$5:$F$220=F409),--($I$5:$I$220&gt;12),--($AS$5:$AS$220=$B$369),$S$5:$S$220,$J$5:$J$220)/SUMIFS($J$5:$J$220,$I$5:$I$220,"&gt;12",$F$5:$F$220,F409,$AS$5:$AS$220,$B$369,$AR$5:$AR$220,$B$408),"")</f>
        <v>4</v>
      </c>
      <c r="T409" s="254" cm="1">
        <f t="array" ref="T409">IFERROR(SUMPRODUCT(--($AR$5:$AR$220=$B$408),--($F$5:$F$220=F409),--($AS$5:$AS$220=$B$369),$T$5:$T$220,$J$5:$J$220)/SUMIFS($J$5:$J$220,$F$5:$F$220,F409,$AS$5:$AS$220,$B$369,$AR$5:$AR$220,$B$408),"")</f>
        <v>0</v>
      </c>
      <c r="U409" s="254" cm="1">
        <f t="array" ref="U409">IFERROR(SUMPRODUCT(--($AR$5:$AR$220=$B$408),--($F$5:$F$220=F409),--($AS$5:$AS$220=$B$369),$U$5:$U$220,$J$5:$J$220)/SUMIFS($J$5:$J$220,$F$5:$F$220,F409,$AS$5:$AS$220,$B$369,$AR$5:$AR$220,$B$408),"")</f>
        <v>0</v>
      </c>
      <c r="V409" s="254" cm="1">
        <f t="array" ref="V409">IFERROR(SUMPRODUCT(--($AR$5:$AR$220=$B$408),--($F$5:$F$220=F409),--($AS$5:$AS$220=$B$369),$V$5:$V$220,$J$5:$J$220)/SUMIFS($J$5:$J$220,$F$5:$F$220,F409,$AS$5:$AS$220,$B$369,$AR$5:$AR$220,$B$408),"")</f>
        <v>0</v>
      </c>
      <c r="W409" s="254" cm="1">
        <f t="array" ref="W409">IFERROR(SUMPRODUCT(--($AR$5:$AR$220=$B$408),--($F$5:$F$220=F409),--($AS$5:$AS$220=$B$369),$W$5:$W$220,$J$5:$J$220)/SUMIFS($J$5:$J$220,$F$5:$F$220,F409,$AS$5:$AS$220,$B$369,$AR$5:$AR$220,$B$408),"")</f>
        <v>0</v>
      </c>
      <c r="X409" s="256" cm="1">
        <f t="array" ref="X409">IFERROR((IFERROR(SUMPRODUCT(--($F$5:$F$220=F409),--($N$5:$N$220&gt;0),--($AS$5:$AS$220=$B$369),--($AR$5:$AR$220=$B$408),$J$5:$J$220,$Q$5:$Q$220)/SUMIFS($J$5:$J$220,$F$5:$F$220,F409,$N$5:$N$220,"&gt;0",$AS$5:$AS$220,$B$369,$AR$5:$AR$220,$B$408),""))/N409-1,"NA")</f>
        <v>8.4010840108401208E-2</v>
      </c>
      <c r="Y409" s="256"/>
      <c r="Z409" s="289">
        <f t="shared" si="221"/>
        <v>-8.4668192219679583E-2</v>
      </c>
      <c r="AG409" s="290"/>
      <c r="AH409" s="290"/>
    </row>
    <row r="410" spans="2:34">
      <c r="F410" s="184" t="s">
        <v>201</v>
      </c>
      <c r="H410" s="184">
        <f t="shared" si="219"/>
        <v>1</v>
      </c>
      <c r="I410" s="254" cm="1">
        <f t="array" ref="I410">IFERROR(SUMPRODUCT(--($AR$5:$AR$220=$B$408),--($F$5:$F$220=F410),--($AS$5:$AS$220=$B$369),$J$5:$J$220,$I$5:$I$220)/SUMIFS($J$5:$J$220,$AS$5:$AS$220,$B$369,$F$5:$F$220,F410,$AR$5:$AR$220,$B$408)/12,"")</f>
        <v>1.5833333333333333</v>
      </c>
      <c r="J410" s="253">
        <f t="shared" si="220"/>
        <v>80000</v>
      </c>
      <c r="K410" s="253"/>
      <c r="L410" s="253"/>
      <c r="M410" s="253"/>
      <c r="N410" s="254" cm="1">
        <f t="array" ref="N410">IFERROR(SUMPRODUCT(--($F$5:$F$220=F410),--($AS$5:$AS$220=$B$369),--($AR$5:$AR$220=$B$408),$J$5:$J$220,$N$5:$N$220)/SUMIFS($J$5:$J$220,$F$5:$F$220,F410,$AS$5:$AS$220,$B$369,$N$5:$N$220,"&gt;0",$AR$5:$AR$220,$B$408),"")</f>
        <v>5.07</v>
      </c>
      <c r="O410" s="254" cm="1">
        <f t="array" ref="O410">IFERROR(SUMPRODUCT(--($F$5:$F$220=F410),--($AR$5:$AR$220=$B$408),--($AS$5:$AS$220=$B$369),$J$5:$J$220,$O$5:$O$220)/SUMIFS($J$5:$J$220,$F$5:$F$220,F410,$AS$5:$AS$220,$B$369,$AR$5:$AR$220,$B$408),"")</f>
        <v>7.97</v>
      </c>
      <c r="P410" s="254" cm="1">
        <f t="array" ref="P410">IFERROR(SUMPRODUCT(--($AR$5:$AR$220=$B$408),--($F$5:$F$220=F410),--($AS$5:$AS$220=$B$369),$J$5:$J$220,$P$5:$P$220)/SUMIFS($J$5:$J$220,$F$5:$F$220,F410,$AS$5:$AS$220,$B$369,$P$5:$P$220,"&gt;0",$AR$5:$AR$220,$B$408),"")</f>
        <v>9.25</v>
      </c>
      <c r="Q410" s="254" cm="1">
        <f t="array" ref="Q410">IFERROR(SUMPRODUCT(--($AR$5:$AR$220=$B$408),--($F$5:$F$220=F410),--($AS$5:$AS$220=$B$369),$J$5:$J$220,$Q$5:$Q$220)/SUMIFS($J$5:$J$220,$AS$5:$AS$220,$B$369,$F$5:$F$220,F410,$AR$5:$AR$220,$B$408),"")</f>
        <v>9.75</v>
      </c>
      <c r="R410" s="254" cm="1">
        <f t="array" ref="R410">IFERROR(SUMPRODUCT(--($AR$5:$AR$220=$B$408),--($F$5:$F$220=F410),--($I$5:$I$220&gt;12),--($AS$5:$AS$220=$B$369),$R$5:$R$220,$J$5:$J$220)/SUMIFS($J$5:$J$220,$I$5:$I$220,"&gt;12",$F$5:$F$220,F410,$AS$5:$AS$220,$B$369,$AR$5:$AR$220,$B$408),"")</f>
        <v>4</v>
      </c>
      <c r="S410" s="254" cm="1">
        <f t="array" ref="S410">IFERROR(SUMPRODUCT(--($AR$5:$AR$220=$B$408),--($F$5:$F$220=F410),--($I$5:$I$220&gt;12),--($AS$5:$AS$220=$B$369),$S$5:$S$220,$J$5:$J$220)/SUMIFS($J$5:$J$220,$I$5:$I$220,"&gt;12",$F$5:$F$220,F410,$AS$5:$AS$220,$B$369,$AR$5:$AR$220,$B$408),"")</f>
        <v>4</v>
      </c>
      <c r="T410" s="254" cm="1">
        <f t="array" ref="T410">IFERROR(SUMPRODUCT(--($AR$5:$AR$220=$B$408),--($F$5:$F$220=F410),--($AS$5:$AS$220=$B$369),$T$5:$T$220,$J$5:$J$220)/SUMIFS($J$5:$J$220,$F$5:$F$220,F410,$AS$5:$AS$220,$B$369,$AR$5:$AR$220,$B$408),"")</f>
        <v>0</v>
      </c>
      <c r="U410" s="254" cm="1">
        <f t="array" ref="U410">IFERROR(SUMPRODUCT(--($AR$5:$AR$220=$B$408),--($F$5:$F$220=F410),--($AS$5:$AS$220=$B$369),$U$5:$U$220,$J$5:$J$220)/SUMIFS($J$5:$J$220,$F$5:$F$220,F410,$AS$5:$AS$220,$B$369,$AR$5:$AR$220,$B$408),"")</f>
        <v>0</v>
      </c>
      <c r="V410" s="254" cm="1">
        <f t="array" ref="V410">IFERROR(SUMPRODUCT(--($AR$5:$AR$220=$B$408),--($F$5:$F$220=F410),--($AS$5:$AS$220=$B$369),$V$5:$V$220,$J$5:$J$220)/SUMIFS($J$5:$J$220,$F$5:$F$220,F410,$AS$5:$AS$220,$B$369,$AR$5:$AR$220,$B$408),"")</f>
        <v>0</v>
      </c>
      <c r="W410" s="254" cm="1">
        <f t="array" ref="W410">IFERROR(SUMPRODUCT(--($AR$5:$AR$220=$B$408),--($F$5:$F$220=F410),--($AS$5:$AS$220=$B$369),$W$5:$W$220,$J$5:$J$220)/SUMIFS($J$5:$J$220,$F$5:$F$220,F410,$AS$5:$AS$220,$B$369,$AR$5:$AR$220,$B$408),"")</f>
        <v>0</v>
      </c>
      <c r="X410" s="256" cm="1">
        <f t="array" ref="X410">IFERROR((IFERROR(SUMPRODUCT(--($F$5:$F$220=F410),--($N$5:$N$220&gt;0),--($AS$5:$AS$220=$B$369),--($AR$5:$AR$220=$B$408),$J$5:$J$220,$Q$5:$Q$220)/SUMIFS($J$5:$J$220,$F$5:$F$220,F410,$N$5:$N$220,"&gt;0",$AS$5:$AS$220,$B$369,$AR$5:$AR$220,$B$408),""))/N410-1,"NA")</f>
        <v>0.92307692307692291</v>
      </c>
      <c r="Y410" s="256"/>
      <c r="Z410" s="289">
        <f t="shared" si="221"/>
        <v>0.22333751568381444</v>
      </c>
      <c r="AG410" s="290"/>
      <c r="AH410" s="290"/>
    </row>
    <row r="411" spans="2:34">
      <c r="B411" s="291"/>
      <c r="F411" s="184" t="s">
        <v>144</v>
      </c>
      <c r="H411" s="184">
        <f t="shared" si="219"/>
        <v>1</v>
      </c>
      <c r="I411" s="254" cm="1">
        <f t="array" ref="I411">IFERROR(SUMPRODUCT(--($AR$5:$AR$220=$B$408),--($F$5:$F$220=F411),--($AS$5:$AS$220=$B$369),$J$5:$J$220,$I$5:$I$220)/SUMIFS($J$5:$J$220,$AS$5:$AS$220,$B$369,$F$5:$F$220,F411,$AR$5:$AR$220,$B$408)/12,"")</f>
        <v>5.25</v>
      </c>
      <c r="J411" s="253">
        <f t="shared" si="220"/>
        <v>34455</v>
      </c>
      <c r="K411" s="253"/>
      <c r="L411" s="253"/>
      <c r="M411" s="253"/>
      <c r="N411" s="254" cm="1">
        <f t="array" ref="N411">IFERROR(SUMPRODUCT(--($F$5:$F$220=F411),--($AS$5:$AS$220=$B$369),--($AR$5:$AR$220=$B$408),$J$5:$J$220,$N$5:$N$220)/SUMIFS($J$5:$J$220,$F$5:$F$220,F411,$AS$5:$AS$220,$B$369,$N$5:$N$220,"&gt;0",$AR$5:$AR$220,$B$408),"")</f>
        <v>6.62</v>
      </c>
      <c r="O411" s="254" cm="1">
        <f t="array" ref="O411">IFERROR(SUMPRODUCT(--($F$5:$F$220=F411),--($AR$5:$AR$220=$B$408),--($AS$5:$AS$220=$B$369),$J$5:$J$220,$O$5:$O$220)/SUMIFS($J$5:$J$220,$F$5:$F$220,F411,$AS$5:$AS$220,$B$369,$AR$5:$AR$220,$B$408),"")</f>
        <v>6.74</v>
      </c>
      <c r="P411" s="254" cm="1">
        <f t="array" ref="P411">IFERROR(SUMPRODUCT(--($AR$5:$AR$220=$B$408),--($F$5:$F$220=F411),--($AS$5:$AS$220=$B$369),$J$5:$J$220,$P$5:$P$220)/SUMIFS($J$5:$J$220,$F$5:$F$220,F411,$AS$5:$AS$220,$B$369,$P$5:$P$220,"&gt;0",$AR$5:$AR$220,$B$408),"")</f>
        <v>9.25</v>
      </c>
      <c r="Q411" s="254" cm="1">
        <f t="array" ref="Q411">IFERROR(SUMPRODUCT(--($AR$5:$AR$220=$B$408),--($F$5:$F$220=F411),--($AS$5:$AS$220=$B$369),$J$5:$J$220,$Q$5:$Q$220)/SUMIFS($J$5:$J$220,$AS$5:$AS$220,$B$369,$F$5:$F$220,F411,$AR$5:$AR$220,$B$408),"")</f>
        <v>9.5</v>
      </c>
      <c r="R411" s="254" cm="1">
        <f t="array" ref="R411">IFERROR(SUMPRODUCT(--($AR$5:$AR$220=$B$408),--($F$5:$F$220=F411),--($I$5:$I$220&gt;12),--($AS$5:$AS$220=$B$369),$R$5:$R$220,$J$5:$J$220)/SUMIFS($J$5:$J$220,$I$5:$I$220,"&gt;12",$F$5:$F$220,F411,$AS$5:$AS$220,$B$369,$AR$5:$AR$220,$B$408),"")</f>
        <v>3.5</v>
      </c>
      <c r="S411" s="254" cm="1">
        <f t="array" ref="S411">IFERROR(SUMPRODUCT(--($AR$5:$AR$220=$B$408),--($F$5:$F$220=F411),--($I$5:$I$220&gt;12),--($AS$5:$AS$220=$B$369),$S$5:$S$220,$J$5:$J$220)/SUMIFS($J$5:$J$220,$I$5:$I$220,"&gt;12",$F$5:$F$220,F411,$AS$5:$AS$220,$B$369,$AR$5:$AR$220,$B$408),"")</f>
        <v>2.5</v>
      </c>
      <c r="T411" s="254" cm="1">
        <f t="array" ref="T411">IFERROR(SUMPRODUCT(--($AR$5:$AR$220=$B$408),--($F$5:$F$220=F411),--($AS$5:$AS$220=$B$369),$T$5:$T$220,$J$5:$J$220)/SUMIFS($J$5:$J$220,$F$5:$F$220,F411,$AS$5:$AS$220,$B$369,$AR$5:$AR$220,$B$408),"")</f>
        <v>0</v>
      </c>
      <c r="U411" s="254" cm="1">
        <f t="array" ref="U411">IFERROR(SUMPRODUCT(--($AR$5:$AR$220=$B$408),--($F$5:$F$220=F411),--($AS$5:$AS$220=$B$369),$U$5:$U$220,$J$5:$J$220)/SUMIFS($J$5:$J$220,$F$5:$F$220,F411,$AS$5:$AS$220,$B$369,$AR$5:$AR$220,$B$408),"")</f>
        <v>0</v>
      </c>
      <c r="V411" s="254" cm="1">
        <f t="array" ref="V411">IFERROR(SUMPRODUCT(--($AR$5:$AR$220=$B$408),--($F$5:$F$220=F411),--($AS$5:$AS$220=$B$369),$V$5:$V$220,$J$5:$J$220)/SUMIFS($J$5:$J$220,$F$5:$F$220,F411,$AS$5:$AS$220,$B$369,$AR$5:$AR$220,$B$408),"")</f>
        <v>0</v>
      </c>
      <c r="W411" s="254" cm="1">
        <f t="array" ref="W411">IFERROR(SUMPRODUCT(--($AR$5:$AR$220=$B$408),--($F$5:$F$220=F411),--($AS$5:$AS$220=$B$369),$W$5:$W$220,$J$5:$J$220)/SUMIFS($J$5:$J$220,$F$5:$F$220,F411,$AS$5:$AS$220,$B$369,$AR$5:$AR$220,$B$408),"")</f>
        <v>0</v>
      </c>
      <c r="X411" s="256" cm="1">
        <f t="array" ref="X411">IFERROR((IFERROR(SUMPRODUCT(--($F$5:$F$220=F411),--($N$5:$N$220&gt;0),--($AS$5:$AS$220=$B$369),--($AR$5:$AR$220=$B$408),$J$5:$J$220,$Q$5:$Q$220)/SUMIFS($J$5:$J$220,$F$5:$F$220,F411,$N$5:$N$220,"&gt;0",$AS$5:$AS$220,$B$369,$AR$5:$AR$220,$B$408),""))/N411-1,"NA")</f>
        <v>0.43504531722054374</v>
      </c>
      <c r="Y411" s="256"/>
      <c r="Z411" s="289">
        <f t="shared" si="221"/>
        <v>0.40949554896142426</v>
      </c>
      <c r="AG411" s="290"/>
      <c r="AH411" s="290"/>
    </row>
    <row r="412" spans="2:34">
      <c r="B412" s="291"/>
      <c r="F412" s="184" t="s">
        <v>185</v>
      </c>
      <c r="H412" s="184">
        <f t="shared" si="219"/>
        <v>1</v>
      </c>
      <c r="I412" s="254" cm="1">
        <f t="array" ref="I412">IFERROR(SUMPRODUCT(--($AR$5:$AR$220=$B$408),--($F$5:$F$220=F412),--($AS$5:$AS$220=$B$369),$J$5:$J$220,$I$5:$I$220)/SUMIFS($J$5:$J$220,$AS$5:$AS$220,$B$369,$F$5:$F$220,F412,$AR$5:$AR$220,$B$408)/12,"")</f>
        <v>2</v>
      </c>
      <c r="J412" s="253">
        <f t="shared" si="220"/>
        <v>111087</v>
      </c>
      <c r="K412" s="253"/>
      <c r="L412" s="253"/>
      <c r="M412" s="253"/>
      <c r="N412" s="254" cm="1">
        <f t="array" ref="N412">IFERROR(SUMPRODUCT(--($F$5:$F$220=F412),--($AS$5:$AS$220=$B$369),--($AR$5:$AR$220=$B$408),$J$5:$J$220,$N$5:$N$220)/SUMIFS($J$5:$J$220,$F$5:$F$220,F412,$AS$5:$AS$220,$B$369,$N$5:$N$220,"&gt;0",$AR$5:$AR$220,$B$408),"")</f>
        <v>4.12</v>
      </c>
      <c r="O412" s="254" cm="1">
        <f t="array" ref="O412">IFERROR(SUMPRODUCT(--($F$5:$F$220=F412),--($AR$5:$AR$220=$B$408),--($AS$5:$AS$220=$B$369),$J$5:$J$220,$O$5:$O$220)/SUMIFS($J$5:$J$220,$F$5:$F$220,F412,$AS$5:$AS$220,$B$369,$AR$5:$AR$220,$B$408),"")</f>
        <v>3.63</v>
      </c>
      <c r="P412" s="254" cm="1">
        <f t="array" ref="P412">IFERROR(SUMPRODUCT(--($AR$5:$AR$220=$B$408),--($F$5:$F$220=F412),--($AS$5:$AS$220=$B$369),$J$5:$J$220,$P$5:$P$220)/SUMIFS($J$5:$J$220,$F$5:$F$220,F412,$AS$5:$AS$220,$B$369,$P$5:$P$220,"&gt;0",$AR$5:$AR$220,$B$408),"")</f>
        <v>4.29</v>
      </c>
      <c r="Q412" s="254" cm="1">
        <f t="array" ref="Q412">IFERROR(SUMPRODUCT(--($AR$5:$AR$220=$B$408),--($F$5:$F$220=F412),--($AS$5:$AS$220=$B$369),$J$5:$J$220,$Q$5:$Q$220)/SUMIFS($J$5:$J$220,$AS$5:$AS$220,$B$369,$F$5:$F$220,F412,$AR$5:$AR$220,$B$408),"")</f>
        <v>4.29</v>
      </c>
      <c r="R412" s="254" cm="1">
        <f t="array" ref="R412">IFERROR(SUMPRODUCT(--($AR$5:$AR$220=$B$408),--($F$5:$F$220=F412),--($I$5:$I$220&gt;12),--($AS$5:$AS$220=$B$369),$R$5:$R$220,$J$5:$J$220)/SUMIFS($J$5:$J$220,$I$5:$I$220,"&gt;12",$F$5:$F$220,F412,$AS$5:$AS$220,$B$369,$AR$5:$AR$220,$B$408),"")</f>
        <v>4</v>
      </c>
      <c r="S412" s="254" cm="1">
        <f t="array" ref="S412">IFERROR(SUMPRODUCT(--($AR$5:$AR$220=$B$408),--($F$5:$F$220=F412),--($I$5:$I$220&gt;12),--($AS$5:$AS$220=$B$369),$S$5:$S$220,$J$5:$J$220)/SUMIFS($J$5:$J$220,$I$5:$I$220,"&gt;12",$F$5:$F$220,F412,$AS$5:$AS$220,$B$369,$AR$5:$AR$220,$B$408),"")</f>
        <v>3</v>
      </c>
      <c r="T412" s="254" cm="1">
        <f t="array" ref="T412">IFERROR(SUMPRODUCT(--($AR$5:$AR$220=$B$408),--($F$5:$F$220=F412),--($AS$5:$AS$220=$B$369),$T$5:$T$220,$J$5:$J$220)/SUMIFS($J$5:$J$220,$F$5:$F$220,F412,$AS$5:$AS$220,$B$369,$AR$5:$AR$220,$B$408),"")</f>
        <v>0</v>
      </c>
      <c r="U412" s="254" cm="1">
        <f t="array" ref="U412">IFERROR(SUMPRODUCT(--($AR$5:$AR$220=$B$408),--($F$5:$F$220=F412),--($AS$5:$AS$220=$B$369),$U$5:$U$220,$J$5:$J$220)/SUMIFS($J$5:$J$220,$F$5:$F$220,F412,$AS$5:$AS$220,$B$369,$AR$5:$AR$220,$B$408),"")</f>
        <v>0</v>
      </c>
      <c r="V412" s="254" cm="1">
        <f t="array" ref="V412">IFERROR(SUMPRODUCT(--($AR$5:$AR$220=$B$408),--($F$5:$F$220=F412),--($AS$5:$AS$220=$B$369),$V$5:$V$220,$J$5:$J$220)/SUMIFS($J$5:$J$220,$F$5:$F$220,F412,$AS$5:$AS$220,$B$369,$AR$5:$AR$220,$B$408),"")</f>
        <v>0</v>
      </c>
      <c r="W412" s="254" cm="1">
        <f t="array" ref="W412">IFERROR(SUMPRODUCT(--($AR$5:$AR$220=$B$408),--($F$5:$F$220=F412),--($AS$5:$AS$220=$B$369),$W$5:$W$220,$J$5:$J$220)/SUMIFS($J$5:$J$220,$F$5:$F$220,F412,$AS$5:$AS$220,$B$369,$AR$5:$AR$220,$B$408),"")</f>
        <v>0</v>
      </c>
      <c r="X412" s="256" cm="1">
        <f t="array" ref="X412">IFERROR((IFERROR(SUMPRODUCT(--($F$5:$F$220=F412),--($N$5:$N$220&gt;0),--($AS$5:$AS$220=$B$369),--($AR$5:$AR$220=$B$408),$J$5:$J$220,$Q$5:$Q$220)/SUMIFS($J$5:$J$220,$F$5:$F$220,F412,$N$5:$N$220,"&gt;0",$AS$5:$AS$220,$B$369,$AR$5:$AR$220,$B$408),""))/N412-1,"NA")</f>
        <v>4.1262135922329968E-2</v>
      </c>
      <c r="Y412" s="256"/>
      <c r="Z412" s="289">
        <f t="shared" si="221"/>
        <v>0.18181818181818188</v>
      </c>
      <c r="AG412" s="290"/>
      <c r="AH412" s="290"/>
    </row>
    <row r="413" spans="2:34">
      <c r="B413" s="291"/>
      <c r="F413" s="184" t="s">
        <v>214</v>
      </c>
      <c r="H413" s="184">
        <f t="shared" si="219"/>
        <v>0</v>
      </c>
      <c r="I413" s="254" t="str" cm="1">
        <f t="array" ref="I413">IFERROR(SUMPRODUCT(--($AR$5:$AR$220=$B$408),--($F$5:$F$220=F413),--($AS$5:$AS$220=$B$369),$J$5:$J$220,$I$5:$I$220)/SUMIFS($J$5:$J$220,$AS$5:$AS$220,$B$369,$F$5:$F$220,F413,$AR$5:$AR$220,$B$408)/12,"")</f>
        <v/>
      </c>
      <c r="J413" s="253">
        <f t="shared" si="220"/>
        <v>0</v>
      </c>
      <c r="K413" s="253"/>
      <c r="L413" s="253"/>
      <c r="M413" s="253"/>
      <c r="N413" s="254" t="str" cm="1">
        <f t="array" ref="N413">IFERROR(SUMPRODUCT(--($F$5:$F$220=F413),--($AS$5:$AS$220=$B$369),--($AR$5:$AR$220=$B$408),$J$5:$J$220,$N$5:$N$220)/SUMIFS($J$5:$J$220,$F$5:$F$220,F413,$AS$5:$AS$220,$B$369,$N$5:$N$220,"&gt;0",$AR$5:$AR$220,$B$408),"")</f>
        <v/>
      </c>
      <c r="O413" s="254" t="str" cm="1">
        <f t="array" ref="O413">IFERROR(SUMPRODUCT(--($F$5:$F$220=F413),--($AR$5:$AR$220=$B$408),--($AS$5:$AS$220=$B$369),$J$5:$J$220,$O$5:$O$220)/SUMIFS($J$5:$J$220,$F$5:$F$220,F413,$AS$5:$AS$220,$B$369,$AR$5:$AR$220,$B$408),"")</f>
        <v/>
      </c>
      <c r="P413" s="254" t="str" cm="1">
        <f t="array" ref="P413">IFERROR(SUMPRODUCT(--($AR$5:$AR$220=$B$408),--($F$5:$F$220=F413),--($AS$5:$AS$220=$B$369),$J$5:$J$220,$P$5:$P$220)/SUMIFS($J$5:$J$220,$F$5:$F$220,F413,$AS$5:$AS$220,$B$369,$P$5:$P$220,"&gt;0",$AR$5:$AR$220,$B$408),"")</f>
        <v/>
      </c>
      <c r="Q413" s="254" t="str" cm="1">
        <f t="array" ref="Q413">IFERROR(SUMPRODUCT(--($AR$5:$AR$220=$B$408),--($F$5:$F$220=F413),--($AS$5:$AS$220=$B$369),$J$5:$J$220,$Q$5:$Q$220)/SUMIFS($J$5:$J$220,$AS$5:$AS$220,$B$369,$F$5:$F$220,F413,$AR$5:$AR$220,$B$408),"")</f>
        <v/>
      </c>
      <c r="R413" s="254" t="str" cm="1">
        <f t="array" ref="R413">IFERROR(SUMPRODUCT(--($AR$5:$AR$220=$B$408),--($F$5:$F$220=F413),--($I$5:$I$220&gt;12),--($AS$5:$AS$220=$B$369),$R$5:$R$220,$J$5:$J$220)/SUMIFS($J$5:$J$220,$I$5:$I$220,"&gt;12",$F$5:$F$220,F413,$AS$5:$AS$220,$B$369,$AR$5:$AR$220,$B$408),"")</f>
        <v/>
      </c>
      <c r="S413" s="254" t="str" cm="1">
        <f t="array" ref="S413">IFERROR(SUMPRODUCT(--($AR$5:$AR$220=$B$408),--($F$5:$F$220=F413),--($I$5:$I$220&gt;12),--($AS$5:$AS$220=$B$369),$S$5:$S$220,$J$5:$J$220)/SUMIFS($J$5:$J$220,$I$5:$I$220,"&gt;12",$F$5:$F$220,F413,$AS$5:$AS$220,$B$369,$AR$5:$AR$220,$B$408),"")</f>
        <v/>
      </c>
      <c r="T413" s="254" t="str" cm="1">
        <f t="array" ref="T413">IFERROR(SUMPRODUCT(--($AR$5:$AR$220=$B$408),--($F$5:$F$220=F413),--($AS$5:$AS$220=$B$369),$T$5:$T$220,$J$5:$J$220)/SUMIFS($J$5:$J$220,$F$5:$F$220,F413,$AS$5:$AS$220,$B$369,$AR$5:$AR$220,$B$408),"")</f>
        <v/>
      </c>
      <c r="U413" s="254" t="str" cm="1">
        <f t="array" ref="U413">IFERROR(SUMPRODUCT(--($AR$5:$AR$220=$B$408),--($F$5:$F$220=F413),--($AS$5:$AS$220=$B$369),$U$5:$U$220,$J$5:$J$220)/SUMIFS($J$5:$J$220,$F$5:$F$220,F413,$AS$5:$AS$220,$B$369,$AR$5:$AR$220,$B$408),"")</f>
        <v/>
      </c>
      <c r="V413" s="254" t="str" cm="1">
        <f t="array" ref="V413">IFERROR(SUMPRODUCT(--($AR$5:$AR$220=$B$408),--($F$5:$F$220=F413),--($AS$5:$AS$220=$B$369),$V$5:$V$220,$J$5:$J$220)/SUMIFS($J$5:$J$220,$F$5:$F$220,F413,$AS$5:$AS$220,$B$369,$AR$5:$AR$220,$B$408),"")</f>
        <v/>
      </c>
      <c r="W413" s="254" t="str" cm="1">
        <f t="array" ref="W413">IFERROR(SUMPRODUCT(--($AR$5:$AR$220=$B$408),--($F$5:$F$220=F413),--($AS$5:$AS$220=$B$369),$W$5:$W$220,$J$5:$J$220)/SUMIFS($J$5:$J$220,$F$5:$F$220,F413,$AS$5:$AS$220,$B$369,$AR$5:$AR$220,$B$408),"")</f>
        <v/>
      </c>
      <c r="X413" s="256" t="str" cm="1">
        <f t="array" ref="X413">IFERROR((IFERROR(SUMPRODUCT(--($F$5:$F$220=F413),--($N$5:$N$220&gt;0),--($AS$5:$AS$220=$B$369),--($AR$5:$AR$220=$B$408),$J$5:$J$220,$Q$5:$Q$220)/SUMIFS($J$5:$J$220,$F$5:$F$220,F413,$N$5:$N$220,"&gt;0",$AS$5:$AS$220,$B$369,$AR$5:$AR$220,$B$408),""))/N413-1,"NA")</f>
        <v>NA</v>
      </c>
      <c r="Y413" s="256"/>
      <c r="Z413" s="289" t="str">
        <f t="shared" si="221"/>
        <v>NA</v>
      </c>
      <c r="AG413" s="290"/>
      <c r="AH413" s="290"/>
    </row>
    <row r="414" spans="2:34">
      <c r="B414" s="291"/>
      <c r="F414" s="184" t="s">
        <v>244</v>
      </c>
      <c r="H414" s="184">
        <f t="shared" si="219"/>
        <v>0</v>
      </c>
      <c r="I414" s="254" t="str" cm="1">
        <f t="array" ref="I414">IFERROR(SUMPRODUCT(--($AR$5:$AR$220=$B$408),--($F$5:$F$220=F414),--($AS$5:$AS$220=$B$369),$J$5:$J$220,$I$5:$I$220)/SUMIFS($J$5:$J$220,$AS$5:$AS$220,$B$369,$F$5:$F$220,F414,$AR$5:$AR$220,$B$408)/12,"")</f>
        <v/>
      </c>
      <c r="J414" s="253">
        <f t="shared" si="220"/>
        <v>0</v>
      </c>
      <c r="K414" s="253"/>
      <c r="L414" s="253"/>
      <c r="M414" s="253"/>
      <c r="N414" s="254" t="str" cm="1">
        <f t="array" ref="N414">IFERROR(SUMPRODUCT(--($F$5:$F$220=F414),--($AS$5:$AS$220=$B$369),--($AR$5:$AR$220=$B$408),$J$5:$J$220,$N$5:$N$220)/SUMIFS($J$5:$J$220,$F$5:$F$220,F414,$AS$5:$AS$220,$B$369,$N$5:$N$220,"&gt;0",$AR$5:$AR$220,$B$408),"")</f>
        <v/>
      </c>
      <c r="O414" s="254" t="str" cm="1">
        <f t="array" ref="O414">IFERROR(SUMPRODUCT(--($F$5:$F$220=F414),--($AR$5:$AR$220=$B$408),--($AS$5:$AS$220=$B$369),$J$5:$J$220,$O$5:$O$220)/SUMIFS($J$5:$J$220,$F$5:$F$220,F414,$AS$5:$AS$220,$B$369,$AR$5:$AR$220,$B$408),"")</f>
        <v/>
      </c>
      <c r="P414" s="254" t="str" cm="1">
        <f t="array" ref="P414">IFERROR(SUMPRODUCT(--($AR$5:$AR$220=$B$408),--($F$5:$F$220=F414),--($AS$5:$AS$220=$B$369),$J$5:$J$220,$P$5:$P$220)/SUMIFS($J$5:$J$220,$F$5:$F$220,F414,$AS$5:$AS$220,$B$369,$P$5:$P$220,"&gt;0",$AR$5:$AR$220,$B$408),"")</f>
        <v/>
      </c>
      <c r="Q414" s="254" t="str" cm="1">
        <f t="array" ref="Q414">IFERROR(SUMPRODUCT(--($AR$5:$AR$220=$B$408),--($F$5:$F$220=F414),--($AS$5:$AS$220=$B$369),$J$5:$J$220,$Q$5:$Q$220)/SUMIFS($J$5:$J$220,$AS$5:$AS$220,$B$369,$F$5:$F$220,F414,$AR$5:$AR$220,$B$408),"")</f>
        <v/>
      </c>
      <c r="R414" s="254" t="str" cm="1">
        <f t="array" ref="R414">IFERROR(SUMPRODUCT(--($AR$5:$AR$220=$B$408),--($F$5:$F$220=F414),--($I$5:$I$220&gt;12),--($AS$5:$AS$220=$B$369),$R$5:$R$220,$J$5:$J$220)/SUMIFS($J$5:$J$220,$I$5:$I$220,"&gt;12",$F$5:$F$220,F414,$AS$5:$AS$220,$B$369,$AR$5:$AR$220,$B$408),"")</f>
        <v/>
      </c>
      <c r="S414" s="254" t="str" cm="1">
        <f t="array" ref="S414">IFERROR(SUMPRODUCT(--($AR$5:$AR$220=$B$408),--($F$5:$F$220=F414),--($I$5:$I$220&gt;12),--($AS$5:$AS$220=$B$369),$S$5:$S$220,$J$5:$J$220)/SUMIFS($J$5:$J$220,$I$5:$I$220,"&gt;12",$F$5:$F$220,F414,$AS$5:$AS$220,$B$369,$AR$5:$AR$220,$B$408),"")</f>
        <v/>
      </c>
      <c r="T414" s="254" t="str" cm="1">
        <f t="array" ref="T414">IFERROR(SUMPRODUCT(--($AR$5:$AR$220=$B$408),--($F$5:$F$220=F414),--($AS$5:$AS$220=$B$369),$T$5:$T$220,$J$5:$J$220)/SUMIFS($J$5:$J$220,$F$5:$F$220,F414,$AS$5:$AS$220,$B$369,$AR$5:$AR$220,$B$408),"")</f>
        <v/>
      </c>
      <c r="U414" s="254" t="str" cm="1">
        <f t="array" ref="U414">IFERROR(SUMPRODUCT(--($AR$5:$AR$220=$B$408),--($F$5:$F$220=F414),--($AS$5:$AS$220=$B$369),$U$5:$U$220,$J$5:$J$220)/SUMIFS($J$5:$J$220,$F$5:$F$220,F414,$AS$5:$AS$220,$B$369,$AR$5:$AR$220,$B$408),"")</f>
        <v/>
      </c>
      <c r="V414" s="254" t="str" cm="1">
        <f t="array" ref="V414">IFERROR(SUMPRODUCT(--($AR$5:$AR$220=$B$408),--($F$5:$F$220=F414),--($AS$5:$AS$220=$B$369),$V$5:$V$220,$J$5:$J$220)/SUMIFS($J$5:$J$220,$F$5:$F$220,F414,$AS$5:$AS$220,$B$369,$AR$5:$AR$220,$B$408),"")</f>
        <v/>
      </c>
      <c r="W414" s="254" t="str" cm="1">
        <f t="array" ref="W414">IFERROR(SUMPRODUCT(--($AR$5:$AR$220=$B$408),--($F$5:$F$220=F414),--($AS$5:$AS$220=$B$369),$W$5:$W$220,$J$5:$J$220)/SUMIFS($J$5:$J$220,$F$5:$F$220,F414,$AS$5:$AS$220,$B$369,$AR$5:$AR$220,$B$408),"")</f>
        <v/>
      </c>
      <c r="X414" s="256" t="str" cm="1">
        <f t="array" ref="X414">IFERROR((IFERROR(SUMPRODUCT(--($F$5:$F$220=F414),--($N$5:$N$220&gt;0),--($AS$5:$AS$220=$B$369),--($AR$5:$AR$220=$B$408),$J$5:$J$220,$Q$5:$Q$220)/SUMIFS($J$5:$J$220,$F$5:$F$220,F414,$N$5:$N$220,"&gt;0",$AS$5:$AS$220,$B$369,$AR$5:$AR$220,$B$408),""))/N414-1,"NA")</f>
        <v>NA</v>
      </c>
      <c r="Y414" s="256"/>
      <c r="Z414" s="289" t="str">
        <f t="shared" si="221"/>
        <v>NA</v>
      </c>
      <c r="AG414" s="290"/>
      <c r="AH414" s="290"/>
    </row>
    <row r="415" spans="2:34">
      <c r="B415" s="291"/>
      <c r="F415" s="184" t="s">
        <v>181</v>
      </c>
      <c r="H415" s="184">
        <f t="shared" si="219"/>
        <v>1</v>
      </c>
      <c r="I415" s="254" cm="1">
        <f t="array" ref="I415">IFERROR(SUMPRODUCT(--($AR$5:$AR$220=$B$408),--($F$5:$F$220=F415),--($AS$5:$AS$220=$B$369),$J$5:$J$220,$I$5:$I$220)/SUMIFS($J$5:$J$220,$AS$5:$AS$220,$B$369,$F$5:$F$220,F415,$AR$5:$AR$220,$B$408)/12,"")</f>
        <v>5</v>
      </c>
      <c r="J415" s="253">
        <f t="shared" si="220"/>
        <v>38550</v>
      </c>
      <c r="K415" s="253"/>
      <c r="L415" s="253"/>
      <c r="M415" s="253"/>
      <c r="N415" s="254" cm="1">
        <f t="array" ref="N415">IFERROR(SUMPRODUCT(--($F$5:$F$220=F415),--($AS$5:$AS$220=$B$369),--($AR$5:$AR$220=$B$408),$J$5:$J$220,$N$5:$N$220)/SUMIFS($J$5:$J$220,$F$5:$F$220,F415,$AS$5:$AS$220,$B$369,$N$5:$N$220,"&gt;0",$AR$5:$AR$220,$B$408),"")</f>
        <v>3.75</v>
      </c>
      <c r="O415" s="254" cm="1">
        <f t="array" ref="O415">IFERROR(SUMPRODUCT(--($F$5:$F$220=F415),--($AR$5:$AR$220=$B$408),--($AS$5:$AS$220=$B$369),$J$5:$J$220,$O$5:$O$220)/SUMIFS($J$5:$J$220,$F$5:$F$220,F415,$AS$5:$AS$220,$B$369,$AR$5:$AR$220,$B$408),"")</f>
        <v>5.75</v>
      </c>
      <c r="P415" s="254" cm="1">
        <f t="array" ref="P415">IFERROR(SUMPRODUCT(--($AR$5:$AR$220=$B$408),--($F$5:$F$220=F415),--($AS$5:$AS$220=$B$369),$J$5:$J$220,$P$5:$P$220)/SUMIFS($J$5:$J$220,$F$5:$F$220,F415,$AS$5:$AS$220,$B$369,$P$5:$P$220,"&gt;0",$AR$5:$AR$220,$B$408),"")</f>
        <v>8.85</v>
      </c>
      <c r="Q415" s="254" cm="1">
        <f t="array" ref="Q415">IFERROR(SUMPRODUCT(--($AR$5:$AR$220=$B$408),--($F$5:$F$220=F415),--($AS$5:$AS$220=$B$369),$J$5:$J$220,$Q$5:$Q$220)/SUMIFS($J$5:$J$220,$AS$5:$AS$220,$B$369,$F$5:$F$220,F415,$AR$5:$AR$220,$B$408),"")</f>
        <v>8.85</v>
      </c>
      <c r="R415" s="254" cm="1">
        <f t="array" ref="R415">IFERROR(SUMPRODUCT(--($AR$5:$AR$220=$B$408),--($F$5:$F$220=F415),--($I$5:$I$220&gt;12),--($AS$5:$AS$220=$B$369),$R$5:$R$220,$J$5:$J$220)/SUMIFS($J$5:$J$220,$I$5:$I$220,"&gt;12",$F$5:$F$220,F415,$AS$5:$AS$220,$B$369,$AR$5:$AR$220,$B$408),"")</f>
        <v>4</v>
      </c>
      <c r="S415" s="254" cm="1">
        <f t="array" ref="S415">IFERROR(SUMPRODUCT(--($AR$5:$AR$220=$B$408),--($F$5:$F$220=F415),--($I$5:$I$220&gt;12),--($AS$5:$AS$220=$B$369),$S$5:$S$220,$J$5:$J$220)/SUMIFS($J$5:$J$220,$I$5:$I$220,"&gt;12",$F$5:$F$220,F415,$AS$5:$AS$220,$B$369,$AR$5:$AR$220,$B$408),"")</f>
        <v>3</v>
      </c>
      <c r="T415" s="254" cm="1">
        <f t="array" ref="T415">IFERROR(SUMPRODUCT(--($AR$5:$AR$220=$B$408),--($F$5:$F$220=F415),--($AS$5:$AS$220=$B$369),$T$5:$T$220,$J$5:$J$220)/SUMIFS($J$5:$J$220,$F$5:$F$220,F415,$AS$5:$AS$220,$B$369,$AR$5:$AR$220,$B$408),"")</f>
        <v>0</v>
      </c>
      <c r="U415" s="254" cm="1">
        <f t="array" ref="U415">IFERROR(SUMPRODUCT(--($AR$5:$AR$220=$B$408),--($F$5:$F$220=F415),--($AS$5:$AS$220=$B$369),$U$5:$U$220,$J$5:$J$220)/SUMIFS($J$5:$J$220,$F$5:$F$220,F415,$AS$5:$AS$220,$B$369,$AR$5:$AR$220,$B$408),"")</f>
        <v>0</v>
      </c>
      <c r="V415" s="254" cm="1">
        <f t="array" ref="V415">IFERROR(SUMPRODUCT(--($AR$5:$AR$220=$B$408),--($F$5:$F$220=F415),--($AS$5:$AS$220=$B$369),$V$5:$V$220,$J$5:$J$220)/SUMIFS($J$5:$J$220,$F$5:$F$220,F415,$AS$5:$AS$220,$B$369,$AR$5:$AR$220,$B$408),"")</f>
        <v>0</v>
      </c>
      <c r="W415" s="254" cm="1">
        <f t="array" ref="W415">IFERROR(SUMPRODUCT(--($AR$5:$AR$220=$B$408),--($F$5:$F$220=F415),--($AS$5:$AS$220=$B$369),$W$5:$W$220,$J$5:$J$220)/SUMIFS($J$5:$J$220,$F$5:$F$220,F415,$AS$5:$AS$220,$B$369,$AR$5:$AR$220,$B$408),"")</f>
        <v>0</v>
      </c>
      <c r="X415" s="256" cm="1">
        <f t="array" ref="X415">IFERROR((IFERROR(SUMPRODUCT(--($F$5:$F$220=F415),--($N$5:$N$220&gt;0),--($AS$5:$AS$220=$B$369),--($AR$5:$AR$220=$B$408),$J$5:$J$220,$Q$5:$Q$220)/SUMIFS($J$5:$J$220,$F$5:$F$220,F415,$N$5:$N$220,"&gt;0",$AS$5:$AS$220,$B$369,$AR$5:$AR$220,$B$408),""))/N415-1,"NA")</f>
        <v>1.3599999999999999</v>
      </c>
      <c r="Y415" s="256"/>
      <c r="Z415" s="289">
        <f t="shared" si="221"/>
        <v>0.53913043478260869</v>
      </c>
      <c r="AG415" s="290"/>
      <c r="AH415" s="290"/>
    </row>
    <row r="416" spans="2:34">
      <c r="B416" s="291"/>
      <c r="F416" s="184" t="s">
        <v>600</v>
      </c>
      <c r="H416" s="184">
        <f t="shared" si="219"/>
        <v>0</v>
      </c>
      <c r="I416" s="254" t="str" cm="1">
        <f t="array" ref="I416">IFERROR(SUMPRODUCT(--($AR$5:$AR$220=$B$408),--($F$5:$F$220=F416),--($AS$5:$AS$220=$B$369),$J$5:$J$220,$I$5:$I$220)/SUMIFS($J$5:$J$220,$AS$5:$AS$220,$B$369,$F$5:$F$220,F416,$AR$5:$AR$220,$B$408)/12,"")</f>
        <v/>
      </c>
      <c r="J416" s="253">
        <f t="shared" si="220"/>
        <v>0</v>
      </c>
      <c r="K416" s="253"/>
      <c r="L416" s="253"/>
      <c r="M416" s="253"/>
      <c r="N416" s="254" t="str" cm="1">
        <f t="array" ref="N416">IFERROR(SUMPRODUCT(--($F$5:$F$220=F416),--($AS$5:$AS$220=$B$369),--($AR$5:$AR$220=$B$408),$J$5:$J$220,$N$5:$N$220)/SUMIFS($J$5:$J$220,$F$5:$F$220,F416,$AS$5:$AS$220,$B$369,$N$5:$N$220,"&gt;0",$AR$5:$AR$220,$B$408),"")</f>
        <v/>
      </c>
      <c r="O416" s="254" t="str" cm="1">
        <f t="array" ref="O416">IFERROR(SUMPRODUCT(--($F$5:$F$220=F416),--($AR$5:$AR$220=$B$408),--($AS$5:$AS$220=$B$369),$J$5:$J$220,$O$5:$O$220)/SUMIFS($J$5:$J$220,$F$5:$F$220,F416,$AS$5:$AS$220,$B$369,$AR$5:$AR$220,$B$408),"")</f>
        <v/>
      </c>
      <c r="P416" s="254" t="str" cm="1">
        <f t="array" ref="P416">IFERROR(SUMPRODUCT(--($AR$5:$AR$220=$B$408),--($F$5:$F$220=F416),--($AS$5:$AS$220=$B$369),$J$5:$J$220,$P$5:$P$220)/SUMIFS($J$5:$J$220,$F$5:$F$220,F416,$AS$5:$AS$220,$B$369,$P$5:$P$220,"&gt;0",$AR$5:$AR$220,$B$408),"")</f>
        <v/>
      </c>
      <c r="Q416" s="254" t="str" cm="1">
        <f t="array" ref="Q416">IFERROR(SUMPRODUCT(--($AR$5:$AR$220=$B$408),--($F$5:$F$220=F416),--($AS$5:$AS$220=$B$369),$J$5:$J$220,$Q$5:$Q$220)/SUMIFS($J$5:$J$220,$AS$5:$AS$220,$B$369,$F$5:$F$220,F416,$AR$5:$AR$220,$B$408),"")</f>
        <v/>
      </c>
      <c r="R416" s="254" t="str" cm="1">
        <f t="array" ref="R416">IFERROR(SUMPRODUCT(--($AR$5:$AR$220=$B$408),--($F$5:$F$220=F416),--($I$5:$I$220&gt;12),--($AS$5:$AS$220=$B$369),$R$5:$R$220,$J$5:$J$220)/SUMIFS($J$5:$J$220,$I$5:$I$220,"&gt;12",$F$5:$F$220,F416,$AS$5:$AS$220,$B$369,$AR$5:$AR$220,$B$408),"")</f>
        <v/>
      </c>
      <c r="S416" s="254" t="str" cm="1">
        <f t="array" ref="S416">IFERROR(SUMPRODUCT(--($AR$5:$AR$220=$B$408),--($F$5:$F$220=F416),--($I$5:$I$220&gt;12),--($AS$5:$AS$220=$B$369),$S$5:$S$220,$J$5:$J$220)/SUMIFS($J$5:$J$220,$I$5:$I$220,"&gt;12",$F$5:$F$220,F416,$AS$5:$AS$220,$B$369,$AR$5:$AR$220,$B$408),"")</f>
        <v/>
      </c>
      <c r="T416" s="254" t="str" cm="1">
        <f t="array" ref="T416">IFERROR(SUMPRODUCT(--($AR$5:$AR$220=$B$408),--($F$5:$F$220=F416),--($AS$5:$AS$220=$B$369),$T$5:$T$220,$J$5:$J$220)/SUMIFS($J$5:$J$220,$F$5:$F$220,F416,$AS$5:$AS$220,$B$369,$AR$5:$AR$220,$B$408),"")</f>
        <v/>
      </c>
      <c r="U416" s="254" t="str" cm="1">
        <f t="array" ref="U416">IFERROR(SUMPRODUCT(--($AR$5:$AR$220=$B$408),--($F$5:$F$220=F416),--($AS$5:$AS$220=$B$369),$U$5:$U$220,$J$5:$J$220)/SUMIFS($J$5:$J$220,$F$5:$F$220,F416,$AS$5:$AS$220,$B$369,$AR$5:$AR$220,$B$408),"")</f>
        <v/>
      </c>
      <c r="V416" s="254" t="str" cm="1">
        <f t="array" ref="V416">IFERROR(SUMPRODUCT(--($AR$5:$AR$220=$B$408),--($F$5:$F$220=F416),--($AS$5:$AS$220=$B$369),$V$5:$V$220,$J$5:$J$220)/SUMIFS($J$5:$J$220,$F$5:$F$220,F416,$AS$5:$AS$220,$B$369,$AR$5:$AR$220,$B$408),"")</f>
        <v/>
      </c>
      <c r="W416" s="254" t="str" cm="1">
        <f t="array" ref="W416">IFERROR(SUMPRODUCT(--($AR$5:$AR$220=$B$408),--($F$5:$F$220=F416),--($AS$5:$AS$220=$B$369),$W$5:$W$220,$J$5:$J$220)/SUMIFS($J$5:$J$220,$F$5:$F$220,F416,$AS$5:$AS$220,$B$369,$AR$5:$AR$220,$B$408),"")</f>
        <v/>
      </c>
      <c r="X416" s="256" t="str" cm="1">
        <f t="array" ref="X416">IFERROR((IFERROR(SUMPRODUCT(--($F$5:$F$220=F416),--($N$5:$N$220&gt;0),--($AS$5:$AS$220=$B$369),--($AR$5:$AR$220=$B$408),$J$5:$J$220,$Q$5:$Q$220)/SUMIFS($J$5:$J$220,$F$5:$F$220,F416,$N$5:$N$220,"&gt;0",$AS$5:$AS$220,$B$369,$AR$5:$AR$220,$B$408),""))/N416-1,"NA")</f>
        <v>NA</v>
      </c>
      <c r="Y416" s="256"/>
      <c r="Z416" s="289" t="str">
        <f t="shared" si="221"/>
        <v>NA</v>
      </c>
      <c r="AG416" s="290"/>
      <c r="AH416" s="290"/>
    </row>
    <row r="417" spans="2:34">
      <c r="B417" s="291"/>
      <c r="F417" s="184" t="s">
        <v>221</v>
      </c>
      <c r="H417" s="184">
        <f t="shared" si="219"/>
        <v>0</v>
      </c>
      <c r="I417" s="254" t="str" cm="1">
        <f t="array" ref="I417">IFERROR(SUMPRODUCT(--($AR$5:$AR$220=$B$408),--($F$5:$F$220=F417),--($AS$5:$AS$220=$B$369),$J$5:$J$220,$I$5:$I$220)/SUMIFS($J$5:$J$220,$AS$5:$AS$220,$B$369,$F$5:$F$220,F417,$AR$5:$AR$220,$B$408)/12,"")</f>
        <v/>
      </c>
      <c r="J417" s="253">
        <f t="shared" si="220"/>
        <v>0</v>
      </c>
      <c r="K417" s="253"/>
      <c r="L417" s="253"/>
      <c r="M417" s="253"/>
      <c r="N417" s="254" t="str" cm="1">
        <f t="array" ref="N417">IFERROR(SUMPRODUCT(--($F$5:$F$220=F417),--($AS$5:$AS$220=$B$369),--($AR$5:$AR$220=$B$408),$J$5:$J$220,$N$5:$N$220)/SUMIFS($J$5:$J$220,$F$5:$F$220,F417,$AS$5:$AS$220,$B$369,$N$5:$N$220,"&gt;0",$AR$5:$AR$220,$B$408),"")</f>
        <v/>
      </c>
      <c r="O417" s="254" t="str" cm="1">
        <f t="array" ref="O417">IFERROR(SUMPRODUCT(--($F$5:$F$220=F417),--($AR$5:$AR$220=$B$408),--($AS$5:$AS$220=$B$369),$J$5:$J$220,$O$5:$O$220)/SUMIFS($J$5:$J$220,$F$5:$F$220,F417,$AS$5:$AS$220,$B$369,$AR$5:$AR$220,$B$408),"")</f>
        <v/>
      </c>
      <c r="P417" s="254" t="str" cm="1">
        <f t="array" ref="P417">IFERROR(SUMPRODUCT(--($AR$5:$AR$220=$B$408),--($F$5:$F$220=F417),--($AS$5:$AS$220=$B$369),$J$5:$J$220,$P$5:$P$220)/SUMIFS($J$5:$J$220,$F$5:$F$220,F417,$AS$5:$AS$220,$B$369,$P$5:$P$220,"&gt;0",$AR$5:$AR$220,$B$408),"")</f>
        <v/>
      </c>
      <c r="Q417" s="254" t="str" cm="1">
        <f t="array" ref="Q417">IFERROR(SUMPRODUCT(--($AR$5:$AR$220=$B$408),--($F$5:$F$220=F417),--($AS$5:$AS$220=$B$369),$J$5:$J$220,$Q$5:$Q$220)/SUMIFS($J$5:$J$220,$AS$5:$AS$220,$B$369,$F$5:$F$220,F417,$AR$5:$AR$220,$B$408),"")</f>
        <v/>
      </c>
      <c r="R417" s="254" t="str" cm="1">
        <f t="array" ref="R417">IFERROR(SUMPRODUCT(--($AR$5:$AR$220=$B$408),--($F$5:$F$220=F417),--($I$5:$I$220&gt;12),--($AS$5:$AS$220=$B$369),$R$5:$R$220,$J$5:$J$220)/SUMIFS($J$5:$J$220,$I$5:$I$220,"&gt;12",$F$5:$F$220,F417,$AS$5:$AS$220,$B$369,$AR$5:$AR$220,$B$408),"")</f>
        <v/>
      </c>
      <c r="S417" s="254" t="str" cm="1">
        <f t="array" ref="S417">IFERROR(SUMPRODUCT(--($AR$5:$AR$220=$B$408),--($F$5:$F$220=F417),--($I$5:$I$220&gt;12),--($AS$5:$AS$220=$B$369),$S$5:$S$220,$J$5:$J$220)/SUMIFS($J$5:$J$220,$I$5:$I$220,"&gt;12",$F$5:$F$220,F417,$AS$5:$AS$220,$B$369,$AR$5:$AR$220,$B$408),"")</f>
        <v/>
      </c>
      <c r="T417" s="254" t="str" cm="1">
        <f t="array" ref="T417">IFERROR(SUMPRODUCT(--($AR$5:$AR$220=$B$408),--($F$5:$F$220=F417),--($AS$5:$AS$220=$B$369),$T$5:$T$220,$J$5:$J$220)/SUMIFS($J$5:$J$220,$F$5:$F$220,F417,$AS$5:$AS$220,$B$369,$AR$5:$AR$220,$B$408),"")</f>
        <v/>
      </c>
      <c r="U417" s="254" t="str" cm="1">
        <f t="array" ref="U417">IFERROR(SUMPRODUCT(--($AR$5:$AR$220=$B$408),--($F$5:$F$220=F417),--($AS$5:$AS$220=$B$369),$U$5:$U$220,$J$5:$J$220)/SUMIFS($J$5:$J$220,$F$5:$F$220,F417,$AS$5:$AS$220,$B$369,$AR$5:$AR$220,$B$408),"")</f>
        <v/>
      </c>
      <c r="V417" s="254" t="str" cm="1">
        <f t="array" ref="V417">IFERROR(SUMPRODUCT(--($AR$5:$AR$220=$B$408),--($F$5:$F$220=F417),--($AS$5:$AS$220=$B$369),$V$5:$V$220,$J$5:$J$220)/SUMIFS($J$5:$J$220,$F$5:$F$220,F417,$AS$5:$AS$220,$B$369,$AR$5:$AR$220,$B$408),"")</f>
        <v/>
      </c>
      <c r="W417" s="254" t="str" cm="1">
        <f t="array" ref="W417">IFERROR(SUMPRODUCT(--($AR$5:$AR$220=$B$408),--($F$5:$F$220=F417),--($AS$5:$AS$220=$B$369),$W$5:$W$220,$J$5:$J$220)/SUMIFS($J$5:$J$220,$F$5:$F$220,F417,$AS$5:$AS$220,$B$369,$AR$5:$AR$220,$B$408),"")</f>
        <v/>
      </c>
      <c r="X417" s="256" t="str" cm="1">
        <f t="array" ref="X417">IFERROR((IFERROR(SUMPRODUCT(--($F$5:$F$220=F417),--($N$5:$N$220&gt;0),--($AS$5:$AS$220=$B$369),--($AR$5:$AR$220=$B$408),$J$5:$J$220,$Q$5:$Q$220)/SUMIFS($J$5:$J$220,$F$5:$F$220,F417,$N$5:$N$220,"&gt;0",$AS$5:$AS$220,$B$369,$AR$5:$AR$220,$B$408),""))/N417-1,"NA")</f>
        <v>NA</v>
      </c>
      <c r="Y417" s="256"/>
      <c r="Z417" s="289" t="str">
        <f t="shared" si="221"/>
        <v>NA</v>
      </c>
      <c r="AG417" s="290"/>
      <c r="AH417" s="290"/>
    </row>
    <row r="418" spans="2:34">
      <c r="B418" s="291"/>
      <c r="F418" s="184" t="s">
        <v>158</v>
      </c>
      <c r="H418" s="184">
        <f t="shared" si="219"/>
        <v>2</v>
      </c>
      <c r="I418" s="254" cm="1">
        <f t="array" ref="I418">IFERROR(SUMPRODUCT(--($AR$5:$AR$220=$B$408),--($F$5:$F$220=F418),--($AS$5:$AS$220=$B$369),$J$5:$J$220,$I$5:$I$220)/SUMIFS($J$5:$J$220,$AS$5:$AS$220,$B$369,$F$5:$F$220,F418,$AR$5:$AR$220,$B$408)/12,"")</f>
        <v>4.15429403202329</v>
      </c>
      <c r="J418" s="253">
        <f t="shared" si="220"/>
        <v>17175</v>
      </c>
      <c r="K418" s="253"/>
      <c r="L418" s="253"/>
      <c r="M418" s="253"/>
      <c r="N418" s="254" cm="1">
        <f t="array" ref="N418">IFERROR(SUMPRODUCT(--($F$5:$F$220=F418),--($AS$5:$AS$220=$B$369),--($AR$5:$AR$220=$B$408),$J$5:$J$220,$N$5:$N$220)/SUMIFS($J$5:$J$220,$F$5:$F$220,F418,$AS$5:$AS$220,$B$369,$N$5:$N$220,"&gt;0",$AR$5:$AR$220,$B$408),"")</f>
        <v>4.2356768558951963</v>
      </c>
      <c r="O418" s="254" cm="1">
        <f t="array" ref="O418">IFERROR(SUMPRODUCT(--($F$5:$F$220=F418),--($AR$5:$AR$220=$B$408),--($AS$5:$AS$220=$B$369),$J$5:$J$220,$O$5:$O$220)/SUMIFS($J$5:$J$220,$F$5:$F$220,F418,$AS$5:$AS$220,$B$369,$AR$5:$AR$220,$B$408),"")</f>
        <v>4.804366812227074</v>
      </c>
      <c r="P418" s="254" cm="1">
        <f t="array" ref="P418">IFERROR(SUMPRODUCT(--($AR$5:$AR$220=$B$408),--($F$5:$F$220=F418),--($AS$5:$AS$220=$B$369),$J$5:$J$220,$P$5:$P$220)/SUMIFS($J$5:$J$220,$F$5:$F$220,F418,$AS$5:$AS$220,$B$369,$P$5:$P$220,"&gt;0",$AR$5:$AR$220,$B$408),"")</f>
        <v>4.8253275109170302</v>
      </c>
      <c r="Q418" s="254" cm="1">
        <f t="array" ref="Q418">IFERROR(SUMPRODUCT(--($AR$5:$AR$220=$B$408),--($F$5:$F$220=F418),--($AS$5:$AS$220=$B$369),$J$5:$J$220,$Q$5:$Q$220)/SUMIFS($J$5:$J$220,$AS$5:$AS$220,$B$369,$F$5:$F$220,F418,$AR$5:$AR$220,$B$408),"")</f>
        <v>4.9759825327510914</v>
      </c>
      <c r="R418" s="254" cm="1">
        <f t="array" ref="R418">IFERROR(SUMPRODUCT(--($AR$5:$AR$220=$B$408),--($F$5:$F$220=F418),--($I$5:$I$220&gt;12),--($AS$5:$AS$220=$B$369),$R$5:$R$220,$J$5:$J$220)/SUMIFS($J$5:$J$220,$I$5:$I$220,"&gt;12",$F$5:$F$220,F418,$AS$5:$AS$220,$B$369,$AR$5:$AR$220,$B$408),"")</f>
        <v>3.5</v>
      </c>
      <c r="S418" s="254" cm="1">
        <f t="array" ref="S418">IFERROR(SUMPRODUCT(--($AR$5:$AR$220=$B$408),--($F$5:$F$220=F418),--($I$5:$I$220&gt;12),--($AS$5:$AS$220=$B$369),$S$5:$S$220,$J$5:$J$220)/SUMIFS($J$5:$J$220,$I$5:$I$220,"&gt;12",$F$5:$F$220,F418,$AS$5:$AS$220,$B$369,$AR$5:$AR$220,$B$408),"")</f>
        <v>3</v>
      </c>
      <c r="T418" s="254" cm="1">
        <f t="array" ref="T418">IFERROR(SUMPRODUCT(--($AR$5:$AR$220=$B$408),--($F$5:$F$220=F418),--($AS$5:$AS$220=$B$369),$T$5:$T$220,$J$5:$J$220)/SUMIFS($J$5:$J$220,$F$5:$F$220,F418,$AS$5:$AS$220,$B$369,$AR$5:$AR$220,$B$408),"")</f>
        <v>0</v>
      </c>
      <c r="U418" s="254" cm="1">
        <f t="array" ref="U418">IFERROR(SUMPRODUCT(--($AR$5:$AR$220=$B$408),--($F$5:$F$220=F418),--($AS$5:$AS$220=$B$369),$U$5:$U$220,$J$5:$J$220)/SUMIFS($J$5:$J$220,$F$5:$F$220,F418,$AS$5:$AS$220,$B$369,$AR$5:$AR$220,$B$408),"")</f>
        <v>0</v>
      </c>
      <c r="V418" s="254" cm="1">
        <f t="array" ref="V418">IFERROR(SUMPRODUCT(--($AR$5:$AR$220=$B$408),--($F$5:$F$220=F418),--($AS$5:$AS$220=$B$369),$V$5:$V$220,$J$5:$J$220)/SUMIFS($J$5:$J$220,$F$5:$F$220,F418,$AS$5:$AS$220,$B$369,$AR$5:$AR$220,$B$408),"")</f>
        <v>0</v>
      </c>
      <c r="W418" s="254" cm="1">
        <f t="array" ref="W418">IFERROR(SUMPRODUCT(--($AR$5:$AR$220=$B$408),--($F$5:$F$220=F418),--($AS$5:$AS$220=$B$369),$W$5:$W$220,$J$5:$J$220)/SUMIFS($J$5:$J$220,$F$5:$F$220,F418,$AS$5:$AS$220,$B$369,$AR$5:$AR$220,$B$408),"")</f>
        <v>0</v>
      </c>
      <c r="X418" s="256" cm="1">
        <f t="array" ref="X418">IFERROR((IFERROR(SUMPRODUCT(--($F$5:$F$220=F418),--($N$5:$N$220&gt;0),--($AS$5:$AS$220=$B$369),--($AR$5:$AR$220=$B$408),$J$5:$J$220,$Q$5:$Q$220)/SUMIFS($J$5:$J$220,$F$5:$F$220,F418,$N$5:$N$220,"&gt;0",$AS$5:$AS$220,$B$369,$AR$5:$AR$220,$B$408),""))/N418-1,"NA")</f>
        <v>0.1747786014000432</v>
      </c>
      <c r="Y418" s="256"/>
      <c r="Z418" s="289">
        <f t="shared" si="221"/>
        <v>3.5720778040356338E-2</v>
      </c>
      <c r="AG418" s="290"/>
      <c r="AH418" s="290"/>
    </row>
    <row r="419" spans="2:34">
      <c r="B419" s="291"/>
      <c r="F419" s="184" t="s">
        <v>474</v>
      </c>
      <c r="H419" s="184">
        <f t="shared" si="219"/>
        <v>0</v>
      </c>
      <c r="I419" s="254" t="str" cm="1">
        <f t="array" ref="I419">IFERROR(SUMPRODUCT(--($AR$5:$AR$220=$B$408),--($F$5:$F$220=F419),--($AS$5:$AS$220=$B$369),$J$5:$J$220,$I$5:$I$220)/SUMIFS($J$5:$J$220,$AS$5:$AS$220,$B$369,$F$5:$F$220,F419,$AR$5:$AR$220,$B$408)/12,"")</f>
        <v/>
      </c>
      <c r="J419" s="253">
        <f t="shared" si="220"/>
        <v>0</v>
      </c>
      <c r="K419" s="253"/>
      <c r="L419" s="253"/>
      <c r="M419" s="253"/>
      <c r="N419" s="254" t="str" cm="1">
        <f t="array" ref="N419">IFERROR(SUMPRODUCT(--($F$5:$F$220=F419),--($AS$5:$AS$220=$B$369),--($AR$5:$AR$220=$B$408),$J$5:$J$220,$N$5:$N$220)/SUMIFS($J$5:$J$220,$F$5:$F$220,F419,$AS$5:$AS$220,$B$369,$N$5:$N$220,"&gt;0",$AR$5:$AR$220,$B$408),"")</f>
        <v/>
      </c>
      <c r="O419" s="254" t="str" cm="1">
        <f t="array" ref="O419">IFERROR(SUMPRODUCT(--($F$5:$F$220=F419),--($AR$5:$AR$220=$B$408),--($AS$5:$AS$220=$B$369),$J$5:$J$220,$O$5:$O$220)/SUMIFS($J$5:$J$220,$F$5:$F$220,F419,$AS$5:$AS$220,$B$369,$AR$5:$AR$220,$B$408),"")</f>
        <v/>
      </c>
      <c r="P419" s="254" t="str" cm="1">
        <f t="array" ref="P419">IFERROR(SUMPRODUCT(--($AR$5:$AR$220=$B$408),--($F$5:$F$220=F419),--($AS$5:$AS$220=$B$369),$J$5:$J$220,$P$5:$P$220)/SUMIFS($J$5:$J$220,$F$5:$F$220,F419,$AS$5:$AS$220,$B$369,$P$5:$P$220,"&gt;0",$AR$5:$AR$220,$B$408),"")</f>
        <v/>
      </c>
      <c r="Q419" s="254" t="str" cm="1">
        <f t="array" ref="Q419">IFERROR(SUMPRODUCT(--($AR$5:$AR$220=$B$408),--($F$5:$F$220=F419),--($AS$5:$AS$220=$B$369),$J$5:$J$220,$Q$5:$Q$220)/SUMIFS($J$5:$J$220,$AS$5:$AS$220,$B$369,$F$5:$F$220,F419,$AR$5:$AR$220,$B$408),"")</f>
        <v/>
      </c>
      <c r="R419" s="254" t="str" cm="1">
        <f t="array" ref="R419">IFERROR(SUMPRODUCT(--($AR$5:$AR$220=$B$408),--($F$5:$F$220=F419),--($I$5:$I$220&gt;12),--($AS$5:$AS$220=$B$369),$R$5:$R$220,$J$5:$J$220)/SUMIFS($J$5:$J$220,$I$5:$I$220,"&gt;12",$F$5:$F$220,F419,$AS$5:$AS$220,$B$369,$AR$5:$AR$220,$B$408),"")</f>
        <v/>
      </c>
      <c r="S419" s="254" t="str" cm="1">
        <f t="array" ref="S419">IFERROR(SUMPRODUCT(--($AR$5:$AR$220=$B$408),--($F$5:$F$220=F419),--($I$5:$I$220&gt;12),--($AS$5:$AS$220=$B$369),$S$5:$S$220,$J$5:$J$220)/SUMIFS($J$5:$J$220,$I$5:$I$220,"&gt;12",$F$5:$F$220,F419,$AS$5:$AS$220,$B$369,$AR$5:$AR$220,$B$408),"")</f>
        <v/>
      </c>
      <c r="T419" s="254" t="str" cm="1">
        <f t="array" ref="T419">IFERROR(SUMPRODUCT(--($AR$5:$AR$220=$B$408),--($F$5:$F$220=F419),--($AS$5:$AS$220=$B$369),$T$5:$T$220,$J$5:$J$220)/SUMIFS($J$5:$J$220,$F$5:$F$220,F419,$AS$5:$AS$220,$B$369,$AR$5:$AR$220,$B$408),"")</f>
        <v/>
      </c>
      <c r="U419" s="254" t="str" cm="1">
        <f t="array" ref="U419">IFERROR(SUMPRODUCT(--($AR$5:$AR$220=$B$408),--($F$5:$F$220=F419),--($AS$5:$AS$220=$B$369),$U$5:$U$220,$J$5:$J$220)/SUMIFS($J$5:$J$220,$F$5:$F$220,F419,$AS$5:$AS$220,$B$369,$AR$5:$AR$220,$B$408),"")</f>
        <v/>
      </c>
      <c r="V419" s="254" t="str" cm="1">
        <f t="array" ref="V419">IFERROR(SUMPRODUCT(--($AR$5:$AR$220=$B$408),--($F$5:$F$220=F419),--($AS$5:$AS$220=$B$369),$V$5:$V$220,$J$5:$J$220)/SUMIFS($J$5:$J$220,$F$5:$F$220,F419,$AS$5:$AS$220,$B$369,$AR$5:$AR$220,$B$408),"")</f>
        <v/>
      </c>
      <c r="W419" s="254" t="str" cm="1">
        <f t="array" ref="W419">IFERROR(SUMPRODUCT(--($AR$5:$AR$220=$B$408),--($F$5:$F$220=F419),--($AS$5:$AS$220=$B$369),$W$5:$W$220,$J$5:$J$220)/SUMIFS($J$5:$J$220,$F$5:$F$220,F419,$AS$5:$AS$220,$B$369,$AR$5:$AR$220,$B$408),"")</f>
        <v/>
      </c>
      <c r="X419" s="256" t="str" cm="1">
        <f t="array" ref="X419">IFERROR((IFERROR(SUMPRODUCT(--($F$5:$F$220=F419),--($N$5:$N$220&gt;0),--($AS$5:$AS$220=$B$369),--($AR$5:$AR$220=$B$408),$J$5:$J$220,$Q$5:$Q$220)/SUMIFS($J$5:$J$220,$F$5:$F$220,F419,$N$5:$N$220,"&gt;0",$AS$5:$AS$220,$B$369,$AR$5:$AR$220,$B$408),""))/N419-1,"NA")</f>
        <v>NA</v>
      </c>
      <c r="Y419" s="256"/>
      <c r="Z419" s="289" t="str">
        <f t="shared" si="221"/>
        <v>NA</v>
      </c>
      <c r="AG419" s="290"/>
      <c r="AH419" s="290"/>
    </row>
    <row r="420" spans="2:34">
      <c r="B420" s="291"/>
      <c r="F420" s="184" t="s">
        <v>173</v>
      </c>
      <c r="H420" s="184">
        <f t="shared" si="219"/>
        <v>1</v>
      </c>
      <c r="I420" s="254" cm="1">
        <f t="array" ref="I420">IFERROR(SUMPRODUCT(--($AR$5:$AR$220=$B$408),--($F$5:$F$220=F420),--($AS$5:$AS$220=$B$369),$J$5:$J$220,$I$5:$I$220)/SUMIFS($J$5:$J$220,$AS$5:$AS$220,$B$369,$F$5:$F$220,F420,$AR$5:$AR$220,$B$408)/12,"")</f>
        <v>5</v>
      </c>
      <c r="J420" s="253">
        <f t="shared" si="220"/>
        <v>32264</v>
      </c>
      <c r="K420" s="253"/>
      <c r="L420" s="253"/>
      <c r="M420" s="253"/>
      <c r="N420" s="254" cm="1">
        <f t="array" ref="N420">IFERROR(SUMPRODUCT(--($F$5:$F$220=F420),--($AS$5:$AS$220=$B$369),--($AR$5:$AR$220=$B$408),$J$5:$J$220,$N$5:$N$220)/SUMIFS($J$5:$J$220,$F$5:$F$220,F420,$AS$5:$AS$220,$B$369,$N$5:$N$220,"&gt;0",$AR$5:$AR$220,$B$408),"")</f>
        <v>12.22</v>
      </c>
      <c r="O420" s="254" cm="1">
        <f t="array" ref="O420">IFERROR(SUMPRODUCT(--($F$5:$F$220=F420),--($AR$5:$AR$220=$B$408),--($AS$5:$AS$220=$B$369),$J$5:$J$220,$O$5:$O$220)/SUMIFS($J$5:$J$220,$F$5:$F$220,F420,$AS$5:$AS$220,$B$369,$AR$5:$AR$220,$B$408),"")</f>
        <v>13.77</v>
      </c>
      <c r="P420" s="254" cm="1">
        <f t="array" ref="P420">IFERROR(SUMPRODUCT(--($AR$5:$AR$220=$B$408),--($F$5:$F$220=F420),--($AS$5:$AS$220=$B$369),$J$5:$J$220,$P$5:$P$220)/SUMIFS($J$5:$J$220,$F$5:$F$220,F420,$AS$5:$AS$220,$B$369,$P$5:$P$220,"&gt;0",$AR$5:$AR$220,$B$408),"")</f>
        <v>15</v>
      </c>
      <c r="Q420" s="254" cm="1">
        <f t="array" ref="Q420">IFERROR(SUMPRODUCT(--($AR$5:$AR$220=$B$408),--($F$5:$F$220=F420),--($AS$5:$AS$220=$B$369),$J$5:$J$220,$Q$5:$Q$220)/SUMIFS($J$5:$J$220,$AS$5:$AS$220,$B$369,$F$5:$F$220,F420,$AR$5:$AR$220,$B$408),"")</f>
        <v>15</v>
      </c>
      <c r="R420" s="254" cm="1">
        <f t="array" ref="R420">IFERROR(SUMPRODUCT(--($AR$5:$AR$220=$B$408),--($F$5:$F$220=F420),--($I$5:$I$220&gt;12),--($AS$5:$AS$220=$B$369),$R$5:$R$220,$J$5:$J$220)/SUMIFS($J$5:$J$220,$I$5:$I$220,"&gt;12",$F$5:$F$220,F420,$AS$5:$AS$220,$B$369,$AR$5:$AR$220,$B$408),"")</f>
        <v>3</v>
      </c>
      <c r="S420" s="254" cm="1">
        <f t="array" ref="S420">IFERROR(SUMPRODUCT(--($AR$5:$AR$220=$B$408),--($F$5:$F$220=F420),--($I$5:$I$220&gt;12),--($AS$5:$AS$220=$B$369),$S$5:$S$220,$J$5:$J$220)/SUMIFS($J$5:$J$220,$I$5:$I$220,"&gt;12",$F$5:$F$220,F420,$AS$5:$AS$220,$B$369,$AR$5:$AR$220,$B$408),"")</f>
        <v>3.5</v>
      </c>
      <c r="T420" s="254" cm="1">
        <f t="array" ref="T420">IFERROR(SUMPRODUCT(--($AR$5:$AR$220=$B$408),--($F$5:$F$220=F420),--($AS$5:$AS$220=$B$369),$T$5:$T$220,$J$5:$J$220)/SUMIFS($J$5:$J$220,$F$5:$F$220,F420,$AS$5:$AS$220,$B$369,$AR$5:$AR$220,$B$408),"")</f>
        <v>0</v>
      </c>
      <c r="U420" s="254" cm="1">
        <f t="array" ref="U420">IFERROR(SUMPRODUCT(--($AR$5:$AR$220=$B$408),--($F$5:$F$220=F420),--($AS$5:$AS$220=$B$369),$U$5:$U$220,$J$5:$J$220)/SUMIFS($J$5:$J$220,$F$5:$F$220,F420,$AS$5:$AS$220,$B$369,$AR$5:$AR$220,$B$408),"")</f>
        <v>0</v>
      </c>
      <c r="V420" s="254" cm="1">
        <f t="array" ref="V420">IFERROR(SUMPRODUCT(--($AR$5:$AR$220=$B$408),--($F$5:$F$220=F420),--($AS$5:$AS$220=$B$369),$V$5:$V$220,$J$5:$J$220)/SUMIFS($J$5:$J$220,$F$5:$F$220,F420,$AS$5:$AS$220,$B$369,$AR$5:$AR$220,$B$408),"")</f>
        <v>0</v>
      </c>
      <c r="W420" s="254" cm="1">
        <f t="array" ref="W420">IFERROR(SUMPRODUCT(--($AR$5:$AR$220=$B$408),--($F$5:$F$220=F420),--($AS$5:$AS$220=$B$369),$W$5:$W$220,$J$5:$J$220)/SUMIFS($J$5:$J$220,$F$5:$F$220,F420,$AS$5:$AS$220,$B$369,$AR$5:$AR$220,$B$408),"")</f>
        <v>0</v>
      </c>
      <c r="X420" s="256" cm="1">
        <f t="array" ref="X420">IFERROR((IFERROR(SUMPRODUCT(--($F$5:$F$220=F420),--($N$5:$N$220&gt;0),--($AS$5:$AS$220=$B$369),--($AR$5:$AR$220=$B$408),$J$5:$J$220,$Q$5:$Q$220)/SUMIFS($J$5:$J$220,$F$5:$F$220,F420,$N$5:$N$220,"&gt;0",$AS$5:$AS$220,$B$369,$AR$5:$AR$220,$B$408),""))/N420-1,"NA")</f>
        <v>0.22749590834697209</v>
      </c>
      <c r="Y420" s="256"/>
      <c r="Z420" s="289">
        <f t="shared" si="221"/>
        <v>8.9324618736383421E-2</v>
      </c>
      <c r="AG420" s="290"/>
      <c r="AH420" s="290"/>
    </row>
    <row r="421" spans="2:34">
      <c r="B421" s="291"/>
      <c r="F421" s="184" t="s">
        <v>274</v>
      </c>
      <c r="H421" s="184">
        <f t="shared" si="219"/>
        <v>0</v>
      </c>
      <c r="I421" s="254" t="str" cm="1">
        <f t="array" ref="I421">IFERROR(SUMPRODUCT(--($AR$5:$AR$220=$B$408),--($F$5:$F$220=F421),--($AS$5:$AS$220=$B$369),$J$5:$J$220,$I$5:$I$220)/SUMIFS($J$5:$J$220,$AS$5:$AS$220,$B$369,$F$5:$F$220,F421,$AR$5:$AR$220,$B$408)/12,"")</f>
        <v/>
      </c>
      <c r="J421" s="253">
        <f t="shared" si="220"/>
        <v>0</v>
      </c>
      <c r="K421" s="253"/>
      <c r="L421" s="253"/>
      <c r="M421" s="253"/>
      <c r="N421" s="254" t="str" cm="1">
        <f t="array" ref="N421">IFERROR(SUMPRODUCT(--($F$5:$F$220=F421),--($AS$5:$AS$220=$B$369),--($AR$5:$AR$220=$B$408),$J$5:$J$220,$N$5:$N$220)/SUMIFS($J$5:$J$220,$F$5:$F$220,F421,$AS$5:$AS$220,$B$369,$N$5:$N$220,"&gt;0",$AR$5:$AR$220,$B$408),"")</f>
        <v/>
      </c>
      <c r="O421" s="254" t="str" cm="1">
        <f t="array" ref="O421">IFERROR(SUMPRODUCT(--($F$5:$F$220=F421),--($AR$5:$AR$220=$B$408),--($AS$5:$AS$220=$B$369),$J$5:$J$220,$O$5:$O$220)/SUMIFS($J$5:$J$220,$F$5:$F$220,F421,$AS$5:$AS$220,$B$369,$AR$5:$AR$220,$B$408),"")</f>
        <v/>
      </c>
      <c r="P421" s="254" t="str" cm="1">
        <f t="array" ref="P421">IFERROR(SUMPRODUCT(--($AR$5:$AR$220=$B$408),--($F$5:$F$220=F421),--($AS$5:$AS$220=$B$369),$J$5:$J$220,$P$5:$P$220)/SUMIFS($J$5:$J$220,$F$5:$F$220,F421,$AS$5:$AS$220,$B$369,$P$5:$P$220,"&gt;0",$AR$5:$AR$220,$B$408),"")</f>
        <v/>
      </c>
      <c r="Q421" s="254" t="str" cm="1">
        <f t="array" ref="Q421">IFERROR(SUMPRODUCT(--($AR$5:$AR$220=$B$408),--($F$5:$F$220=F421),--($AS$5:$AS$220=$B$369),$J$5:$J$220,$Q$5:$Q$220)/SUMIFS($J$5:$J$220,$AS$5:$AS$220,$B$369,$F$5:$F$220,F421,$AR$5:$AR$220,$B$408),"")</f>
        <v/>
      </c>
      <c r="R421" s="254" t="str" cm="1">
        <f t="array" ref="R421">IFERROR(SUMPRODUCT(--($AR$5:$AR$220=$B$408),--($F$5:$F$220=F421),--($I$5:$I$220&gt;12),--($AS$5:$AS$220=$B$369),$R$5:$R$220,$J$5:$J$220)/SUMIFS($J$5:$J$220,$I$5:$I$220,"&gt;12",$F$5:$F$220,F421,$AS$5:$AS$220,$B$369,$AR$5:$AR$220,$B$408),"")</f>
        <v/>
      </c>
      <c r="S421" s="254" t="str" cm="1">
        <f t="array" ref="S421">IFERROR(SUMPRODUCT(--($AR$5:$AR$220=$B$408),--($F$5:$F$220=F421),--($I$5:$I$220&gt;12),--($AS$5:$AS$220=$B$369),$S$5:$S$220,$J$5:$J$220)/SUMIFS($J$5:$J$220,$I$5:$I$220,"&gt;12",$F$5:$F$220,F421,$AS$5:$AS$220,$B$369,$AR$5:$AR$220,$B$408),"")</f>
        <v/>
      </c>
      <c r="T421" s="254" t="str" cm="1">
        <f t="array" ref="T421">IFERROR(SUMPRODUCT(--($AR$5:$AR$220=$B$408),--($F$5:$F$220=F421),--($AS$5:$AS$220=$B$369),$T$5:$T$220,$J$5:$J$220)/SUMIFS($J$5:$J$220,$F$5:$F$220,F421,$AS$5:$AS$220,$B$369,$AR$5:$AR$220,$B$408),"")</f>
        <v/>
      </c>
      <c r="U421" s="254" t="str" cm="1">
        <f t="array" ref="U421">IFERROR(SUMPRODUCT(--($AR$5:$AR$220=$B$408),--($F$5:$F$220=F421),--($AS$5:$AS$220=$B$369),$U$5:$U$220,$J$5:$J$220)/SUMIFS($J$5:$J$220,$F$5:$F$220,F421,$AS$5:$AS$220,$B$369,$AR$5:$AR$220,$B$408),"")</f>
        <v/>
      </c>
      <c r="V421" s="254" t="str" cm="1">
        <f t="array" ref="V421">IFERROR(SUMPRODUCT(--($AR$5:$AR$220=$B$408),--($F$5:$F$220=F421),--($AS$5:$AS$220=$B$369),$V$5:$V$220,$J$5:$J$220)/SUMIFS($J$5:$J$220,$F$5:$F$220,F421,$AS$5:$AS$220,$B$369,$AR$5:$AR$220,$B$408),"")</f>
        <v/>
      </c>
      <c r="W421" s="254" t="str" cm="1">
        <f t="array" ref="W421">IFERROR(SUMPRODUCT(--($AR$5:$AR$220=$B$408),--($F$5:$F$220=F421),--($AS$5:$AS$220=$B$369),$W$5:$W$220,$J$5:$J$220)/SUMIFS($J$5:$J$220,$F$5:$F$220,F421,$AS$5:$AS$220,$B$369,$AR$5:$AR$220,$B$408),"")</f>
        <v/>
      </c>
      <c r="X421" s="256" t="str" cm="1">
        <f t="array" ref="X421">IFERROR((IFERROR(SUMPRODUCT(--($F$5:$F$220=F421),--($N$5:$N$220&gt;0),--($AS$5:$AS$220=$B$369),--($AR$5:$AR$220=$B$408),$J$5:$J$220,$Q$5:$Q$220)/SUMIFS($J$5:$J$220,$F$5:$F$220,F421,$N$5:$N$220,"&gt;0",$AS$5:$AS$220,$B$369,$AR$5:$AR$220,$B$408),""))/N421-1,"NA")</f>
        <v>NA</v>
      </c>
      <c r="Y421" s="256"/>
      <c r="Z421" s="289" t="str">
        <f t="shared" si="221"/>
        <v>NA</v>
      </c>
      <c r="AG421" s="290"/>
      <c r="AH421" s="290"/>
    </row>
    <row r="422" spans="2:34">
      <c r="B422" s="291"/>
      <c r="F422" s="184" t="s">
        <v>177</v>
      </c>
      <c r="H422" s="184">
        <f t="shared" si="219"/>
        <v>0</v>
      </c>
      <c r="I422" s="254" t="str" cm="1">
        <f t="array" ref="I422">IFERROR(SUMPRODUCT(--($AR$5:$AR$220=$B$408),--($F$5:$F$220=F422),--($AS$5:$AS$220=$B$369),$J$5:$J$220,$I$5:$I$220)/SUMIFS($J$5:$J$220,$AS$5:$AS$220,$B$369,$F$5:$F$220,F422,$AR$5:$AR$220,$B$408)/12,"")</f>
        <v/>
      </c>
      <c r="J422" s="253">
        <f t="shared" si="220"/>
        <v>0</v>
      </c>
      <c r="K422" s="253"/>
      <c r="L422" s="253"/>
      <c r="M422" s="253"/>
      <c r="N422" s="254" t="str" cm="1">
        <f t="array" ref="N422">IFERROR(SUMPRODUCT(--($F$5:$F$220=F422),--($AS$5:$AS$220=$B$369),--($AR$5:$AR$220=$B$408),$J$5:$J$220,$N$5:$N$220)/SUMIFS($J$5:$J$220,$F$5:$F$220,F422,$AS$5:$AS$220,$B$369,$N$5:$N$220,"&gt;0",$AR$5:$AR$220,$B$408),"")</f>
        <v/>
      </c>
      <c r="O422" s="254" t="str" cm="1">
        <f t="array" ref="O422">IFERROR(SUMPRODUCT(--($F$5:$F$220=F422),--($AR$5:$AR$220=$B$408),--($AS$5:$AS$220=$B$369),$J$5:$J$220,$O$5:$O$220)/SUMIFS($J$5:$J$220,$F$5:$F$220,F422,$AS$5:$AS$220,$B$369,$AR$5:$AR$220,$B$408),"")</f>
        <v/>
      </c>
      <c r="P422" s="254" t="str" cm="1">
        <f t="array" ref="P422">IFERROR(SUMPRODUCT(--($AR$5:$AR$220=$B$408),--($F$5:$F$220=F422),--($AS$5:$AS$220=$B$369),$J$5:$J$220,$P$5:$P$220)/SUMIFS($J$5:$J$220,$F$5:$F$220,F422,$AS$5:$AS$220,$B$369,$P$5:$P$220,"&gt;0",$AR$5:$AR$220,$B$408),"")</f>
        <v/>
      </c>
      <c r="Q422" s="254" t="str" cm="1">
        <f t="array" ref="Q422">IFERROR(SUMPRODUCT(--($AR$5:$AR$220=$B$408),--($F$5:$F$220=F422),--($AS$5:$AS$220=$B$369),$J$5:$J$220,$Q$5:$Q$220)/SUMIFS($J$5:$J$220,$AS$5:$AS$220,$B$369,$F$5:$F$220,F422,$AR$5:$AR$220,$B$408),"")</f>
        <v/>
      </c>
      <c r="R422" s="254" t="str" cm="1">
        <f t="array" ref="R422">IFERROR(SUMPRODUCT(--($AR$5:$AR$220=$B$408),--($F$5:$F$220=F422),--($I$5:$I$220&gt;12),--($AS$5:$AS$220=$B$369),$R$5:$R$220,$J$5:$J$220)/SUMIFS($J$5:$J$220,$I$5:$I$220,"&gt;12",$F$5:$F$220,F422,$AS$5:$AS$220,$B$369,$AR$5:$AR$220,$B$408),"")</f>
        <v/>
      </c>
      <c r="S422" s="254" t="str" cm="1">
        <f t="array" ref="S422">IFERROR(SUMPRODUCT(--($AR$5:$AR$220=$B$408),--($F$5:$F$220=F422),--($I$5:$I$220&gt;12),--($AS$5:$AS$220=$B$369),$S$5:$S$220,$J$5:$J$220)/SUMIFS($J$5:$J$220,$I$5:$I$220,"&gt;12",$F$5:$F$220,F422,$AS$5:$AS$220,$B$369,$AR$5:$AR$220,$B$408),"")</f>
        <v/>
      </c>
      <c r="T422" s="254" t="str" cm="1">
        <f t="array" ref="T422">IFERROR(SUMPRODUCT(--($AR$5:$AR$220=$B$408),--($F$5:$F$220=F422),--($AS$5:$AS$220=$B$369),$T$5:$T$220,$J$5:$J$220)/SUMIFS($J$5:$J$220,$F$5:$F$220,F422,$AS$5:$AS$220,$B$369,$AR$5:$AR$220,$B$408),"")</f>
        <v/>
      </c>
      <c r="U422" s="254" t="str" cm="1">
        <f t="array" ref="U422">IFERROR(SUMPRODUCT(--($AR$5:$AR$220=$B$408),--($F$5:$F$220=F422),--($AS$5:$AS$220=$B$369),$U$5:$U$220,$J$5:$J$220)/SUMIFS($J$5:$J$220,$F$5:$F$220,F422,$AS$5:$AS$220,$B$369,$AR$5:$AR$220,$B$408),"")</f>
        <v/>
      </c>
      <c r="V422" s="254" t="str" cm="1">
        <f t="array" ref="V422">IFERROR(SUMPRODUCT(--($AR$5:$AR$220=$B$408),--($F$5:$F$220=F422),--($AS$5:$AS$220=$B$369),$V$5:$V$220,$J$5:$J$220)/SUMIFS($J$5:$J$220,$F$5:$F$220,F422,$AS$5:$AS$220,$B$369,$AR$5:$AR$220,$B$408),"")</f>
        <v/>
      </c>
      <c r="W422" s="254" t="str" cm="1">
        <f t="array" ref="W422">IFERROR(SUMPRODUCT(--($AR$5:$AR$220=$B$408),--($F$5:$F$220=F422),--($AS$5:$AS$220=$B$369),$W$5:$W$220,$J$5:$J$220)/SUMIFS($J$5:$J$220,$F$5:$F$220,F422,$AS$5:$AS$220,$B$369,$AR$5:$AR$220,$B$408),"")</f>
        <v/>
      </c>
      <c r="X422" s="256" t="str" cm="1">
        <f t="array" ref="X422">IFERROR((IFERROR(SUMPRODUCT(--($F$5:$F$220=F422),--($N$5:$N$220&gt;0),--($AS$5:$AS$220=$B$369),--($AR$5:$AR$220=$B$408),$J$5:$J$220,$Q$5:$Q$220)/SUMIFS($J$5:$J$220,$F$5:$F$220,F422,$N$5:$N$220,"&gt;0",$AS$5:$AS$220,$B$369,$AR$5:$AR$220,$B$408),""))/N422-1,"NA")</f>
        <v>NA</v>
      </c>
      <c r="Y422" s="256"/>
      <c r="Z422" s="289" t="str">
        <f t="shared" si="221"/>
        <v>NA</v>
      </c>
      <c r="AG422" s="290"/>
      <c r="AH422" s="290"/>
    </row>
    <row r="423" spans="2:34">
      <c r="B423" s="292"/>
      <c r="C423" s="293"/>
      <c r="D423" s="293"/>
      <c r="E423" s="293"/>
      <c r="F423" s="294" t="s">
        <v>27</v>
      </c>
      <c r="G423" s="294"/>
      <c r="H423" s="294">
        <f>SUM(H408:H422)</f>
        <v>10</v>
      </c>
      <c r="I423" s="295" cm="1">
        <f t="array" ref="I423">IFERROR(SUMPRODUCT(--($AR$5:$AR$220=$B$389),--($AS$5:$AS$220=$B$369),$J$5:$J$220,$I$5:$I$220)/SUMIFS($J$5:$J$220,$AS$5:$AS$220,$B$369,$AR$5:$AR$220,$B$389)/12,"")</f>
        <v>5.53591240098313</v>
      </c>
      <c r="J423" s="303">
        <f>SUM(J408:J422)</f>
        <v>349833</v>
      </c>
      <c r="K423" s="303"/>
      <c r="L423" s="303"/>
      <c r="M423" s="303"/>
      <c r="N423" s="295" cm="1">
        <f t="array" ref="N423">IFERROR(SUMPRODUCT(--($AS$5:$AS$220=$B$369),--($AR$5:$AR$220=$B$408),$J$5:$J$220,$N$5:$N$220)/SUMIFS($J$5:$J$220,$AS$5:$AS$220,$B$369,$N$5:$N$220,"&gt;0",$AR$5:$AR$220,$B$408),"")</f>
        <v>5.4273285539100087</v>
      </c>
      <c r="O423" s="295" cm="1">
        <f t="array" ref="O423">IFERROR(SUMPRODUCT(--($AR$5:$AR$220=$B$408),--($AS$5:$AS$220=$B$369),$J$5:$J$220,$O$5:$O$220)/SUMIFS($J$5:$J$220,$AS$5:$AS$220,$B$369,$AR$5:$AR$220,$B$408),"")</f>
        <v>6.6649626250239402</v>
      </c>
      <c r="P423" s="295" cm="1">
        <f t="array" ref="P423">IFERROR(SUMPRODUCT(--($AR$5:$AR$220=$B$408),--($AS$5:$AS$220=$B$369),$J$5:$J$220,$P$5:$P$220)/SUMIFS($J$5:$J$220,$AS$5:$AS$220,$B$369,$P$5:$P$220,"&gt;0",$AR$5:$AR$220,$B$408),"")</f>
        <v>7.7107215156946314</v>
      </c>
      <c r="Q423" s="295" cm="1">
        <f t="array" ref="Q423">IFERROR(SUMPRODUCT(--($AR$5:$AR$220=$B$408),--($AS$5:$AS$220=$B$369),$J$5:$J$220,$Q$5:$Q$220)/SUMIFS($J$5:$J$220,$AS$5:$AS$220,$B$369,$AR$5:$AR$220,$B$408),"")</f>
        <v>7.9152852646834351</v>
      </c>
      <c r="R423" s="295" cm="1">
        <f t="array" ref="R423">IFERROR(SUMPRODUCT(--($AR$5:$AR$220=$B$408),--($I$5:$I$220&gt;12),--($AS$5:$AS$220=$B$369),$R$5:$R$220,$J$5:$J$220)/SUMIFS($J$5:$J$220,$I$5:$I$220,"&gt;12",$AS$5:$AS$220,$B$369,$AR$5:$AR$220,$B$408),"")</f>
        <v>3.7689526145332199</v>
      </c>
      <c r="S423" s="295" cm="1">
        <f t="array" ref="S423">IFERROR(SUMPRODUCT(--($AR$5:$AR$220=$B$408),--($I$5:$I$220&gt;12),--($AS$5:$AS$220=$B$369),$S$5:$S$220,$J$5:$J$220)/SUMIFS($J$5:$J$220,$I$5:$I$220,"&gt;12",$AS$5:$AS$220,$B$369,$AR$5:$AR$220,$B$408),"")</f>
        <v>3.2721484251056934</v>
      </c>
      <c r="T423" s="295" cm="1">
        <f t="array" ref="T423">IFERROR(SUMPRODUCT(--($AR$5:$AR$220=$B$408),--($AS$5:$AS$220=$B$369),$T$5:$T$220,$J$5:$J$220)/SUMIFS($J$5:$J$220,$AS$5:$AS$220,$B$369,$AR$5:$AR$220,$B$408),"")</f>
        <v>0</v>
      </c>
      <c r="U423" s="295" cm="1">
        <f t="array" ref="U423">IFERROR(SUMPRODUCT(--($AR$5:$AR$220=$B$408),--($AS$5:$AS$220=$B$369),$U$5:$U$220,$J$5:$J$220)/SUMIFS($J$5:$J$220,$AS$5:$AS$220,$B$369,$AR$5:$AR$220,$B$408),"")</f>
        <v>0</v>
      </c>
      <c r="V423" s="295" cm="1">
        <f t="array" ref="V423">IFERROR(SUMPRODUCT(--($AR$5:$AR$220=$B$408),--($AS$5:$AS$220=$B$369),$V$5:$V$220,$J$5:$J$220)/SUMIFS($J$5:$J$220,$AS$5:$AS$220,$B$369,$AR$5:$AR$220,$B$408),"")</f>
        <v>0</v>
      </c>
      <c r="W423" s="295" cm="1">
        <f t="array" ref="W423">IFERROR(SUMPRODUCT(--($AR$5:$AR$220=$B$408),--($AS$5:$AS$220=$B$369),$W$5:$W$220,$J$5:$J$220)/SUMIFS($J$5:$J$220,$AS$5:$AS$220,$B$369,$AR$5:$AR$220,$B$408),"")</f>
        <v>0</v>
      </c>
      <c r="X423" s="298" cm="1">
        <f t="array" ref="X423">IFERROR((IFERROR(SUMPRODUCT(--($N$5:$N$220&gt;0),--($AS$5:$AS$220=$B$369),--($AR$5:$AR$220=$B$408),$J$5:$J$220,$Q$5:$Q$220)/SUMIFS($J$5:$J$220,$N$5:$N$220,"&gt;0",$AS$5:$AS$220,$B$369,$AR$5:$AR$220,$B$408),""))/N423-1,"NA")</f>
        <v>0.45841276901893635</v>
      </c>
      <c r="Y423" s="298"/>
      <c r="Z423" s="299">
        <f t="shared" si="221"/>
        <v>0.18759634674695636</v>
      </c>
      <c r="AG423" s="290"/>
      <c r="AH423" s="290"/>
    </row>
    <row r="426" spans="2:34">
      <c r="B426" s="310" t="str">
        <f>B369</f>
        <v>Q4 2024</v>
      </c>
      <c r="C426" s="311"/>
      <c r="D426" s="311"/>
      <c r="E426" s="311"/>
      <c r="F426" s="282"/>
      <c r="G426" s="282"/>
      <c r="H426" s="282" t="s">
        <v>730</v>
      </c>
      <c r="I426" s="283" t="s">
        <v>731</v>
      </c>
      <c r="J426" s="283" t="s">
        <v>732</v>
      </c>
      <c r="K426" s="283"/>
      <c r="L426" s="283"/>
      <c r="M426" s="283"/>
      <c r="N426" s="284" t="s">
        <v>94</v>
      </c>
      <c r="O426" s="284" t="s">
        <v>95</v>
      </c>
      <c r="P426" s="284" t="s">
        <v>58</v>
      </c>
      <c r="Q426" s="284" t="s">
        <v>96</v>
      </c>
      <c r="R426" s="283" t="s">
        <v>734</v>
      </c>
      <c r="S426" s="283" t="s">
        <v>735</v>
      </c>
      <c r="T426" s="283" t="s">
        <v>736</v>
      </c>
      <c r="U426" s="283" t="s">
        <v>737</v>
      </c>
      <c r="V426" s="283" t="s">
        <v>64</v>
      </c>
      <c r="W426" s="283" t="s">
        <v>738</v>
      </c>
      <c r="X426" s="283" t="s">
        <v>755</v>
      </c>
      <c r="Y426" s="283"/>
      <c r="Z426" s="286" t="s">
        <v>740</v>
      </c>
      <c r="AG426" s="288" t="s">
        <v>741</v>
      </c>
      <c r="AH426" s="288" t="s">
        <v>742</v>
      </c>
    </row>
    <row r="427" spans="2:34">
      <c r="B427" s="312" t="s">
        <v>147</v>
      </c>
      <c r="C427" s="250"/>
      <c r="D427" s="250"/>
      <c r="E427" s="250"/>
      <c r="F427" s="184" t="s">
        <v>153</v>
      </c>
      <c r="H427" s="184">
        <f t="shared" ref="H427:H440" si="222">COUNTIFS($F$5:$F$220,F427,$AS$5:$AS$220,$B$369,$AE$5:$AE$220,$B$427)</f>
        <v>2</v>
      </c>
      <c r="I427" s="254" cm="1">
        <f t="array" ref="I427">IFERROR(SUMPRODUCT(--($AE$5:$AE$220=$B$427),--($F$5:$F$220=F427),--($AS$5:$AS$220=$B$369),$J$5:$J$220,$I$5:$I$220)/SUMIFS($J$5:$J$220,$AS$5:$AS$220,$B$369,$F$5:$F$220,F427,$AE$5:$AE$220,$B$427)/12,"")</f>
        <v>3</v>
      </c>
      <c r="J427" s="253">
        <f t="shared" ref="J427:J440" si="223">SUMIFS($J$5:$J$220,$F$5:$F$220,F427,$AS$5:$AS$220,$B$369,$AE$5:$AE$220,$B$427)</f>
        <v>32040</v>
      </c>
      <c r="K427" s="253"/>
      <c r="L427" s="253"/>
      <c r="M427" s="253"/>
      <c r="N427" s="254" cm="1">
        <f t="array" ref="N427">IFERROR(SUMPRODUCT(--($F$5:$F$220=F427),--($AS$5:$AS$220=$B$369),--($AE$5:$AE$220=$B$427),$J$5:$J$220,$N$5:$N$220)/SUMIFS($J$5:$J$220,$F$5:$F$220,F427,$AS$5:$AS$220,$B$369,$N$5:$N$220,"&gt;0",$AE$5:$AE$220,$B$427),"")</f>
        <v>4.5432958801498131</v>
      </c>
      <c r="O427" s="254" cm="1">
        <f t="array" ref="O427">IFERROR(SUMPRODUCT(--($F$5:$F$220=F427),--($AE$5:$AE$220=$B$427),--($AS$5:$AS$220=$B$369),$J$5:$J$220,$O$5:$O$220)/SUMIFS($J$5:$J$220,$F$5:$F$220,F427,$AS$5:$AS$220,$B$369,$AE$5:$AE$220,$B$427),"")</f>
        <v>5.6910611735330834</v>
      </c>
      <c r="P427" s="254" cm="1">
        <f t="array" ref="P427">IFERROR(SUMPRODUCT(--($AE$5:$AE$220=$B$427),--($F$5:$F$220=F427),--($AS$5:$AS$220=$B$369),$J$5:$J$220,$P$5:$P$220)/SUMIFS($J$5:$J$220,$F$5:$F$220,F427,$AS$5:$AS$220,$B$369,$P$5:$P$220,"&gt;0",$AE$5:$AE$220,$B$427),"")</f>
        <v>6.8063670411985022</v>
      </c>
      <c r="Q427" s="254" cm="1">
        <f t="array" ref="Q427">IFERROR(SUMPRODUCT(--($AE$5:$AE$220=$B$427),--($F$5:$F$220=F427),--($AS$5:$AS$220=$B$369),$J$5:$J$220,$Q$5:$Q$220)/SUMIFS($J$5:$J$220,$AS$5:$AS$220,$B$369,$F$5:$F$220,F427,$AE$5:$AE$220,$B$427),"")</f>
        <v>7.5930087390761551</v>
      </c>
      <c r="R427" s="254" cm="1">
        <f t="array" ref="R427">IFERROR(SUMPRODUCT(--($AE$5:$AE$220=$B$427),--($F$5:$F$220=F427),--($I$5:$I$220&gt;12),--($AS$5:$AS$220=$B$369),$R$5:$R$220,$J$5:$J$220)/SUMIFS($J$5:$J$220,$I$5:$I$220,"&gt;12",$F$5:$F$220,F427,$AS$5:$AS$220,$B$369,$AE$5:$AE$220,$B$427),"")</f>
        <v>4</v>
      </c>
      <c r="S427" s="254" cm="1">
        <f t="array" ref="S427">IFERROR(SUMPRODUCT(--($AE$5:$AE$220=$B$427),--($F$5:$F$220=F427),--($I$5:$I$220&gt;12),--($AS$5:$AS$220=$B$369),$S$5:$S$220,$J$5:$J$220)/SUMIFS($J$5:$J$220,$I$5:$I$220,"&gt;12",$F$5:$F$220,F427,$AS$5:$AS$220,$B$369,$AE$5:$AE$220,$B$427),"")</f>
        <v>3</v>
      </c>
      <c r="T427" s="254" cm="1">
        <f t="array" ref="T427">IFERROR(SUMPRODUCT(--($AE$5:$AE$220=$B$427),--($F$5:$F$220=F427),--($AS$5:$AS$220=$B$369),$T$5:$T$220,$J$5:$J$220)/SUMIFS($J$5:$J$220,$F$5:$F$220,F427,$AS$5:$AS$220,$B$369,$AE$5:$AE$220,$B$427),"")</f>
        <v>0</v>
      </c>
      <c r="U427" s="254" cm="1">
        <f t="array" ref="U427">IFERROR(SUMPRODUCT(--($AE$5:$AE$220=$B$427),--($F$5:$F$220=F427),--($AS$5:$AS$220=$B$369),$U$5:$U$220,$J$5:$J$220)/SUMIFS($J$5:$J$220,$F$5:$F$220,F427,$AS$5:$AS$220,$B$369,$AE$5:$AE$220,$B$427),"")</f>
        <v>0</v>
      </c>
      <c r="V427" s="254" cm="1">
        <f t="array" ref="V427">IFERROR(SUMPRODUCT(--($AE$5:$AE$220=$B$427),--($F$5:$F$220=F427),--($AS$5:$AS$220=$B$369),--($AR$5:$AR$220=$B$389),$V$5:$V$220,$J$5:$J$220)/SUMIFS($J$5:$J$220,$F$5:$F$220,F427,$AS$5:$AS$220,$B$369,$AE$5:$AE$220,$B$427,$AR$5:$AR$220,$B$389),"")</f>
        <v>0</v>
      </c>
      <c r="W427" s="254" cm="1">
        <f t="array" ref="W427">IFERROR(SUMPRODUCT(--($AE$5:$AE$220=$B$427),--($F$5:$F$220=F427),--($AS$5:$AS$220=$B$369),--($AR$5:$AR$220=$B$389),$W$5:$W$220,$J$5:$J$220)/SUMIFS($J$5:$J$220,$F$5:$F$220,F427,$AS$5:$AS$220,$B$369,$AE$5:$AE$220,$B$427,$AR$5:$AR$220,$B$389),"")</f>
        <v>6</v>
      </c>
      <c r="X427" s="256" cm="1">
        <f t="array" ref="X427">IFERROR((IFERROR(SUMPRODUCT(--($F$5:$F$220=F427),--($N$5:$N$220&gt;0),--($AS$5:$AS$220=$B$369),--($AE$5:$AE$220=$B$427),$J$5:$J$220,$Q$5:$Q$220)/SUMIFS($J$5:$J$220,$F$5:$F$220,F427,$N$5:$N$220,"&gt;0",$AS$5:$AS$220,$B$369,$AE$5:$AE$220,$B$427),""))/N427-1,"NA")</f>
        <v>0.67125561252809685</v>
      </c>
      <c r="Y427" s="256"/>
      <c r="Z427" s="289">
        <f t="shared" ref="Z427:Z441" si="224">IFERROR(Q427/O427-1,"NA")</f>
        <v>0.33419910760901539</v>
      </c>
      <c r="AG427" s="290"/>
      <c r="AH427" s="290"/>
    </row>
    <row r="428" spans="2:34">
      <c r="B428" s="251" t="s">
        <v>759</v>
      </c>
      <c r="F428" s="184" t="s">
        <v>207</v>
      </c>
      <c r="H428" s="184">
        <f t="shared" si="222"/>
        <v>0</v>
      </c>
      <c r="I428" s="254" t="str" cm="1">
        <f t="array" ref="I428">IFERROR(SUMPRODUCT(--($AE$5:$AE$220=$B$427),--($F$5:$F$220=F428),--($AS$5:$AS$220=$B$369),$J$5:$J$220,$I$5:$I$220)/SUMIFS($J$5:$J$220,$AS$5:$AS$220,$B$369,$F$5:$F$220,F428,$AE$5:$AE$220,$B$427)/12,"")</f>
        <v/>
      </c>
      <c r="J428" s="253">
        <f t="shared" si="223"/>
        <v>0</v>
      </c>
      <c r="K428" s="253"/>
      <c r="L428" s="253"/>
      <c r="M428" s="253"/>
      <c r="N428" s="254" t="str" cm="1">
        <f t="array" ref="N428">IFERROR(SUMPRODUCT(--($F$5:$F$220=F428),--($AS$5:$AS$220=$B$369),--($AE$5:$AE$220=$B$427),$J$5:$J$220,$N$5:$N$220)/SUMIFS($J$5:$J$220,$F$5:$F$220,F428,$AS$5:$AS$220,$B$369,$N$5:$N$220,"&gt;0",$AE$5:$AE$220,$B$427),"")</f>
        <v/>
      </c>
      <c r="O428" s="254" t="str" cm="1">
        <f t="array" ref="O428">IFERROR(SUMPRODUCT(--($F$5:$F$220=F428),--($AE$5:$AE$220=$B$427),--($AS$5:$AS$220=$B$369),$J$5:$J$220,$O$5:$O$220)/SUMIFS($J$5:$J$220,$F$5:$F$220,F428,$AS$5:$AS$220,$B$369,$AE$5:$AE$220,$B$427),"")</f>
        <v/>
      </c>
      <c r="P428" s="254" t="str" cm="1">
        <f t="array" ref="P428">IFERROR(SUMPRODUCT(--($AE$5:$AE$220=$B$427),--($F$5:$F$220=F428),--($AS$5:$AS$220=$B$369),$J$5:$J$220,$P$5:$P$220)/SUMIFS($J$5:$J$220,$F$5:$F$220,F428,$AS$5:$AS$220,$B$369,$P$5:$P$220,"&gt;0",$AE$5:$AE$220,$B$427),"")</f>
        <v/>
      </c>
      <c r="Q428" s="254" t="str" cm="1">
        <f t="array" ref="Q428">IFERROR(SUMPRODUCT(--($AE$5:$AE$220=$B$427),--($F$5:$F$220=F428),--($AS$5:$AS$220=$B$369),$J$5:$J$220,$Q$5:$Q$220)/SUMIFS($J$5:$J$220,$AS$5:$AS$220,$B$369,$F$5:$F$220,F428,$AE$5:$AE$220,$B$427),"")</f>
        <v/>
      </c>
      <c r="R428" s="254" t="str" cm="1">
        <f t="array" ref="R428">IFERROR(SUMPRODUCT(--($AE$5:$AE$220=$B$427),--($F$5:$F$220=F428),--($I$5:$I$220&gt;12),--($AS$5:$AS$220=$B$369),$R$5:$R$220,$J$5:$J$220)/SUMIFS($J$5:$J$220,$I$5:$I$220,"&gt;12",$F$5:$F$220,F428,$AS$5:$AS$220,$B$369,$AE$5:$AE$220,$B$427),"")</f>
        <v/>
      </c>
      <c r="S428" s="254" t="str" cm="1">
        <f t="array" ref="S428">IFERROR(SUMPRODUCT(--($AE$5:$AE$220=$B$427),--($F$5:$F$220=F428),--($I$5:$I$220&gt;12),--($AS$5:$AS$220=$B$369),$S$5:$S$220,$J$5:$J$220)/SUMIFS($J$5:$J$220,$I$5:$I$220,"&gt;12",$F$5:$F$220,F428,$AS$5:$AS$220,$B$369,$AE$5:$AE$220,$B$427),"")</f>
        <v/>
      </c>
      <c r="T428" s="254" t="str" cm="1">
        <f t="array" ref="T428">IFERROR(SUMPRODUCT(--($AE$5:$AE$220=$B$427),--($F$5:$F$220=F428),--($AS$5:$AS$220=$B$369),$T$5:$T$220,$J$5:$J$220)/SUMIFS($J$5:$J$220,$F$5:$F$220,F428,$AS$5:$AS$220,$B$369,$AE$5:$AE$220,$B$427),"")</f>
        <v/>
      </c>
      <c r="U428" s="254" t="str" cm="1">
        <f t="array" ref="U428">IFERROR(SUMPRODUCT(--($AE$5:$AE$220=$B$427),--($F$5:$F$220=F428),--($AS$5:$AS$220=$B$369),$U$5:$U$220,$J$5:$J$220)/SUMIFS($J$5:$J$220,$F$5:$F$220,F428,$AS$5:$AS$220,$B$369,$AE$5:$AE$220,$B$427),"")</f>
        <v/>
      </c>
      <c r="V428" s="254" t="str" cm="1">
        <f t="array" ref="V428">IFERROR(SUMPRODUCT(--($AE$5:$AE$220=$B$427),--($F$5:$F$220=F428),--($AS$5:$AS$220=$B$369),--($AR$5:$AR$220=$B$389),$V$5:$V$220,$J$5:$J$220)/SUMIFS($J$5:$J$220,$F$5:$F$220,F428,$AS$5:$AS$220,$B$369,$AE$5:$AE$220,$B$427,$AR$5:$AR$220,$B$389),"")</f>
        <v/>
      </c>
      <c r="W428" s="254" t="str" cm="1">
        <f t="array" ref="W428">IFERROR(SUMPRODUCT(--($AE$5:$AE$220=$B$427),--($F$5:$F$220=F428),--($AS$5:$AS$220=$B$369),--($AR$5:$AR$220=$B$389),$W$5:$W$220,$J$5:$J$220)/SUMIFS($J$5:$J$220,$F$5:$F$220,F428,$AS$5:$AS$220,$B$369,$AE$5:$AE$220,$B$427,$AR$5:$AR$220,$B$389),"")</f>
        <v/>
      </c>
      <c r="X428" s="256" t="str" cm="1">
        <f t="array" ref="X428">IFERROR((IFERROR(SUMPRODUCT(--($F$5:$F$220=F428),--($N$5:$N$220&gt;0),--($AS$5:$AS$220=$B$369),--($AE$5:$AE$220=$B$427),$J$5:$J$220,$Q$5:$Q$220)/SUMIFS($J$5:$J$220,$F$5:$F$220,F428,$N$5:$N$220,"&gt;0",$AS$5:$AS$220,$B$369,$AE$5:$AE$220,$B$427),""))/N428-1,"NA")</f>
        <v>NA</v>
      </c>
      <c r="Y428" s="256"/>
      <c r="Z428" s="289" t="str">
        <f t="shared" si="224"/>
        <v>NA</v>
      </c>
      <c r="AG428" s="290"/>
      <c r="AH428" s="290"/>
    </row>
    <row r="429" spans="2:34">
      <c r="B429" s="291"/>
      <c r="F429" s="184" t="s">
        <v>144</v>
      </c>
      <c r="H429" s="184">
        <f t="shared" si="222"/>
        <v>3</v>
      </c>
      <c r="I429" s="254" cm="1">
        <f t="array" ref="I429">IFERROR(SUMPRODUCT(--($AE$5:$AE$220=$B$427),--($F$5:$F$220=F429),--($AS$5:$AS$220=$B$369),$J$5:$J$220,$I$5:$I$220)/SUMIFS($J$5:$J$220,$AS$5:$AS$220,$B$369,$F$5:$F$220,F429,$AE$5:$AE$220,$B$427)/12,"")</f>
        <v>5.9156560045672668</v>
      </c>
      <c r="J429" s="253">
        <f t="shared" si="223"/>
        <v>64809</v>
      </c>
      <c r="K429" s="253"/>
      <c r="L429" s="253"/>
      <c r="M429" s="253"/>
      <c r="N429" s="254" cm="1">
        <f t="array" ref="N429">IFERROR(SUMPRODUCT(--($F$5:$F$220=F429),--($AS$5:$AS$220=$B$369),--($AE$5:$AE$220=$B$427),$J$5:$J$220,$N$5:$N$220)/SUMIFS($J$5:$J$220,$F$5:$F$220,F429,$AS$5:$AS$220,$B$369,$N$5:$N$220,"&gt;0",$AE$5:$AE$220,$B$427),"")</f>
        <v>6.6979817617923434</v>
      </c>
      <c r="O429" s="254" cm="1">
        <f t="array" ref="O429">IFERROR(SUMPRODUCT(--($F$5:$F$220=F429),--($AE$5:$AE$220=$B$427),--($AS$5:$AS$220=$B$369),$J$5:$J$220,$O$5:$O$220)/SUMIFS($J$5:$J$220,$F$5:$F$220,F429,$AS$5:$AS$220,$B$369,$AE$5:$AE$220,$B$427),"")</f>
        <v>6.5284011479887054</v>
      </c>
      <c r="P429" s="254" cm="1">
        <f t="array" ref="P429">IFERROR(SUMPRODUCT(--($AE$5:$AE$220=$B$427),--($F$5:$F$220=F429),--($AS$5:$AS$220=$B$369),$J$5:$J$220,$P$5:$P$220)/SUMIFS($J$5:$J$220,$F$5:$F$220,F429,$AS$5:$AS$220,$B$369,$P$5:$P$220,"&gt;0",$AE$5:$AE$220,$B$427),"")</f>
        <v>8.6645489052446418</v>
      </c>
      <c r="Q429" s="254" cm="1">
        <f t="array" ref="Q429">IFERROR(SUMPRODUCT(--($AE$5:$AE$220=$B$427),--($F$5:$F$220=F429),--($AS$5:$AS$220=$B$369),$J$5:$J$220,$Q$5:$Q$220)/SUMIFS($J$5:$J$220,$AS$5:$AS$220,$B$369,$F$5:$F$220,F429,$AE$5:$AE$220,$B$427),"")</f>
        <v>8.8477780863768931</v>
      </c>
      <c r="R429" s="254" cm="1">
        <f t="array" ref="R429">IFERROR(SUMPRODUCT(--($AE$5:$AE$220=$B$427),--($F$5:$F$220=F429),--($I$5:$I$220&gt;12),--($AS$5:$AS$220=$B$369),$R$5:$R$220,$J$5:$J$220)/SUMIFS($J$5:$J$220,$I$5:$I$220,"&gt;12",$F$5:$F$220,F429,$AS$5:$AS$220,$B$369,$AE$5:$AE$220,$B$427),"")</f>
        <v>3.5</v>
      </c>
      <c r="S429" s="254" cm="1">
        <f t="array" ref="S429">IFERROR(SUMPRODUCT(--($AE$5:$AE$220=$B$427),--($F$5:$F$220=F429),--($I$5:$I$220&gt;12),--($AS$5:$AS$220=$B$369),$S$5:$S$220,$J$5:$J$220)/SUMIFS($J$5:$J$220,$I$5:$I$220,"&gt;12",$F$5:$F$220,F429,$AS$5:$AS$220,$B$369,$AE$5:$AE$220,$B$427),"")</f>
        <v>2.6677313336110724</v>
      </c>
      <c r="T429" s="254" cm="1">
        <f t="array" ref="T429">IFERROR(SUMPRODUCT(--($AE$5:$AE$220=$B$427),--($F$5:$F$220=F429),--($AS$5:$AS$220=$B$369),$T$5:$T$220,$J$5:$J$220)/SUMIFS($J$5:$J$220,$F$5:$F$220,F429,$AS$5:$AS$220,$B$369,$AE$5:$AE$220,$B$427),"")</f>
        <v>0</v>
      </c>
      <c r="U429" s="254" cm="1">
        <f t="array" ref="U429">IFERROR(SUMPRODUCT(--($AE$5:$AE$220=$B$427),--($F$5:$F$220=F429),--($AS$5:$AS$220=$B$369),$U$5:$U$220,$J$5:$J$220)/SUMIFS($J$5:$J$220,$F$5:$F$220,F429,$AS$5:$AS$220,$B$369,$AE$5:$AE$220,$B$427),"")</f>
        <v>0</v>
      </c>
      <c r="V429" s="254" cm="1">
        <f t="array" ref="V429">IFERROR(SUMPRODUCT(--($AE$5:$AE$220=$B$427),--($F$5:$F$220=F429),--($AS$5:$AS$220=$B$369),--($AR$5:$AR$220=$B$389),$V$5:$V$220,$J$5:$J$220)/SUMIFS($J$5:$J$220,$F$5:$F$220,F429,$AS$5:$AS$220,$B$369,$AE$5:$AE$220,$B$427,$AR$5:$AR$220,$B$389),"")</f>
        <v>2.5537655663174541</v>
      </c>
      <c r="W429" s="254" cm="1">
        <f t="array" ref="W429">IFERROR(SUMPRODUCT(--($AE$5:$AE$220=$B$427),--($F$5:$F$220=F429),--($AS$5:$AS$220=$B$369),--($AR$5:$AR$220=$B$389),$W$5:$W$220,$J$5:$J$220)/SUMIFS($J$5:$J$220,$F$5:$F$220,F429,$AS$5:$AS$220,$B$369,$AE$5:$AE$220,$B$427,$AR$5:$AR$220,$B$389),"")</f>
        <v>6.8512551887724848</v>
      </c>
      <c r="X429" s="256" cm="1">
        <f t="array" ref="X429">IFERROR((IFERROR(SUMPRODUCT(--($F$5:$F$220=F429),--($N$5:$N$220&gt;0),--($AS$5:$AS$220=$B$369),--($AE$5:$AE$220=$B$427),$J$5:$J$220,$Q$5:$Q$220)/SUMIFS($J$5:$J$220,$F$5:$F$220,F429,$N$5:$N$220,"&gt;0",$AS$5:$AS$220,$B$369,$AE$5:$AE$220,$B$427),""))/N429-1,"NA")</f>
        <v>0.32096180626345516</v>
      </c>
      <c r="Y429" s="256"/>
      <c r="Z429" s="289">
        <f t="shared" si="224"/>
        <v>0.35527488060422718</v>
      </c>
      <c r="AG429" s="290"/>
      <c r="AH429" s="290"/>
    </row>
    <row r="430" spans="2:34">
      <c r="B430" s="291"/>
      <c r="F430" s="184" t="s">
        <v>185</v>
      </c>
      <c r="H430" s="184">
        <f t="shared" si="222"/>
        <v>1</v>
      </c>
      <c r="I430" s="254" cm="1">
        <f t="array" ref="I430">IFERROR(SUMPRODUCT(--($AE$5:$AE$220=$B$427),--($F$5:$F$220=F430),--($AS$5:$AS$220=$B$369),$J$5:$J$220,$I$5:$I$220)/SUMIFS($J$5:$J$220,$AS$5:$AS$220,$B$369,$F$5:$F$220,F430,$AE$5:$AE$220,$B$427)/12,"")</f>
        <v>2</v>
      </c>
      <c r="J430" s="253">
        <f t="shared" si="223"/>
        <v>111087</v>
      </c>
      <c r="K430" s="253"/>
      <c r="L430" s="253"/>
      <c r="M430" s="253"/>
      <c r="N430" s="254" cm="1">
        <f t="array" ref="N430">IFERROR(SUMPRODUCT(--($F$5:$F$220=F430),--($AS$5:$AS$220=$B$369),--($AE$5:$AE$220=$B$427),$J$5:$J$220,$N$5:$N$220)/SUMIFS($J$5:$J$220,$F$5:$F$220,F430,$AS$5:$AS$220,$B$369,$N$5:$N$220,"&gt;0",$AE$5:$AE$220,$B$427),"")</f>
        <v>4.12</v>
      </c>
      <c r="O430" s="254" cm="1">
        <f t="array" ref="O430">IFERROR(SUMPRODUCT(--($F$5:$F$220=F430),--($AE$5:$AE$220=$B$427),--($AS$5:$AS$220=$B$369),$J$5:$J$220,$O$5:$O$220)/SUMIFS($J$5:$J$220,$F$5:$F$220,F430,$AS$5:$AS$220,$B$369,$AE$5:$AE$220,$B$427),"")</f>
        <v>3.63</v>
      </c>
      <c r="P430" s="254" cm="1">
        <f t="array" ref="P430">IFERROR(SUMPRODUCT(--($AE$5:$AE$220=$B$427),--($F$5:$F$220=F430),--($AS$5:$AS$220=$B$369),$J$5:$J$220,$P$5:$P$220)/SUMIFS($J$5:$J$220,$F$5:$F$220,F430,$AS$5:$AS$220,$B$369,$P$5:$P$220,"&gt;0",$AE$5:$AE$220,$B$427),"")</f>
        <v>4.29</v>
      </c>
      <c r="Q430" s="254" cm="1">
        <f t="array" ref="Q430">IFERROR(SUMPRODUCT(--($AE$5:$AE$220=$B$427),--($F$5:$F$220=F430),--($AS$5:$AS$220=$B$369),$J$5:$J$220,$Q$5:$Q$220)/SUMIFS($J$5:$J$220,$AS$5:$AS$220,$B$369,$F$5:$F$220,F430,$AE$5:$AE$220,$B$427),"")</f>
        <v>4.29</v>
      </c>
      <c r="R430" s="254" cm="1">
        <f t="array" ref="R430">IFERROR(SUMPRODUCT(--($AE$5:$AE$220=$B$427),--($F$5:$F$220=F430),--($I$5:$I$220&gt;12),--($AS$5:$AS$220=$B$369),$R$5:$R$220,$J$5:$J$220)/SUMIFS($J$5:$J$220,$I$5:$I$220,"&gt;12",$F$5:$F$220,F430,$AS$5:$AS$220,$B$369,$AE$5:$AE$220,$B$427),"")</f>
        <v>4</v>
      </c>
      <c r="S430" s="254" cm="1">
        <f t="array" ref="S430">IFERROR(SUMPRODUCT(--($AE$5:$AE$220=$B$427),--($F$5:$F$220=F430),--($I$5:$I$220&gt;12),--($AS$5:$AS$220=$B$369),$S$5:$S$220,$J$5:$J$220)/SUMIFS($J$5:$J$220,$I$5:$I$220,"&gt;12",$F$5:$F$220,F430,$AS$5:$AS$220,$B$369,$AE$5:$AE$220,$B$427),"")</f>
        <v>3</v>
      </c>
      <c r="T430" s="254" cm="1">
        <f t="array" ref="T430">IFERROR(SUMPRODUCT(--($AE$5:$AE$220=$B$427),--($F$5:$F$220=F430),--($AS$5:$AS$220=$B$369),$T$5:$T$220,$J$5:$J$220)/SUMIFS($J$5:$J$220,$F$5:$F$220,F430,$AS$5:$AS$220,$B$369,$AE$5:$AE$220,$B$427),"")</f>
        <v>0</v>
      </c>
      <c r="U430" s="254" cm="1">
        <f t="array" ref="U430">IFERROR(SUMPRODUCT(--($AE$5:$AE$220=$B$427),--($F$5:$F$220=F430),--($AS$5:$AS$220=$B$369),$U$5:$U$220,$J$5:$J$220)/SUMIFS($J$5:$J$220,$F$5:$F$220,F430,$AS$5:$AS$220,$B$369,$AE$5:$AE$220,$B$427),"")</f>
        <v>0</v>
      </c>
      <c r="V430" s="254" t="str" cm="1">
        <f t="array" ref="V430">IFERROR(SUMPRODUCT(--($AE$5:$AE$220=$B$427),--($F$5:$F$220=F430),--($AS$5:$AS$220=$B$369),--($AR$5:$AR$220=$B$389),$V$5:$V$220,$J$5:$J$220)/SUMIFS($J$5:$J$220,$F$5:$F$220,F430,$AS$5:$AS$220,$B$369,$AE$5:$AE$220,$B$427,$AR$5:$AR$220,$B$389),"")</f>
        <v/>
      </c>
      <c r="W430" s="254" t="str" cm="1">
        <f t="array" ref="W430">IFERROR(SUMPRODUCT(--($AE$5:$AE$220=$B$427),--($F$5:$F$220=F430),--($AS$5:$AS$220=$B$369),--($AR$5:$AR$220=$B$389),$W$5:$W$220,$J$5:$J$220)/SUMIFS($J$5:$J$220,$F$5:$F$220,F430,$AS$5:$AS$220,$B$369,$AE$5:$AE$220,$B$427,$AR$5:$AR$220,$B$389),"")</f>
        <v/>
      </c>
      <c r="X430" s="256" cm="1">
        <f t="array" ref="X430">IFERROR((IFERROR(SUMPRODUCT(--($F$5:$F$220=F430),--($N$5:$N$220&gt;0),--($AS$5:$AS$220=$B$369),--($AE$5:$AE$220=$B$427),$J$5:$J$220,$Q$5:$Q$220)/SUMIFS($J$5:$J$220,$F$5:$F$220,F430,$N$5:$N$220,"&gt;0",$AS$5:$AS$220,$B$369,$AE$5:$AE$220,$B$427),""))/N430-1,"NA")</f>
        <v>4.1262135922329968E-2</v>
      </c>
      <c r="Y430" s="256"/>
      <c r="Z430" s="289">
        <f t="shared" si="224"/>
        <v>0.18181818181818188</v>
      </c>
      <c r="AG430" s="290"/>
      <c r="AH430" s="290"/>
    </row>
    <row r="431" spans="2:34">
      <c r="B431" s="291"/>
      <c r="F431" s="184" t="s">
        <v>214</v>
      </c>
      <c r="H431" s="184">
        <f t="shared" si="222"/>
        <v>0</v>
      </c>
      <c r="I431" s="254" t="str" cm="1">
        <f t="array" ref="I431">IFERROR(SUMPRODUCT(--($AE$5:$AE$220=$B$427),--($F$5:$F$220=F431),--($AS$5:$AS$220=$B$369),$J$5:$J$220,$I$5:$I$220)/SUMIFS($J$5:$J$220,$AS$5:$AS$220,$B$369,$F$5:$F$220,F431,$AE$5:$AE$220,$B$427)/12,"")</f>
        <v/>
      </c>
      <c r="J431" s="253">
        <f t="shared" si="223"/>
        <v>0</v>
      </c>
      <c r="K431" s="253"/>
      <c r="L431" s="253"/>
      <c r="M431" s="253"/>
      <c r="N431" s="254" t="str" cm="1">
        <f t="array" ref="N431">IFERROR(SUMPRODUCT(--($F$5:$F$220=F431),--($AS$5:$AS$220=$B$369),--($AE$5:$AE$220=$B$427),$J$5:$J$220,$N$5:$N$220)/SUMIFS($J$5:$J$220,$F$5:$F$220,F431,$AS$5:$AS$220,$B$369,$N$5:$N$220,"&gt;0",$AE$5:$AE$220,$B$427),"")</f>
        <v/>
      </c>
      <c r="O431" s="254" t="str" cm="1">
        <f t="array" ref="O431">IFERROR(SUMPRODUCT(--($F$5:$F$220=F431),--($AE$5:$AE$220=$B$427),--($AS$5:$AS$220=$B$369),$J$5:$J$220,$O$5:$O$220)/SUMIFS($J$5:$J$220,$F$5:$F$220,F431,$AS$5:$AS$220,$B$369,$AE$5:$AE$220,$B$427),"")</f>
        <v/>
      </c>
      <c r="P431" s="254" t="str" cm="1">
        <f t="array" ref="P431">IFERROR(SUMPRODUCT(--($AE$5:$AE$220=$B$427),--($F$5:$F$220=F431),--($AS$5:$AS$220=$B$369),$J$5:$J$220,$P$5:$P$220)/SUMIFS($J$5:$J$220,$F$5:$F$220,F431,$AS$5:$AS$220,$B$369,$P$5:$P$220,"&gt;0",$AE$5:$AE$220,$B$427),"")</f>
        <v/>
      </c>
      <c r="Q431" s="254" t="str" cm="1">
        <f t="array" ref="Q431">IFERROR(SUMPRODUCT(--($AE$5:$AE$220=$B$427),--($F$5:$F$220=F431),--($AS$5:$AS$220=$B$369),$J$5:$J$220,$Q$5:$Q$220)/SUMIFS($J$5:$J$220,$AS$5:$AS$220,$B$369,$F$5:$F$220,F431,$AE$5:$AE$220,$B$427),"")</f>
        <v/>
      </c>
      <c r="R431" s="254" t="str" cm="1">
        <f t="array" ref="R431">IFERROR(SUMPRODUCT(--($AE$5:$AE$220=$B$427),--($F$5:$F$220=F431),--($I$5:$I$220&gt;12),--($AS$5:$AS$220=$B$369),$R$5:$R$220,$J$5:$J$220)/SUMIFS($J$5:$J$220,$I$5:$I$220,"&gt;12",$F$5:$F$220,F431,$AS$5:$AS$220,$B$369,$AE$5:$AE$220,$B$427),"")</f>
        <v/>
      </c>
      <c r="S431" s="254" t="str" cm="1">
        <f t="array" ref="S431">IFERROR(SUMPRODUCT(--($AE$5:$AE$220=$B$427),--($F$5:$F$220=F431),--($I$5:$I$220&gt;12),--($AS$5:$AS$220=$B$369),$S$5:$S$220,$J$5:$J$220)/SUMIFS($J$5:$J$220,$I$5:$I$220,"&gt;12",$F$5:$F$220,F431,$AS$5:$AS$220,$B$369,$AE$5:$AE$220,$B$427),"")</f>
        <v/>
      </c>
      <c r="T431" s="254" t="str" cm="1">
        <f t="array" ref="T431">IFERROR(SUMPRODUCT(--($AE$5:$AE$220=$B$427),--($F$5:$F$220=F431),--($AS$5:$AS$220=$B$369),$T$5:$T$220,$J$5:$J$220)/SUMIFS($J$5:$J$220,$F$5:$F$220,F431,$AS$5:$AS$220,$B$369,$AE$5:$AE$220,$B$427),"")</f>
        <v/>
      </c>
      <c r="U431" s="254" t="str" cm="1">
        <f t="array" ref="U431">IFERROR(SUMPRODUCT(--($AE$5:$AE$220=$B$427),--($F$5:$F$220=F431),--($AS$5:$AS$220=$B$369),$U$5:$U$220,$J$5:$J$220)/SUMIFS($J$5:$J$220,$F$5:$F$220,F431,$AS$5:$AS$220,$B$369,$AE$5:$AE$220,$B$427),"")</f>
        <v/>
      </c>
      <c r="V431" s="254" t="str" cm="1">
        <f t="array" ref="V431">IFERROR(SUMPRODUCT(--($AE$5:$AE$220=$B$427),--($F$5:$F$220=F431),--($AS$5:$AS$220=$B$369),--($AR$5:$AR$220=$B$389),$V$5:$V$220,$J$5:$J$220)/SUMIFS($J$5:$J$220,$F$5:$F$220,F431,$AS$5:$AS$220,$B$369,$AE$5:$AE$220,$B$427,$AR$5:$AR$220,$B$389),"")</f>
        <v/>
      </c>
      <c r="W431" s="254" t="str" cm="1">
        <f t="array" ref="W431">IFERROR(SUMPRODUCT(--($AE$5:$AE$220=$B$427),--($F$5:$F$220=F431),--($AS$5:$AS$220=$B$369),--($AR$5:$AR$220=$B$389),$W$5:$W$220,$J$5:$J$220)/SUMIFS($J$5:$J$220,$F$5:$F$220,F431,$AS$5:$AS$220,$B$369,$AE$5:$AE$220,$B$427,$AR$5:$AR$220,$B$389),"")</f>
        <v/>
      </c>
      <c r="X431" s="256" t="str" cm="1">
        <f t="array" ref="X431">IFERROR((IFERROR(SUMPRODUCT(--($F$5:$F$220=F431),--($N$5:$N$220&gt;0),--($AS$5:$AS$220=$B$369),--($AE$5:$AE$220=$B$427),$J$5:$J$220,$Q$5:$Q$220)/SUMIFS($J$5:$J$220,$F$5:$F$220,F431,$N$5:$N$220,"&gt;0",$AS$5:$AS$220,$B$369,$AE$5:$AE$220,$B$427),""))/N431-1,"NA")</f>
        <v>NA</v>
      </c>
      <c r="Y431" s="256"/>
      <c r="Z431" s="289" t="str">
        <f t="shared" si="224"/>
        <v>NA</v>
      </c>
      <c r="AG431" s="290"/>
      <c r="AH431" s="290"/>
    </row>
    <row r="432" spans="2:34">
      <c r="B432" s="291"/>
      <c r="F432" s="184" t="s">
        <v>244</v>
      </c>
      <c r="H432" s="184">
        <f t="shared" si="222"/>
        <v>0</v>
      </c>
      <c r="I432" s="254" t="str" cm="1">
        <f t="array" ref="I432">IFERROR(SUMPRODUCT(--($AE$5:$AE$220=$B$427),--($F$5:$F$220=F432),--($AS$5:$AS$220=$B$369),$J$5:$J$220,$I$5:$I$220)/SUMIFS($J$5:$J$220,$AS$5:$AS$220,$B$369,$F$5:$F$220,F432,$AE$5:$AE$220,$B$427)/12,"")</f>
        <v/>
      </c>
      <c r="J432" s="253">
        <f t="shared" si="223"/>
        <v>0</v>
      </c>
      <c r="K432" s="253"/>
      <c r="L432" s="253"/>
      <c r="M432" s="253"/>
      <c r="N432" s="254" t="str" cm="1">
        <f t="array" ref="N432">IFERROR(SUMPRODUCT(--($F$5:$F$220=F432),--($AS$5:$AS$220=$B$369),--($AE$5:$AE$220=$B$427),$J$5:$J$220,$N$5:$N$220)/SUMIFS($J$5:$J$220,$F$5:$F$220,F432,$AS$5:$AS$220,$B$369,$N$5:$N$220,"&gt;0",$AE$5:$AE$220,$B$427),"")</f>
        <v/>
      </c>
      <c r="O432" s="254" t="str" cm="1">
        <f t="array" ref="O432">IFERROR(SUMPRODUCT(--($F$5:$F$220=F432),--($AE$5:$AE$220=$B$427),--($AS$5:$AS$220=$B$369),$J$5:$J$220,$O$5:$O$220)/SUMIFS($J$5:$J$220,$F$5:$F$220,F432,$AS$5:$AS$220,$B$369,$AE$5:$AE$220,$B$427),"")</f>
        <v/>
      </c>
      <c r="P432" s="254" t="str" cm="1">
        <f t="array" ref="P432">IFERROR(SUMPRODUCT(--($AE$5:$AE$220=$B$427),--($F$5:$F$220=F432),--($AS$5:$AS$220=$B$369),$J$5:$J$220,$P$5:$P$220)/SUMIFS($J$5:$J$220,$F$5:$F$220,F432,$AS$5:$AS$220,$B$369,$P$5:$P$220,"&gt;0",$AE$5:$AE$220,$B$427),"")</f>
        <v/>
      </c>
      <c r="Q432" s="254" t="str" cm="1">
        <f t="array" ref="Q432">IFERROR(SUMPRODUCT(--($AE$5:$AE$220=$B$427),--($F$5:$F$220=F432),--($AS$5:$AS$220=$B$369),$J$5:$J$220,$Q$5:$Q$220)/SUMIFS($J$5:$J$220,$AS$5:$AS$220,$B$369,$F$5:$F$220,F432,$AE$5:$AE$220,$B$427),"")</f>
        <v/>
      </c>
      <c r="R432" s="254" t="str" cm="1">
        <f t="array" ref="R432">IFERROR(SUMPRODUCT(--($AE$5:$AE$220=$B$427),--($F$5:$F$220=F432),--($I$5:$I$220&gt;12),--($AS$5:$AS$220=$B$369),$R$5:$R$220,$J$5:$J$220)/SUMIFS($J$5:$J$220,$I$5:$I$220,"&gt;12",$F$5:$F$220,F432,$AS$5:$AS$220,$B$369,$AE$5:$AE$220,$B$427),"")</f>
        <v/>
      </c>
      <c r="S432" s="254" t="str" cm="1">
        <f t="array" ref="S432">IFERROR(SUMPRODUCT(--($AE$5:$AE$220=$B$427),--($F$5:$F$220=F432),--($I$5:$I$220&gt;12),--($AS$5:$AS$220=$B$369),$S$5:$S$220,$J$5:$J$220)/SUMIFS($J$5:$J$220,$I$5:$I$220,"&gt;12",$F$5:$F$220,F432,$AS$5:$AS$220,$B$369,$AE$5:$AE$220,$B$427),"")</f>
        <v/>
      </c>
      <c r="T432" s="254" t="str" cm="1">
        <f t="array" ref="T432">IFERROR(SUMPRODUCT(--($AE$5:$AE$220=$B$427),--($F$5:$F$220=F432),--($AS$5:$AS$220=$B$369),$T$5:$T$220,$J$5:$J$220)/SUMIFS($J$5:$J$220,$F$5:$F$220,F432,$AS$5:$AS$220,$B$369,$AE$5:$AE$220,$B$427),"")</f>
        <v/>
      </c>
      <c r="U432" s="254" t="str" cm="1">
        <f t="array" ref="U432">IFERROR(SUMPRODUCT(--($AE$5:$AE$220=$B$427),--($F$5:$F$220=F432),--($AS$5:$AS$220=$B$369),$U$5:$U$220,$J$5:$J$220)/SUMIFS($J$5:$J$220,$F$5:$F$220,F432,$AS$5:$AS$220,$B$369,$AE$5:$AE$220,$B$427),"")</f>
        <v/>
      </c>
      <c r="V432" s="254" t="str" cm="1">
        <f t="array" ref="V432">IFERROR(SUMPRODUCT(--($AE$5:$AE$220=$B$427),--($F$5:$F$220=F432),--($AS$5:$AS$220=$B$369),--($AR$5:$AR$220=$B$389),$V$5:$V$220,$J$5:$J$220)/SUMIFS($J$5:$J$220,$F$5:$F$220,F432,$AS$5:$AS$220,$B$369,$AE$5:$AE$220,$B$427,$AR$5:$AR$220,$B$389),"")</f>
        <v/>
      </c>
      <c r="W432" s="254" t="str" cm="1">
        <f t="array" ref="W432">IFERROR(SUMPRODUCT(--($AE$5:$AE$220=$B$427),--($F$5:$F$220=F432),--($AS$5:$AS$220=$B$369),--($AR$5:$AR$220=$B$389),$W$5:$W$220,$J$5:$J$220)/SUMIFS($J$5:$J$220,$F$5:$F$220,F432,$AS$5:$AS$220,$B$369,$AE$5:$AE$220,$B$427,$AR$5:$AR$220,$B$389),"")</f>
        <v/>
      </c>
      <c r="X432" s="256" t="str" cm="1">
        <f t="array" ref="X432">IFERROR((IFERROR(SUMPRODUCT(--($F$5:$F$220=F432),--($N$5:$N$220&gt;0),--($AS$5:$AS$220=$B$369),--($AE$5:$AE$220=$B$427),$J$5:$J$220,$Q$5:$Q$220)/SUMIFS($J$5:$J$220,$F$5:$F$220,F432,$N$5:$N$220,"&gt;0",$AS$5:$AS$220,$B$369,$AE$5:$AE$220,$B$427),""))/N432-1,"NA")</f>
        <v>NA</v>
      </c>
      <c r="Y432" s="256"/>
      <c r="Z432" s="289" t="str">
        <f t="shared" si="224"/>
        <v>NA</v>
      </c>
      <c r="AG432" s="290"/>
      <c r="AH432" s="290"/>
    </row>
    <row r="433" spans="2:34">
      <c r="B433" s="291"/>
      <c r="F433" s="184" t="s">
        <v>181</v>
      </c>
      <c r="H433" s="184">
        <f t="shared" si="222"/>
        <v>2</v>
      </c>
      <c r="I433" s="254" cm="1">
        <f t="array" ref="I433">IFERROR(SUMPRODUCT(--($AE$5:$AE$220=$B$427),--($F$5:$F$220=F433),--($AS$5:$AS$220=$B$369),$J$5:$J$220,$I$5:$I$220)/SUMIFS($J$5:$J$220,$AS$5:$AS$220,$B$369,$F$5:$F$220,F433,$AE$5:$AE$220,$B$427)/12,"")</f>
        <v>5.1280711520457478</v>
      </c>
      <c r="J433" s="253">
        <f t="shared" si="223"/>
        <v>79042</v>
      </c>
      <c r="K433" s="253"/>
      <c r="L433" s="253"/>
      <c r="M433" s="253"/>
      <c r="N433" s="254" cm="1">
        <f t="array" ref="N433">IFERROR(SUMPRODUCT(--($F$5:$F$220=F433),--($AS$5:$AS$220=$B$369),--($AE$5:$AE$220=$B$427),$J$5:$J$220,$N$5:$N$220)/SUMIFS($J$5:$J$220,$F$5:$F$220,F433,$AS$5:$AS$220,$B$369,$N$5:$N$220,"&gt;0",$AE$5:$AE$220,$B$427),"")</f>
        <v>3.75</v>
      </c>
      <c r="O433" s="254" cm="1">
        <f t="array" ref="O433">IFERROR(SUMPRODUCT(--($F$5:$F$220=F433),--($AE$5:$AE$220=$B$427),--($AS$5:$AS$220=$B$369),$J$5:$J$220,$O$5:$O$220)/SUMIFS($J$5:$J$220,$F$5:$F$220,F433,$AS$5:$AS$220,$B$369,$AE$5:$AE$220,$B$427),"")</f>
        <v>7.3432051314491034</v>
      </c>
      <c r="P433" s="254" cm="1">
        <f t="array" ref="P433">IFERROR(SUMPRODUCT(--($AE$5:$AE$220=$B$427),--($F$5:$F$220=F433),--($AS$5:$AS$220=$B$369),$J$5:$J$220,$P$5:$P$220)/SUMIFS($J$5:$J$220,$F$5:$F$220,F433,$AS$5:$AS$220,$B$369,$P$5:$P$220,"&gt;0",$AE$5:$AE$220,$B$427),"")</f>
        <v>9.6952696035019361</v>
      </c>
      <c r="Q433" s="254" cm="1">
        <f t="array" ref="Q433">IFERROR(SUMPRODUCT(--($AE$5:$AE$220=$B$427),--($F$5:$F$220=F433),--($AS$5:$AS$220=$B$369),$J$5:$J$220,$Q$5:$Q$220)/SUMIFS($J$5:$J$220,$AS$5:$AS$220,$B$369,$F$5:$F$220,F433,$AE$5:$AE$220,$B$427),"")</f>
        <v>9.6952696035019361</v>
      </c>
      <c r="R433" s="254" cm="1">
        <f t="array" ref="R433">IFERROR(SUMPRODUCT(--($AE$5:$AE$220=$B$427),--($F$5:$F$220=F433),--($I$5:$I$220&gt;12),--($AS$5:$AS$220=$B$369),$R$5:$R$220,$J$5:$J$220)/SUMIFS($J$5:$J$220,$I$5:$I$220,"&gt;12",$F$5:$F$220,F433,$AS$5:$AS$220,$B$369,$AE$5:$AE$220,$B$427),"")</f>
        <v>4</v>
      </c>
      <c r="S433" s="254" cm="1">
        <f t="array" ref="S433">IFERROR(SUMPRODUCT(--($AE$5:$AE$220=$B$427),--($F$5:$F$220=F433),--($I$5:$I$220&gt;12),--($AS$5:$AS$220=$B$369),$S$5:$S$220,$J$5:$J$220)/SUMIFS($J$5:$J$220,$I$5:$I$220,"&gt;12",$F$5:$F$220,F433,$AS$5:$AS$220,$B$369,$AE$5:$AE$220,$B$427),"")</f>
        <v>3</v>
      </c>
      <c r="T433" s="254" cm="1">
        <f t="array" ref="T433">IFERROR(SUMPRODUCT(--($AE$5:$AE$220=$B$427),--($F$5:$F$220=F433),--($AS$5:$AS$220=$B$369),$T$5:$T$220,$J$5:$J$220)/SUMIFS($J$5:$J$220,$F$5:$F$220,F433,$AS$5:$AS$220,$B$369,$AE$5:$AE$220,$B$427),"")</f>
        <v>0</v>
      </c>
      <c r="U433" s="254" cm="1">
        <f t="array" ref="U433">IFERROR(SUMPRODUCT(--($AE$5:$AE$220=$B$427),--($F$5:$F$220=F433),--($AS$5:$AS$220=$B$369),$U$5:$U$220,$J$5:$J$220)/SUMIFS($J$5:$J$220,$F$5:$F$220,F433,$AS$5:$AS$220,$B$369,$AE$5:$AE$220,$B$427),"")</f>
        <v>0</v>
      </c>
      <c r="V433" s="254" cm="1">
        <f t="array" ref="V433">IFERROR(SUMPRODUCT(--($AE$5:$AE$220=$B$427),--($F$5:$F$220=F433),--($AS$5:$AS$220=$B$369),--($AR$5:$AR$220=$B$389),$V$5:$V$220,$J$5:$J$220)/SUMIFS($J$5:$J$220,$F$5:$F$220,F433,$AS$5:$AS$220,$B$369,$AE$5:$AE$220,$B$427,$AR$5:$AR$220,$B$389),"")</f>
        <v>22</v>
      </c>
      <c r="W433" s="254" cm="1">
        <f t="array" ref="W433">IFERROR(SUMPRODUCT(--($AE$5:$AE$220=$B$427),--($F$5:$F$220=F433),--($AS$5:$AS$220=$B$369),--($AR$5:$AR$220=$B$389),$W$5:$W$220,$J$5:$J$220)/SUMIFS($J$5:$J$220,$F$5:$F$220,F433,$AS$5:$AS$220,$B$369,$AE$5:$AE$220,$B$427,$AR$5:$AR$220,$B$389),"")</f>
        <v>9</v>
      </c>
      <c r="X433" s="256" cm="1">
        <f t="array" ref="X433">IFERROR((IFERROR(SUMPRODUCT(--($F$5:$F$220=F433),--($N$5:$N$220&gt;0),--($AS$5:$AS$220=$B$369),--($AE$5:$AE$220=$B$427),$J$5:$J$220,$Q$5:$Q$220)/SUMIFS($J$5:$J$220,$F$5:$F$220,F433,$N$5:$N$220,"&gt;0",$AS$5:$AS$220,$B$369,$AE$5:$AE$220,$B$427),""))/N433-1,"NA")</f>
        <v>1.3599999999999999</v>
      </c>
      <c r="Y433" s="256"/>
      <c r="Z433" s="289">
        <f t="shared" si="224"/>
        <v>0.3203048845768357</v>
      </c>
      <c r="AG433" s="290"/>
      <c r="AH433" s="290"/>
    </row>
    <row r="434" spans="2:34">
      <c r="B434" s="291"/>
      <c r="F434" s="184" t="s">
        <v>600</v>
      </c>
      <c r="H434" s="184">
        <f t="shared" si="222"/>
        <v>0</v>
      </c>
      <c r="I434" s="254" t="str" cm="1">
        <f t="array" ref="I434">IFERROR(SUMPRODUCT(--($AE$5:$AE$220=$B$427),--($F$5:$F$220=F434),--($AS$5:$AS$220=$B$369),$J$5:$J$220,$I$5:$I$220)/SUMIFS($J$5:$J$220,$AS$5:$AS$220,$B$369,$F$5:$F$220,F434,$AE$5:$AE$220,$B$427)/12,"")</f>
        <v/>
      </c>
      <c r="J434" s="253">
        <f t="shared" si="223"/>
        <v>0</v>
      </c>
      <c r="K434" s="253"/>
      <c r="L434" s="253"/>
      <c r="M434" s="253"/>
      <c r="N434" s="254" t="str" cm="1">
        <f t="array" ref="N434">IFERROR(SUMPRODUCT(--($F$5:$F$220=F434),--($AS$5:$AS$220=$B$369),--($AE$5:$AE$220=$B$427),$J$5:$J$220,$N$5:$N$220)/SUMIFS($J$5:$J$220,$F$5:$F$220,F434,$AS$5:$AS$220,$B$369,$N$5:$N$220,"&gt;0",$AE$5:$AE$220,$B$427),"")</f>
        <v/>
      </c>
      <c r="O434" s="254" t="str" cm="1">
        <f t="array" ref="O434">IFERROR(SUMPRODUCT(--($F$5:$F$220=F434),--($AE$5:$AE$220=$B$427),--($AS$5:$AS$220=$B$369),$J$5:$J$220,$O$5:$O$220)/SUMIFS($J$5:$J$220,$F$5:$F$220,F434,$AS$5:$AS$220,$B$369,$AE$5:$AE$220,$B$427),"")</f>
        <v/>
      </c>
      <c r="P434" s="254" t="str" cm="1">
        <f t="array" ref="P434">IFERROR(SUMPRODUCT(--($AE$5:$AE$220=$B$427),--($F$5:$F$220=F434),--($AS$5:$AS$220=$B$369),$J$5:$J$220,$P$5:$P$220)/SUMIFS($J$5:$J$220,$F$5:$F$220,F434,$AS$5:$AS$220,$B$369,$P$5:$P$220,"&gt;0",$AE$5:$AE$220,$B$427),"")</f>
        <v/>
      </c>
      <c r="Q434" s="254" t="str" cm="1">
        <f t="array" ref="Q434">IFERROR(SUMPRODUCT(--($AE$5:$AE$220=$B$427),--($F$5:$F$220=F434),--($AS$5:$AS$220=$B$369),$J$5:$J$220,$Q$5:$Q$220)/SUMIFS($J$5:$J$220,$AS$5:$AS$220,$B$369,$F$5:$F$220,F434,$AE$5:$AE$220,$B$427),"")</f>
        <v/>
      </c>
      <c r="R434" s="254" t="str" cm="1">
        <f t="array" ref="R434">IFERROR(SUMPRODUCT(--($AE$5:$AE$220=$B$427),--($F$5:$F$220=F434),--($I$5:$I$220&gt;12),--($AS$5:$AS$220=$B$369),$R$5:$R$220,$J$5:$J$220)/SUMIFS($J$5:$J$220,$I$5:$I$220,"&gt;12",$F$5:$F$220,F434,$AS$5:$AS$220,$B$369,$AE$5:$AE$220,$B$427),"")</f>
        <v/>
      </c>
      <c r="S434" s="254" t="str" cm="1">
        <f t="array" ref="S434">IFERROR(SUMPRODUCT(--($AE$5:$AE$220=$B$427),--($F$5:$F$220=F434),--($I$5:$I$220&gt;12),--($AS$5:$AS$220=$B$369),$S$5:$S$220,$J$5:$J$220)/SUMIFS($J$5:$J$220,$I$5:$I$220,"&gt;12",$F$5:$F$220,F434,$AS$5:$AS$220,$B$369,$AE$5:$AE$220,$B$427),"")</f>
        <v/>
      </c>
      <c r="T434" s="254" t="str" cm="1">
        <f t="array" ref="T434">IFERROR(SUMPRODUCT(--($AE$5:$AE$220=$B$427),--($F$5:$F$220=F434),--($AS$5:$AS$220=$B$369),$T$5:$T$220,$J$5:$J$220)/SUMIFS($J$5:$J$220,$F$5:$F$220,F434,$AS$5:$AS$220,$B$369,$AE$5:$AE$220,$B$427),"")</f>
        <v/>
      </c>
      <c r="U434" s="254" t="str" cm="1">
        <f t="array" ref="U434">IFERROR(SUMPRODUCT(--($AE$5:$AE$220=$B$427),--($F$5:$F$220=F434),--($AS$5:$AS$220=$B$369),$U$5:$U$220,$J$5:$J$220)/SUMIFS($J$5:$J$220,$F$5:$F$220,F434,$AS$5:$AS$220,$B$369,$AE$5:$AE$220,$B$427),"")</f>
        <v/>
      </c>
      <c r="V434" s="254" t="str" cm="1">
        <f t="array" ref="V434">IFERROR(SUMPRODUCT(--($AE$5:$AE$220=$B$427),--($F$5:$F$220=F434),--($AS$5:$AS$220=$B$369),--($AR$5:$AR$220=$B$389),$V$5:$V$220,$J$5:$J$220)/SUMIFS($J$5:$J$220,$F$5:$F$220,F434,$AS$5:$AS$220,$B$369,$AE$5:$AE$220,$B$427,$AR$5:$AR$220,$B$389),"")</f>
        <v/>
      </c>
      <c r="W434" s="254" t="str" cm="1">
        <f t="array" ref="W434">IFERROR(SUMPRODUCT(--($AE$5:$AE$220=$B$427),--($F$5:$F$220=F434),--($AS$5:$AS$220=$B$369),--($AR$5:$AR$220=$B$389),$W$5:$W$220,$J$5:$J$220)/SUMIFS($J$5:$J$220,$F$5:$F$220,F434,$AS$5:$AS$220,$B$369,$AE$5:$AE$220,$B$427,$AR$5:$AR$220,$B$389),"")</f>
        <v/>
      </c>
      <c r="X434" s="256" t="str" cm="1">
        <f t="array" ref="X434">IFERROR((IFERROR(SUMPRODUCT(--($F$5:$F$220=F434),--($N$5:$N$220&gt;0),--($AS$5:$AS$220=$B$369),--($AE$5:$AE$220=$B$427),$J$5:$J$220,$Q$5:$Q$220)/SUMIFS($J$5:$J$220,$F$5:$F$220,F434,$N$5:$N$220,"&gt;0",$AS$5:$AS$220,$B$369,$AE$5:$AE$220,$B$427),""))/N434-1,"NA")</f>
        <v>NA</v>
      </c>
      <c r="Y434" s="256"/>
      <c r="Z434" s="289" t="str">
        <f t="shared" si="224"/>
        <v>NA</v>
      </c>
      <c r="AG434" s="290"/>
      <c r="AH434" s="290"/>
    </row>
    <row r="435" spans="2:34">
      <c r="B435" s="291"/>
      <c r="F435" s="184" t="s">
        <v>221</v>
      </c>
      <c r="H435" s="184">
        <f t="shared" si="222"/>
        <v>0</v>
      </c>
      <c r="I435" s="254" t="str" cm="1">
        <f t="array" ref="I435">IFERROR(SUMPRODUCT(--($AE$5:$AE$220=$B$427),--($F$5:$F$220=F435),--($AS$5:$AS$220=$B$369),$J$5:$J$220,$I$5:$I$220)/SUMIFS($J$5:$J$220,$AS$5:$AS$220,$B$369,$F$5:$F$220,F435,$AE$5:$AE$220,$B$427)/12,"")</f>
        <v/>
      </c>
      <c r="J435" s="253">
        <f t="shared" si="223"/>
        <v>0</v>
      </c>
      <c r="K435" s="253"/>
      <c r="L435" s="253"/>
      <c r="M435" s="253"/>
      <c r="N435" s="254" t="str" cm="1">
        <f t="array" ref="N435">IFERROR(SUMPRODUCT(--($F$5:$F$220=F435),--($AS$5:$AS$220=$B$369),--($AE$5:$AE$220=$B$427),$J$5:$J$220,$N$5:$N$220)/SUMIFS($J$5:$J$220,$F$5:$F$220,F435,$AS$5:$AS$220,$B$369,$N$5:$N$220,"&gt;0",$AE$5:$AE$220,$B$427),"")</f>
        <v/>
      </c>
      <c r="O435" s="254" t="str" cm="1">
        <f t="array" ref="O435">IFERROR(SUMPRODUCT(--($F$5:$F$220=F435),--($AE$5:$AE$220=$B$427),--($AS$5:$AS$220=$B$369),$J$5:$J$220,$O$5:$O$220)/SUMIFS($J$5:$J$220,$F$5:$F$220,F435,$AS$5:$AS$220,$B$369,$AE$5:$AE$220,$B$427),"")</f>
        <v/>
      </c>
      <c r="P435" s="254" t="str" cm="1">
        <f t="array" ref="P435">IFERROR(SUMPRODUCT(--($AE$5:$AE$220=$B$427),--($F$5:$F$220=F435),--($AS$5:$AS$220=$B$369),$J$5:$J$220,$P$5:$P$220)/SUMIFS($J$5:$J$220,$F$5:$F$220,F435,$AS$5:$AS$220,$B$369,$P$5:$P$220,"&gt;0",$AE$5:$AE$220,$B$427),"")</f>
        <v/>
      </c>
      <c r="Q435" s="254" t="str" cm="1">
        <f t="array" ref="Q435">IFERROR(SUMPRODUCT(--($AE$5:$AE$220=$B$427),--($F$5:$F$220=F435),--($AS$5:$AS$220=$B$369),$J$5:$J$220,$Q$5:$Q$220)/SUMIFS($J$5:$J$220,$AS$5:$AS$220,$B$369,$F$5:$F$220,F435,$AE$5:$AE$220,$B$427),"")</f>
        <v/>
      </c>
      <c r="R435" s="254" t="str" cm="1">
        <f t="array" ref="R435">IFERROR(SUMPRODUCT(--($AE$5:$AE$220=$B$427),--($F$5:$F$220=F435),--($I$5:$I$220&gt;12),--($AS$5:$AS$220=$B$369),$R$5:$R$220,$J$5:$J$220)/SUMIFS($J$5:$J$220,$I$5:$I$220,"&gt;12",$F$5:$F$220,F435,$AS$5:$AS$220,$B$369,$AE$5:$AE$220,$B$427),"")</f>
        <v/>
      </c>
      <c r="S435" s="254" t="str" cm="1">
        <f t="array" ref="S435">IFERROR(SUMPRODUCT(--($AE$5:$AE$220=$B$427),--($F$5:$F$220=F435),--($I$5:$I$220&gt;12),--($AS$5:$AS$220=$B$369),$S$5:$S$220,$J$5:$J$220)/SUMIFS($J$5:$J$220,$I$5:$I$220,"&gt;12",$F$5:$F$220,F435,$AS$5:$AS$220,$B$369,$AE$5:$AE$220,$B$427),"")</f>
        <v/>
      </c>
      <c r="T435" s="254" t="str" cm="1">
        <f t="array" ref="T435">IFERROR(SUMPRODUCT(--($AE$5:$AE$220=$B$427),--($F$5:$F$220=F435),--($AS$5:$AS$220=$B$369),$T$5:$T$220,$J$5:$J$220)/SUMIFS($J$5:$J$220,$F$5:$F$220,F435,$AS$5:$AS$220,$B$369,$AE$5:$AE$220,$B$427),"")</f>
        <v/>
      </c>
      <c r="U435" s="254" t="str" cm="1">
        <f t="array" ref="U435">IFERROR(SUMPRODUCT(--($AE$5:$AE$220=$B$427),--($F$5:$F$220=F435),--($AS$5:$AS$220=$B$369),$U$5:$U$220,$J$5:$J$220)/SUMIFS($J$5:$J$220,$F$5:$F$220,F435,$AS$5:$AS$220,$B$369,$AE$5:$AE$220,$B$427),"")</f>
        <v/>
      </c>
      <c r="V435" s="254" t="str" cm="1">
        <f t="array" ref="V435">IFERROR(SUMPRODUCT(--($AE$5:$AE$220=$B$427),--($F$5:$F$220=F435),--($AS$5:$AS$220=$B$369),--($AR$5:$AR$220=$B$389),$V$5:$V$220,$J$5:$J$220)/SUMIFS($J$5:$J$220,$F$5:$F$220,F435,$AS$5:$AS$220,$B$369,$AE$5:$AE$220,$B$427,$AR$5:$AR$220,$B$389),"")</f>
        <v/>
      </c>
      <c r="W435" s="254" t="str" cm="1">
        <f t="array" ref="W435">IFERROR(SUMPRODUCT(--($AE$5:$AE$220=$B$427),--($F$5:$F$220=F435),--($AS$5:$AS$220=$B$369),--($AR$5:$AR$220=$B$389),$W$5:$W$220,$J$5:$J$220)/SUMIFS($J$5:$J$220,$F$5:$F$220,F435,$AS$5:$AS$220,$B$369,$AE$5:$AE$220,$B$427,$AR$5:$AR$220,$B$389),"")</f>
        <v/>
      </c>
      <c r="X435" s="256" t="str" cm="1">
        <f t="array" ref="X435">IFERROR((IFERROR(SUMPRODUCT(--($F$5:$F$220=F435),--($N$5:$N$220&gt;0),--($AS$5:$AS$220=$B$369),--($AE$5:$AE$220=$B$427),$J$5:$J$220,$Q$5:$Q$220)/SUMIFS($J$5:$J$220,$F$5:$F$220,F435,$N$5:$N$220,"&gt;0",$AS$5:$AS$220,$B$369,$AE$5:$AE$220,$B$427),""))/N435-1,"NA")</f>
        <v>NA</v>
      </c>
      <c r="Y435" s="256"/>
      <c r="Z435" s="289" t="str">
        <f t="shared" si="224"/>
        <v>NA</v>
      </c>
      <c r="AG435" s="290"/>
      <c r="AH435" s="290"/>
    </row>
    <row r="436" spans="2:34">
      <c r="B436" s="291"/>
      <c r="F436" s="184" t="s">
        <v>158</v>
      </c>
      <c r="H436" s="184">
        <f t="shared" si="222"/>
        <v>0</v>
      </c>
      <c r="I436" s="254" t="str" cm="1">
        <f t="array" ref="I436">IFERROR(SUMPRODUCT(--($AE$5:$AE$220=$B$427),--($F$5:$F$220=F436),--($AS$5:$AS$220=$B$369),$J$5:$J$220,$I$5:$I$220)/SUMIFS($J$5:$J$220,$AS$5:$AS$220,$B$369,$F$5:$F$220,F436,$AE$5:$AE$220,$B$427)/12,"")</f>
        <v/>
      </c>
      <c r="J436" s="253">
        <f t="shared" si="223"/>
        <v>0</v>
      </c>
      <c r="K436" s="253"/>
      <c r="L436" s="253"/>
      <c r="M436" s="253"/>
      <c r="N436" s="254" t="str" cm="1">
        <f t="array" ref="N436">IFERROR(SUMPRODUCT(--($F$5:$F$220=F436),--($AS$5:$AS$220=$B$369),--($AE$5:$AE$220=$B$427),$J$5:$J$220,$N$5:$N$220)/SUMIFS($J$5:$J$220,$F$5:$F$220,F436,$AS$5:$AS$220,$B$369,$N$5:$N$220,"&gt;0",$AE$5:$AE$220,$B$427),"")</f>
        <v/>
      </c>
      <c r="O436" s="254" t="str" cm="1">
        <f t="array" ref="O436">IFERROR(SUMPRODUCT(--($F$5:$F$220=F436),--($AE$5:$AE$220=$B$427),--($AS$5:$AS$220=$B$369),$J$5:$J$220,$O$5:$O$220)/SUMIFS($J$5:$J$220,$F$5:$F$220,F436,$AS$5:$AS$220,$B$369,$AE$5:$AE$220,$B$427),"")</f>
        <v/>
      </c>
      <c r="P436" s="254" t="str" cm="1">
        <f t="array" ref="P436">IFERROR(SUMPRODUCT(--($AE$5:$AE$220=$B$427),--($F$5:$F$220=F436),--($AS$5:$AS$220=$B$369),$J$5:$J$220,$P$5:$P$220)/SUMIFS($J$5:$J$220,$F$5:$F$220,F436,$AS$5:$AS$220,$B$369,$P$5:$P$220,"&gt;0",$AE$5:$AE$220,$B$427),"")</f>
        <v/>
      </c>
      <c r="Q436" s="254" t="str" cm="1">
        <f t="array" ref="Q436">IFERROR(SUMPRODUCT(--($AE$5:$AE$220=$B$427),--($F$5:$F$220=F436),--($AS$5:$AS$220=$B$369),$J$5:$J$220,$Q$5:$Q$220)/SUMIFS($J$5:$J$220,$AS$5:$AS$220,$B$369,$F$5:$F$220,F436,$AE$5:$AE$220,$B$427),"")</f>
        <v/>
      </c>
      <c r="R436" s="254" t="str" cm="1">
        <f t="array" ref="R436">IFERROR(SUMPRODUCT(--($AE$5:$AE$220=$B$427),--($F$5:$F$220=F436),--($I$5:$I$220&gt;12),--($AS$5:$AS$220=$B$369),$R$5:$R$220,$J$5:$J$220)/SUMIFS($J$5:$J$220,$I$5:$I$220,"&gt;12",$F$5:$F$220,F436,$AS$5:$AS$220,$B$369,$AE$5:$AE$220,$B$427),"")</f>
        <v/>
      </c>
      <c r="S436" s="254" t="str" cm="1">
        <f t="array" ref="S436">IFERROR(SUMPRODUCT(--($AE$5:$AE$220=$B$427),--($F$5:$F$220=F436),--($I$5:$I$220&gt;12),--($AS$5:$AS$220=$B$369),$S$5:$S$220,$J$5:$J$220)/SUMIFS($J$5:$J$220,$I$5:$I$220,"&gt;12",$F$5:$F$220,F436,$AS$5:$AS$220,$B$369,$AE$5:$AE$220,$B$427),"")</f>
        <v/>
      </c>
      <c r="T436" s="254" t="str" cm="1">
        <f t="array" ref="T436">IFERROR(SUMPRODUCT(--($AE$5:$AE$220=$B$427),--($F$5:$F$220=F436),--($AS$5:$AS$220=$B$369),$T$5:$T$220,$J$5:$J$220)/SUMIFS($J$5:$J$220,$F$5:$F$220,F436,$AS$5:$AS$220,$B$369,$AE$5:$AE$220,$B$427),"")</f>
        <v/>
      </c>
      <c r="U436" s="254" t="str" cm="1">
        <f t="array" ref="U436">IFERROR(SUMPRODUCT(--($AE$5:$AE$220=$B$427),--($F$5:$F$220=F436),--($AS$5:$AS$220=$B$369),$U$5:$U$220,$J$5:$J$220)/SUMIFS($J$5:$J$220,$F$5:$F$220,F436,$AS$5:$AS$220,$B$369,$AE$5:$AE$220,$B$427),"")</f>
        <v/>
      </c>
      <c r="V436" s="254" t="str" cm="1">
        <f t="array" ref="V436">IFERROR(SUMPRODUCT(--($AE$5:$AE$220=$B$427),--($F$5:$F$220=F436),--($AS$5:$AS$220=$B$369),--($AR$5:$AR$220=$B$389),$V$5:$V$220,$J$5:$J$220)/SUMIFS($J$5:$J$220,$F$5:$F$220,F436,$AS$5:$AS$220,$B$369,$AE$5:$AE$220,$B$427,$AR$5:$AR$220,$B$389),"")</f>
        <v/>
      </c>
      <c r="W436" s="254" t="str" cm="1">
        <f t="array" ref="W436">IFERROR(SUMPRODUCT(--($AE$5:$AE$220=$B$427),--($F$5:$F$220=F436),--($AS$5:$AS$220=$B$369),--($AR$5:$AR$220=$B$389),$W$5:$W$220,$J$5:$J$220)/SUMIFS($J$5:$J$220,$F$5:$F$220,F436,$AS$5:$AS$220,$B$369,$AE$5:$AE$220,$B$427,$AR$5:$AR$220,$B$389),"")</f>
        <v/>
      </c>
      <c r="X436" s="256" t="str" cm="1">
        <f t="array" ref="X436">IFERROR((IFERROR(SUMPRODUCT(--($F$5:$F$220=F436),--($N$5:$N$220&gt;0),--($AS$5:$AS$220=$B$369),--($AE$5:$AE$220=$B$427),$J$5:$J$220,$Q$5:$Q$220)/SUMIFS($J$5:$J$220,$F$5:$F$220,F436,$N$5:$N$220,"&gt;0",$AS$5:$AS$220,$B$369,$AE$5:$AE$220,$B$427),""))/N436-1,"NA")</f>
        <v>NA</v>
      </c>
      <c r="Y436" s="256"/>
      <c r="Z436" s="289" t="str">
        <f t="shared" si="224"/>
        <v>NA</v>
      </c>
      <c r="AG436" s="290"/>
      <c r="AH436" s="290"/>
    </row>
    <row r="437" spans="2:34">
      <c r="B437" s="291"/>
      <c r="F437" s="184" t="s">
        <v>474</v>
      </c>
      <c r="H437" s="184">
        <f t="shared" si="222"/>
        <v>0</v>
      </c>
      <c r="I437" s="254" t="str" cm="1">
        <f t="array" ref="I437">IFERROR(SUMPRODUCT(--($AE$5:$AE$220=$B$427),--($F$5:$F$220=F437),--($AS$5:$AS$220=$B$369),$J$5:$J$220,$I$5:$I$220)/SUMIFS($J$5:$J$220,$AS$5:$AS$220,$B$369,$F$5:$F$220,F437,$AE$5:$AE$220,$B$427)/12,"")</f>
        <v/>
      </c>
      <c r="J437" s="253">
        <f t="shared" si="223"/>
        <v>0</v>
      </c>
      <c r="K437" s="253"/>
      <c r="L437" s="253"/>
      <c r="M437" s="253"/>
      <c r="N437" s="254" t="str" cm="1">
        <f t="array" ref="N437">IFERROR(SUMPRODUCT(--($F$5:$F$220=F437),--($AS$5:$AS$220=$B$369),--($AE$5:$AE$220=$B$427),$J$5:$J$220,$N$5:$N$220)/SUMIFS($J$5:$J$220,$F$5:$F$220,F437,$AS$5:$AS$220,$B$369,$N$5:$N$220,"&gt;0",$AE$5:$AE$220,$B$427),"")</f>
        <v/>
      </c>
      <c r="O437" s="254" t="str" cm="1">
        <f t="array" ref="O437">IFERROR(SUMPRODUCT(--($F$5:$F$220=F437),--($AE$5:$AE$220=$B$427),--($AS$5:$AS$220=$B$369),$J$5:$J$220,$O$5:$O$220)/SUMIFS($J$5:$J$220,$F$5:$F$220,F437,$AS$5:$AS$220,$B$369,$AE$5:$AE$220,$B$427),"")</f>
        <v/>
      </c>
      <c r="P437" s="254" t="str" cm="1">
        <f t="array" ref="P437">IFERROR(SUMPRODUCT(--($AE$5:$AE$220=$B$427),--($F$5:$F$220=F437),--($AS$5:$AS$220=$B$369),$J$5:$J$220,$P$5:$P$220)/SUMIFS($J$5:$J$220,$F$5:$F$220,F437,$AS$5:$AS$220,$B$369,$P$5:$P$220,"&gt;0",$AE$5:$AE$220,$B$427),"")</f>
        <v/>
      </c>
      <c r="Q437" s="254" t="str" cm="1">
        <f t="array" ref="Q437">IFERROR(SUMPRODUCT(--($AE$5:$AE$220=$B$427),--($F$5:$F$220=F437),--($AS$5:$AS$220=$B$369),$J$5:$J$220,$Q$5:$Q$220)/SUMIFS($J$5:$J$220,$AS$5:$AS$220,$B$369,$F$5:$F$220,F437,$AE$5:$AE$220,$B$427),"")</f>
        <v/>
      </c>
      <c r="R437" s="254" t="str" cm="1">
        <f t="array" ref="R437">IFERROR(SUMPRODUCT(--($AE$5:$AE$220=$B$427),--($F$5:$F$220=F437),--($I$5:$I$220&gt;12),--($AS$5:$AS$220=$B$369),$R$5:$R$220,$J$5:$J$220)/SUMIFS($J$5:$J$220,$I$5:$I$220,"&gt;12",$F$5:$F$220,F437,$AS$5:$AS$220,$B$369,$AE$5:$AE$220,$B$427),"")</f>
        <v/>
      </c>
      <c r="S437" s="254" t="str" cm="1">
        <f t="array" ref="S437">IFERROR(SUMPRODUCT(--($AE$5:$AE$220=$B$427),--($F$5:$F$220=F437),--($I$5:$I$220&gt;12),--($AS$5:$AS$220=$B$369),$S$5:$S$220,$J$5:$J$220)/SUMIFS($J$5:$J$220,$I$5:$I$220,"&gt;12",$F$5:$F$220,F437,$AS$5:$AS$220,$B$369,$AE$5:$AE$220,$B$427),"")</f>
        <v/>
      </c>
      <c r="T437" s="254" t="str" cm="1">
        <f t="array" ref="T437">IFERROR(SUMPRODUCT(--($AE$5:$AE$220=$B$427),--($F$5:$F$220=F437),--($AS$5:$AS$220=$B$369),$T$5:$T$220,$J$5:$J$220)/SUMIFS($J$5:$J$220,$F$5:$F$220,F437,$AS$5:$AS$220,$B$369,$AE$5:$AE$220,$B$427),"")</f>
        <v/>
      </c>
      <c r="U437" s="254" t="str" cm="1">
        <f t="array" ref="U437">IFERROR(SUMPRODUCT(--($AE$5:$AE$220=$B$427),--($F$5:$F$220=F437),--($AS$5:$AS$220=$B$369),$U$5:$U$220,$J$5:$J$220)/SUMIFS($J$5:$J$220,$F$5:$F$220,F437,$AS$5:$AS$220,$B$369,$AE$5:$AE$220,$B$427),"")</f>
        <v/>
      </c>
      <c r="V437" s="254" t="str" cm="1">
        <f t="array" ref="V437">IFERROR(SUMPRODUCT(--($AE$5:$AE$220=$B$427),--($F$5:$F$220=F437),--($AS$5:$AS$220=$B$369),--($AR$5:$AR$220=$B$389),$V$5:$V$220,$J$5:$J$220)/SUMIFS($J$5:$J$220,$F$5:$F$220,F437,$AS$5:$AS$220,$B$369,$AE$5:$AE$220,$B$427,$AR$5:$AR$220,$B$389),"")</f>
        <v/>
      </c>
      <c r="W437" s="254" t="str" cm="1">
        <f t="array" ref="W437">IFERROR(SUMPRODUCT(--($AE$5:$AE$220=$B$427),--($F$5:$F$220=F437),--($AS$5:$AS$220=$B$369),--($AR$5:$AR$220=$B$389),$W$5:$W$220,$J$5:$J$220)/SUMIFS($J$5:$J$220,$F$5:$F$220,F437,$AS$5:$AS$220,$B$369,$AE$5:$AE$220,$B$427,$AR$5:$AR$220,$B$389),"")</f>
        <v/>
      </c>
      <c r="X437" s="256" t="str" cm="1">
        <f t="array" ref="X437">IFERROR((IFERROR(SUMPRODUCT(--($F$5:$F$220=F437),--($N$5:$N$220&gt;0),--($AS$5:$AS$220=$B$369),--($AE$5:$AE$220=$B$427),$J$5:$J$220,$Q$5:$Q$220)/SUMIFS($J$5:$J$220,$F$5:$F$220,F437,$N$5:$N$220,"&gt;0",$AS$5:$AS$220,$B$369,$AE$5:$AE$220,$B$427),""))/N437-1,"NA")</f>
        <v>NA</v>
      </c>
      <c r="Y437" s="256"/>
      <c r="Z437" s="289" t="str">
        <f t="shared" si="224"/>
        <v>NA</v>
      </c>
      <c r="AG437" s="290"/>
      <c r="AH437" s="290"/>
    </row>
    <row r="438" spans="2:34">
      <c r="B438" s="291"/>
      <c r="F438" s="184" t="s">
        <v>173</v>
      </c>
      <c r="H438" s="184">
        <f t="shared" si="222"/>
        <v>0</v>
      </c>
      <c r="I438" s="254" t="str" cm="1">
        <f t="array" ref="I438">IFERROR(SUMPRODUCT(--($AE$5:$AE$220=$B$427),--($F$5:$F$220=F438),--($AS$5:$AS$220=$B$369),$J$5:$J$220,$I$5:$I$220)/SUMIFS($J$5:$J$220,$AS$5:$AS$220,$B$369,$F$5:$F$220,F438,$AE$5:$AE$220,$B$427)/12,"")</f>
        <v/>
      </c>
      <c r="J438" s="253">
        <f t="shared" si="223"/>
        <v>0</v>
      </c>
      <c r="K438" s="253"/>
      <c r="L438" s="253"/>
      <c r="M438" s="253"/>
      <c r="N438" s="254" t="str" cm="1">
        <f t="array" ref="N438">IFERROR(SUMPRODUCT(--($F$5:$F$220=F438),--($AS$5:$AS$220=$B$369),--($AE$5:$AE$220=$B$427),$J$5:$J$220,$N$5:$N$220)/SUMIFS($J$5:$J$220,$F$5:$F$220,F438,$AS$5:$AS$220,$B$369,$N$5:$N$220,"&gt;0",$AE$5:$AE$220,$B$427),"")</f>
        <v/>
      </c>
      <c r="O438" s="254" t="str" cm="1">
        <f t="array" ref="O438">IFERROR(SUMPRODUCT(--($F$5:$F$220=F438),--($AE$5:$AE$220=$B$427),--($AS$5:$AS$220=$B$369),$J$5:$J$220,$O$5:$O$220)/SUMIFS($J$5:$J$220,$F$5:$F$220,F438,$AS$5:$AS$220,$B$369,$AE$5:$AE$220,$B$427),"")</f>
        <v/>
      </c>
      <c r="P438" s="254" t="str" cm="1">
        <f t="array" ref="P438">IFERROR(SUMPRODUCT(--($AE$5:$AE$220=$B$427),--($F$5:$F$220=F438),--($AS$5:$AS$220=$B$369),$J$5:$J$220,$P$5:$P$220)/SUMIFS($J$5:$J$220,$F$5:$F$220,F438,$AS$5:$AS$220,$B$369,$P$5:$P$220,"&gt;0",$AE$5:$AE$220,$B$427),"")</f>
        <v/>
      </c>
      <c r="Q438" s="254" t="str" cm="1">
        <f t="array" ref="Q438">IFERROR(SUMPRODUCT(--($AE$5:$AE$220=$B$427),--($F$5:$F$220=F438),--($AS$5:$AS$220=$B$369),$J$5:$J$220,$Q$5:$Q$220)/SUMIFS($J$5:$J$220,$AS$5:$AS$220,$B$369,$F$5:$F$220,F438,$AE$5:$AE$220,$B$427),"")</f>
        <v/>
      </c>
      <c r="R438" s="254" t="str" cm="1">
        <f t="array" ref="R438">IFERROR(SUMPRODUCT(--($AE$5:$AE$220=$B$427),--($F$5:$F$220=F438),--($I$5:$I$220&gt;12),--($AS$5:$AS$220=$B$369),$R$5:$R$220,$J$5:$J$220)/SUMIFS($J$5:$J$220,$I$5:$I$220,"&gt;12",$F$5:$F$220,F438,$AS$5:$AS$220,$B$369,$AE$5:$AE$220,$B$427),"")</f>
        <v/>
      </c>
      <c r="S438" s="254" t="str" cm="1">
        <f t="array" ref="S438">IFERROR(SUMPRODUCT(--($AE$5:$AE$220=$B$427),--($F$5:$F$220=F438),--($I$5:$I$220&gt;12),--($AS$5:$AS$220=$B$369),$S$5:$S$220,$J$5:$J$220)/SUMIFS($J$5:$J$220,$I$5:$I$220,"&gt;12",$F$5:$F$220,F438,$AS$5:$AS$220,$B$369,$AE$5:$AE$220,$B$427),"")</f>
        <v/>
      </c>
      <c r="T438" s="254" t="str" cm="1">
        <f t="array" ref="T438">IFERROR(SUMPRODUCT(--($AE$5:$AE$220=$B$427),--($F$5:$F$220=F438),--($AS$5:$AS$220=$B$369),$T$5:$T$220,$J$5:$J$220)/SUMIFS($J$5:$J$220,$F$5:$F$220,F438,$AS$5:$AS$220,$B$369,$AE$5:$AE$220,$B$427),"")</f>
        <v/>
      </c>
      <c r="U438" s="254" t="str" cm="1">
        <f t="array" ref="U438">IFERROR(SUMPRODUCT(--($AE$5:$AE$220=$B$427),--($F$5:$F$220=F438),--($AS$5:$AS$220=$B$369),$U$5:$U$220,$J$5:$J$220)/SUMIFS($J$5:$J$220,$F$5:$F$220,F438,$AS$5:$AS$220,$B$369,$AE$5:$AE$220,$B$427),"")</f>
        <v/>
      </c>
      <c r="V438" s="254" t="str" cm="1">
        <f t="array" ref="V438">IFERROR(SUMPRODUCT(--($AE$5:$AE$220=$B$427),--($F$5:$F$220=F438),--($AS$5:$AS$220=$B$369),--($AR$5:$AR$220=$B$389),$V$5:$V$220,$J$5:$J$220)/SUMIFS($J$5:$J$220,$F$5:$F$220,F438,$AS$5:$AS$220,$B$369,$AE$5:$AE$220,$B$427,$AR$5:$AR$220,$B$389),"")</f>
        <v/>
      </c>
      <c r="W438" s="254" t="str" cm="1">
        <f t="array" ref="W438">IFERROR(SUMPRODUCT(--($AE$5:$AE$220=$B$427),--($F$5:$F$220=F438),--($AS$5:$AS$220=$B$369),--($AR$5:$AR$220=$B$389),$W$5:$W$220,$J$5:$J$220)/SUMIFS($J$5:$J$220,$F$5:$F$220,F438,$AS$5:$AS$220,$B$369,$AE$5:$AE$220,$B$427,$AR$5:$AR$220,$B$389),"")</f>
        <v/>
      </c>
      <c r="X438" s="256" t="str" cm="1">
        <f t="array" ref="X438">IFERROR((IFERROR(SUMPRODUCT(--($F$5:$F$220=F438),--($N$5:$N$220&gt;0),--($AS$5:$AS$220=$B$369),--($AE$5:$AE$220=$B$427),$J$5:$J$220,$Q$5:$Q$220)/SUMIFS($J$5:$J$220,$F$5:$F$220,F438,$N$5:$N$220,"&gt;0",$AS$5:$AS$220,$B$369,$AE$5:$AE$220,$B$427),""))/N438-1,"NA")</f>
        <v>NA</v>
      </c>
      <c r="Y438" s="256"/>
      <c r="Z438" s="289" t="str">
        <f t="shared" si="224"/>
        <v>NA</v>
      </c>
      <c r="AG438" s="290"/>
      <c r="AH438" s="290"/>
    </row>
    <row r="439" spans="2:34">
      <c r="B439" s="291"/>
      <c r="F439" s="184" t="s">
        <v>274</v>
      </c>
      <c r="H439" s="184">
        <f t="shared" si="222"/>
        <v>0</v>
      </c>
      <c r="I439" s="254" t="str" cm="1">
        <f t="array" ref="I439">IFERROR(SUMPRODUCT(--($AE$5:$AE$220=$B$427),--($F$5:$F$220=F439),--($AS$5:$AS$220=$B$369),$J$5:$J$220,$I$5:$I$220)/SUMIFS($J$5:$J$220,$AS$5:$AS$220,$B$369,$F$5:$F$220,F439,$AE$5:$AE$220,$B$427)/12,"")</f>
        <v/>
      </c>
      <c r="J439" s="253">
        <f t="shared" si="223"/>
        <v>0</v>
      </c>
      <c r="K439" s="253"/>
      <c r="L439" s="253"/>
      <c r="M439" s="253"/>
      <c r="N439" s="254" t="str" cm="1">
        <f t="array" ref="N439">IFERROR(SUMPRODUCT(--($F$5:$F$220=F439),--($AS$5:$AS$220=$B$369),--($AE$5:$AE$220=$B$427),$J$5:$J$220,$N$5:$N$220)/SUMIFS($J$5:$J$220,$F$5:$F$220,F439,$AS$5:$AS$220,$B$369,$N$5:$N$220,"&gt;0",$AE$5:$AE$220,$B$427),"")</f>
        <v/>
      </c>
      <c r="O439" s="254" t="str" cm="1">
        <f t="array" ref="O439">IFERROR(SUMPRODUCT(--($F$5:$F$220=F439),--($AE$5:$AE$220=$B$427),--($AS$5:$AS$220=$B$369),$J$5:$J$220,$O$5:$O$220)/SUMIFS($J$5:$J$220,$F$5:$F$220,F439,$AS$5:$AS$220,$B$369,$AE$5:$AE$220,$B$427),"")</f>
        <v/>
      </c>
      <c r="P439" s="254" t="str" cm="1">
        <f t="array" ref="P439">IFERROR(SUMPRODUCT(--($AE$5:$AE$220=$B$427),--($F$5:$F$220=F439),--($AS$5:$AS$220=$B$369),$J$5:$J$220,$P$5:$P$220)/SUMIFS($J$5:$J$220,$F$5:$F$220,F439,$AS$5:$AS$220,$B$369,$P$5:$P$220,"&gt;0",$AE$5:$AE$220,$B$427),"")</f>
        <v/>
      </c>
      <c r="Q439" s="254" t="str" cm="1">
        <f t="array" ref="Q439">IFERROR(SUMPRODUCT(--($AE$5:$AE$220=$B$427),--($F$5:$F$220=F439),--($AS$5:$AS$220=$B$369),$J$5:$J$220,$Q$5:$Q$220)/SUMIFS($J$5:$J$220,$AS$5:$AS$220,$B$369,$F$5:$F$220,F439,$AE$5:$AE$220,$B$427),"")</f>
        <v/>
      </c>
      <c r="R439" s="254" t="str" cm="1">
        <f t="array" ref="R439">IFERROR(SUMPRODUCT(--($AE$5:$AE$220=$B$427),--($F$5:$F$220=F439),--($I$5:$I$220&gt;12),--($AS$5:$AS$220=$B$369),$R$5:$R$220,$J$5:$J$220)/SUMIFS($J$5:$J$220,$I$5:$I$220,"&gt;12",$F$5:$F$220,F439,$AS$5:$AS$220,$B$369,$AE$5:$AE$220,$B$427),"")</f>
        <v/>
      </c>
      <c r="S439" s="254" t="str" cm="1">
        <f t="array" ref="S439">IFERROR(SUMPRODUCT(--($AE$5:$AE$220=$B$427),--($F$5:$F$220=F439),--($I$5:$I$220&gt;12),--($AS$5:$AS$220=$B$369),$S$5:$S$220,$J$5:$J$220)/SUMIFS($J$5:$J$220,$I$5:$I$220,"&gt;12",$F$5:$F$220,F439,$AS$5:$AS$220,$B$369,$AE$5:$AE$220,$B$427),"")</f>
        <v/>
      </c>
      <c r="T439" s="254" t="str" cm="1">
        <f t="array" ref="T439">IFERROR(SUMPRODUCT(--($AE$5:$AE$220=$B$427),--($F$5:$F$220=F439),--($AS$5:$AS$220=$B$369),$T$5:$T$220,$J$5:$J$220)/SUMIFS($J$5:$J$220,$F$5:$F$220,F439,$AS$5:$AS$220,$B$369,$AE$5:$AE$220,$B$427),"")</f>
        <v/>
      </c>
      <c r="U439" s="254" t="str" cm="1">
        <f t="array" ref="U439">IFERROR(SUMPRODUCT(--($AE$5:$AE$220=$B$427),--($F$5:$F$220=F439),--($AS$5:$AS$220=$B$369),$U$5:$U$220,$J$5:$J$220)/SUMIFS($J$5:$J$220,$F$5:$F$220,F439,$AS$5:$AS$220,$B$369,$AE$5:$AE$220,$B$427),"")</f>
        <v/>
      </c>
      <c r="V439" s="254" t="str" cm="1">
        <f t="array" ref="V439">IFERROR(SUMPRODUCT(--($AE$5:$AE$220=$B$427),--($F$5:$F$220=F439),--($AS$5:$AS$220=$B$369),--($AR$5:$AR$220=$B$389),$V$5:$V$220,$J$5:$J$220)/SUMIFS($J$5:$J$220,$F$5:$F$220,F439,$AS$5:$AS$220,$B$369,$AE$5:$AE$220,$B$427,$AR$5:$AR$220,$B$389),"")</f>
        <v/>
      </c>
      <c r="W439" s="254" t="str" cm="1">
        <f t="array" ref="W439">IFERROR(SUMPRODUCT(--($AE$5:$AE$220=$B$427),--($F$5:$F$220=F439),--($AS$5:$AS$220=$B$369),--($AR$5:$AR$220=$B$389),$W$5:$W$220,$J$5:$J$220)/SUMIFS($J$5:$J$220,$F$5:$F$220,F439,$AS$5:$AS$220,$B$369,$AE$5:$AE$220,$B$427,$AR$5:$AR$220,$B$389),"")</f>
        <v/>
      </c>
      <c r="X439" s="256" t="str" cm="1">
        <f t="array" ref="X439">IFERROR((IFERROR(SUMPRODUCT(--($F$5:$F$220=F439),--($N$5:$N$220&gt;0),--($AS$5:$AS$220=$B$369),--($AE$5:$AE$220=$B$427),$J$5:$J$220,$Q$5:$Q$220)/SUMIFS($J$5:$J$220,$F$5:$F$220,F439,$N$5:$N$220,"&gt;0",$AS$5:$AS$220,$B$369,$AE$5:$AE$220,$B$427),""))/N439-1,"NA")</f>
        <v>NA</v>
      </c>
      <c r="Y439" s="256"/>
      <c r="Z439" s="289" t="str">
        <f t="shared" si="224"/>
        <v>NA</v>
      </c>
      <c r="AG439" s="290"/>
      <c r="AH439" s="290"/>
    </row>
    <row r="440" spans="2:34">
      <c r="B440" s="291"/>
      <c r="F440" s="184" t="s">
        <v>177</v>
      </c>
      <c r="H440" s="184">
        <f t="shared" si="222"/>
        <v>0</v>
      </c>
      <c r="I440" s="254" t="str" cm="1">
        <f t="array" ref="I440">IFERROR(SUMPRODUCT(--($AE$5:$AE$220=$B$427),--($F$5:$F$220=F440),--($AS$5:$AS$220=$B$369),$J$5:$J$220,$I$5:$I$220)/SUMIFS($J$5:$J$220,$AS$5:$AS$220,$B$369,$F$5:$F$220,F440,$AE$5:$AE$220,$B$427)/12,"")</f>
        <v/>
      </c>
      <c r="J440" s="253">
        <f t="shared" si="223"/>
        <v>0</v>
      </c>
      <c r="K440" s="253"/>
      <c r="L440" s="253"/>
      <c r="M440" s="253"/>
      <c r="N440" s="254" t="str" cm="1">
        <f t="array" ref="N440">IFERROR(SUMPRODUCT(--($F$5:$F$220=F440),--($AS$5:$AS$220=$B$369),--($AE$5:$AE$220=$B$427),$J$5:$J$220,$N$5:$N$220)/SUMIFS($J$5:$J$220,$F$5:$F$220,F440,$AS$5:$AS$220,$B$369,$N$5:$N$220,"&gt;0",$AE$5:$AE$220,$B$427),"")</f>
        <v/>
      </c>
      <c r="O440" s="254" t="str" cm="1">
        <f t="array" ref="O440">IFERROR(SUMPRODUCT(--($F$5:$F$220=F440),--($AE$5:$AE$220=$B$427),--($AS$5:$AS$220=$B$369),$J$5:$J$220,$O$5:$O$220)/SUMIFS($J$5:$J$220,$F$5:$F$220,F440,$AS$5:$AS$220,$B$369,$AE$5:$AE$220,$B$427),"")</f>
        <v/>
      </c>
      <c r="P440" s="254" t="str" cm="1">
        <f t="array" ref="P440">IFERROR(SUMPRODUCT(--($AE$5:$AE$220=$B$427),--($F$5:$F$220=F440),--($AS$5:$AS$220=$B$369),$J$5:$J$220,$P$5:$P$220)/SUMIFS($J$5:$J$220,$F$5:$F$220,F440,$AS$5:$AS$220,$B$369,$P$5:$P$220,"&gt;0",$AE$5:$AE$220,$B$427),"")</f>
        <v/>
      </c>
      <c r="Q440" s="254" t="str" cm="1">
        <f t="array" ref="Q440">IFERROR(SUMPRODUCT(--($AE$5:$AE$220=$B$427),--($F$5:$F$220=F440),--($AS$5:$AS$220=$B$369),$J$5:$J$220,$Q$5:$Q$220)/SUMIFS($J$5:$J$220,$AS$5:$AS$220,$B$369,$F$5:$F$220,F440,$AE$5:$AE$220,$B$427),"")</f>
        <v/>
      </c>
      <c r="R440" s="254" t="str" cm="1">
        <f t="array" ref="R440">IFERROR(SUMPRODUCT(--($AE$5:$AE$220=$B$427),--($F$5:$F$220=F440),--($I$5:$I$220&gt;12),--($AS$5:$AS$220=$B$369),$R$5:$R$220,$J$5:$J$220)/SUMIFS($J$5:$J$220,$I$5:$I$220,"&gt;12",$F$5:$F$220,F440,$AS$5:$AS$220,$B$369,$AE$5:$AE$220,$B$427),"")</f>
        <v/>
      </c>
      <c r="S440" s="254" t="str" cm="1">
        <f t="array" ref="S440">IFERROR(SUMPRODUCT(--($AE$5:$AE$220=$B$427),--($F$5:$F$220=F440),--($I$5:$I$220&gt;12),--($AS$5:$AS$220=$B$369),$S$5:$S$220,$J$5:$J$220)/SUMIFS($J$5:$J$220,$I$5:$I$220,"&gt;12",$F$5:$F$220,F440,$AS$5:$AS$220,$B$369,$AE$5:$AE$220,$B$427),"")</f>
        <v/>
      </c>
      <c r="T440" s="254" t="str" cm="1">
        <f t="array" ref="T440">IFERROR(SUMPRODUCT(--($AE$5:$AE$220=$B$427),--($F$5:$F$220=F440),--($AS$5:$AS$220=$B$369),$T$5:$T$220,$J$5:$J$220)/SUMIFS($J$5:$J$220,$F$5:$F$220,F440,$AS$5:$AS$220,$B$369,$AE$5:$AE$220,$B$427),"")</f>
        <v/>
      </c>
      <c r="U440" s="254" t="str" cm="1">
        <f t="array" ref="U440">IFERROR(SUMPRODUCT(--($AE$5:$AE$220=$B$427),--($F$5:$F$220=F440),--($AS$5:$AS$220=$B$369),$U$5:$U$220,$J$5:$J$220)/SUMIFS($J$5:$J$220,$F$5:$F$220,F440,$AS$5:$AS$220,$B$369,$AE$5:$AE$220,$B$427),"")</f>
        <v/>
      </c>
      <c r="V440" s="254" t="str" cm="1">
        <f t="array" ref="V440">IFERROR(SUMPRODUCT(--($AE$5:$AE$220=$B$427),--($F$5:$F$220=F440),--($AS$5:$AS$220=$B$369),--($AR$5:$AR$220=$B$389),$V$5:$V$220,$J$5:$J$220)/SUMIFS($J$5:$J$220,$F$5:$F$220,F440,$AS$5:$AS$220,$B$369,$AE$5:$AE$220,$B$427,$AR$5:$AR$220,$B$389),"")</f>
        <v/>
      </c>
      <c r="W440" s="254" t="str" cm="1">
        <f t="array" ref="W440">IFERROR(SUMPRODUCT(--($AE$5:$AE$220=$B$427),--($F$5:$F$220=F440),--($AS$5:$AS$220=$B$369),--($AR$5:$AR$220=$B$389),$W$5:$W$220,$J$5:$J$220)/SUMIFS($J$5:$J$220,$F$5:$F$220,F440,$AS$5:$AS$220,$B$369,$AE$5:$AE$220,$B$427,$AR$5:$AR$220,$B$389),"")</f>
        <v/>
      </c>
      <c r="X440" s="256" t="str" cm="1">
        <f t="array" ref="X440">IFERROR((IFERROR(SUMPRODUCT(--($F$5:$F$220=F440),--($N$5:$N$220&gt;0),--($AS$5:$AS$220=$B$369),--($AE$5:$AE$220=$B$427),$J$5:$J$220,$Q$5:$Q$220)/SUMIFS($J$5:$J$220,$F$5:$F$220,F440,$N$5:$N$220,"&gt;0",$AS$5:$AS$220,$B$369,$AE$5:$AE$220,$B$427),""))/N440-1,"NA")</f>
        <v>NA</v>
      </c>
      <c r="Y440" s="256"/>
      <c r="Z440" s="289" t="str">
        <f t="shared" si="224"/>
        <v>NA</v>
      </c>
      <c r="AG440" s="290"/>
      <c r="AH440" s="290"/>
    </row>
    <row r="441" spans="2:34">
      <c r="B441" s="292"/>
      <c r="C441" s="293"/>
      <c r="D441" s="293"/>
      <c r="E441" s="293"/>
      <c r="F441" s="294" t="s">
        <v>27</v>
      </c>
      <c r="G441" s="294"/>
      <c r="H441" s="294">
        <f>SUM(H427:H440)</f>
        <v>8</v>
      </c>
      <c r="I441" s="295" cm="1">
        <f t="array" ref="I441">IFERROR(SUMPRODUCT(--($AE$5:$AE$220=$B$427),--($AS$5:$AS$220=$B$369),$J$5:$J$220,$I$5:$I$220)/SUMIFS($J$5:$J$220,$AS$5:$AS$220,$B$369,$AE$5:$AE$220,$B$427)/12,"")</f>
        <v>3.8574899469645758</v>
      </c>
      <c r="J441" s="296">
        <f>SUM(J427:J440)</f>
        <v>286978</v>
      </c>
      <c r="K441" s="296"/>
      <c r="L441" s="296"/>
      <c r="M441" s="296"/>
      <c r="N441" s="295" cm="1">
        <f t="array" ref="N441">IFERROR(SUMPRODUCT(--($AS$5:$AS$220=$B$369),--($AE$5:$AE$220=$B$427),$J$5:$J$220,$N$5:$N$220)/SUMIFS($J$5:$J$220,$AS$5:$AS$220,$B$369,$N$5:$N$220,"&gt;0",$AE$5:$AE$220,$B$427),"")</f>
        <v>4.7949889243202461</v>
      </c>
      <c r="O441" s="295" cm="1">
        <f t="array" ref="O441">IFERROR(SUMPRODUCT(--($AE$5:$AE$220=$B$427),--($AS$5:$AS$220=$B$369),$J$5:$J$220,$O$5:$O$220)/SUMIFS($J$5:$J$220,$AS$5:$AS$220,$B$369,$AE$5:$AE$220,$B$427),"")</f>
        <v>5.5373867683237048</v>
      </c>
      <c r="P441" s="295" cm="1">
        <f t="array" ref="P441">IFERROR(SUMPRODUCT(--($AE$5:$AE$220=$B$427),--($AS$5:$AS$220=$B$369),$J$5:$J$220,$P$5:$P$220)/SUMIFS($J$5:$J$220,$AS$5:$AS$220,$B$369,$P$5:$P$220,"&gt;0",$AE$5:$AE$220,$B$427),"")</f>
        <v>7.0476255322707662</v>
      </c>
      <c r="Q441" s="295" cm="1">
        <f t="array" ref="Q441">IFERROR(SUMPRODUCT(--($AE$5:$AE$220=$B$427),--($AS$5:$AS$220=$B$369),$J$5:$J$220,$Q$5:$Q$220)/SUMIFS($J$5:$J$220,$AS$5:$AS$220,$B$369,$AE$5:$AE$220,$B$427),"")</f>
        <v>7.1768302099812527</v>
      </c>
      <c r="R441" s="295" cm="1">
        <f t="array" ref="R441">IFERROR(SUMPRODUCT(--($AE$5:$AE$220=$B$427),--($I$5:$I$220&gt;12),--($AS$5:$AS$220=$B$369),$R$5:$R$220,$J$5:$J$220)/SUMIFS($J$5:$J$220,$I$5:$I$220,"&gt;12",$AS$5:$AS$220,$B$369,$AE$5:$AE$220,$B$427),"")</f>
        <v>3.8870836788882772</v>
      </c>
      <c r="S441" s="295" cm="1">
        <f t="array" ref="S441">IFERROR(SUMPRODUCT(--($AE$5:$AE$220=$B$427),--($I$5:$I$220&gt;12),--($AS$5:$AS$220=$B$369),$S$5:$S$220,$J$5:$J$220)/SUMIFS($J$5:$J$220,$I$5:$I$220,"&gt;12",$AS$5:$AS$220,$B$369,$AE$5:$AE$220,$B$427),"")</f>
        <v>2.924962889141328</v>
      </c>
      <c r="T441" s="295" cm="1">
        <f t="array" ref="T441">IFERROR(SUMPRODUCT(--($AE$5:$AE$220=$B$427),--($AS$5:$AS$220=$B$369),$T$5:$T$220,$J$5:$J$220)/SUMIFS($J$5:$J$220,$AS$5:$AS$220,$B$369,$AE$5:$AE$220,$B$427),"")</f>
        <v>0</v>
      </c>
      <c r="U441" s="295" cm="1">
        <f t="array" ref="U441">IFERROR(SUMPRODUCT(--($AE$5:$AE$220=$B$427),--($AS$5:$AS$220=$B$369),$U$5:$U$220,$J$5:$J$220)/SUMIFS($J$5:$J$220,$AS$5:$AS$220,$B$369,$AE$5:$AE$220,$B$427),"")</f>
        <v>0</v>
      </c>
      <c r="V441" s="295" cm="1">
        <f t="array" ref="V441">IFERROR(SUMPRODUCT(--($AE$5:$AE$220=$B$427),--($AS$5:$AS$220=$B$369),--($AR$5:$AR$220=$B$389),$V$5:$V$220,$J$5:$J$220)/SUMIFS($J$5:$J$220,$AS$5:$AS$220,$B$369,$AE$5:$AE$220,$B$427,$AR$5:$AR$220,$B$389),"")</f>
        <v>11.682805298844196</v>
      </c>
      <c r="W441" s="295" cm="1">
        <f t="array" ref="W441">IFERROR(SUMPRODUCT(--($AE$5:$AE$220=$B$427),--($AS$5:$AS$220=$B$369),--($AR$5:$AR$220=$B$389),$W$5:$W$220,$J$5:$J$220)/SUMIFS($J$5:$J$220,$AS$5:$AS$220,$B$369,$AE$5:$AE$220,$B$427,$AR$5:$AR$220,$B$389),"")</f>
        <v>7.7773206572883238</v>
      </c>
      <c r="X441" s="298" cm="1">
        <f t="array" ref="X441">IFERROR((IFERROR(SUMPRODUCT(--($N$5:$N$220&gt;0),--($AS$5:$AS$220=$B$369),--($AE$5:$AE$220=$B$427),$J$5:$J$220,$Q$5:$Q$220)/SUMIFS($J$5:$J$220,$N$5:$N$220,"&gt;0",$AS$5:$AS$220,$B$369,$AE$5:$AE$220,$B$427),""))/N441-1,"NA")</f>
        <v>0.38288319113658575</v>
      </c>
      <c r="Y441" s="298"/>
      <c r="Z441" s="299">
        <f t="shared" si="224"/>
        <v>0.29606807511367772</v>
      </c>
      <c r="AG441" s="290"/>
      <c r="AH441" s="290"/>
    </row>
    <row r="444" spans="2:34">
      <c r="B444" s="310" t="str">
        <f>B369</f>
        <v>Q4 2024</v>
      </c>
      <c r="C444" s="311"/>
      <c r="D444" s="311"/>
      <c r="E444" s="311"/>
      <c r="F444" s="282"/>
      <c r="G444" s="282"/>
      <c r="H444" s="282" t="s">
        <v>730</v>
      </c>
      <c r="I444" s="283" t="s">
        <v>731</v>
      </c>
      <c r="J444" s="283" t="s">
        <v>732</v>
      </c>
      <c r="K444" s="283"/>
      <c r="L444" s="283"/>
      <c r="M444" s="283"/>
      <c r="N444" s="284" t="s">
        <v>94</v>
      </c>
      <c r="O444" s="284" t="s">
        <v>95</v>
      </c>
      <c r="P444" s="284" t="s">
        <v>58</v>
      </c>
      <c r="Q444" s="284" t="s">
        <v>96</v>
      </c>
      <c r="R444" s="283" t="s">
        <v>734</v>
      </c>
      <c r="S444" s="283" t="s">
        <v>735</v>
      </c>
      <c r="T444" s="283" t="s">
        <v>736</v>
      </c>
      <c r="U444" s="283" t="s">
        <v>737</v>
      </c>
      <c r="V444" s="283" t="s">
        <v>64</v>
      </c>
      <c r="W444" s="283" t="s">
        <v>738</v>
      </c>
      <c r="X444" s="283" t="s">
        <v>755</v>
      </c>
      <c r="Y444" s="283"/>
      <c r="Z444" s="286" t="s">
        <v>740</v>
      </c>
      <c r="AG444" s="288" t="s">
        <v>741</v>
      </c>
      <c r="AH444" s="288" t="s">
        <v>742</v>
      </c>
    </row>
    <row r="445" spans="2:34">
      <c r="B445" s="314" t="s">
        <v>161</v>
      </c>
      <c r="C445" s="202"/>
      <c r="D445" s="202"/>
      <c r="E445" s="202"/>
      <c r="F445" s="184" t="s">
        <v>153</v>
      </c>
      <c r="H445" s="184">
        <f t="shared" ref="H445:H459" si="225">COUNTIFS($F$5:$F$220,F445,$AS$5:$AS$220,$B$369,$AE$5:$AE$220,$B$445)</f>
        <v>1</v>
      </c>
      <c r="I445" s="254" cm="1">
        <f t="array" ref="I445">IFERROR(SUMPRODUCT(--($AE$5:$AE$220=$B$445),--($F$5:$F$220=F445),--($AS$5:$AS$220=$B$369),$J$5:$J$220,$I$5:$I$220)/SUMIFS($J$5:$J$220,$AS$5:$AS$220,$B$369,$F$5:$F$220,F445,$AE$5:$AE$220,$B$445)/12,"")</f>
        <v>5</v>
      </c>
      <c r="J445" s="253">
        <f t="shared" ref="J445:J459" si="226">SUMIFS($J$5:$J$220,$F$5:$F$220,F445,$AS$5:$AS$220,$B$369,$AE$5:$AE$220,$B$445)</f>
        <v>12894</v>
      </c>
      <c r="K445" s="253"/>
      <c r="L445" s="253"/>
      <c r="M445" s="253"/>
      <c r="N445" s="254" cm="1">
        <f t="array" ref="N445">IFERROR(SUMPRODUCT(--($F$5:$F$220=F445),--($AS$5:$AS$220=$B$369),--($AE$5:$AE$220=$B$445),$J$5:$J$220,$N$5:$N$220)/SUMIFS($J$5:$J$220,$F$5:$F$220,F445,$AS$5:$AS$220,$B$369,$N$5:$N$220,"&gt;0",$AE$5:$AE$220,$B$445),"")</f>
        <v>5.8</v>
      </c>
      <c r="O445" s="254" cm="1">
        <f t="array" ref="O445">IFERROR(SUMPRODUCT(--($F$5:$F$220=F445),--($AE$5:$AE$220=$B$445),--($AS$5:$AS$220=$B$369),$J$5:$J$220,$O$5:$O$220)/SUMIFS($J$5:$J$220,$F$5:$F$220,F445,$AS$5:$AS$220,$B$369,$AE$5:$AE$220,$B$445),"")</f>
        <v>12.55</v>
      </c>
      <c r="P445" s="254" cm="1">
        <f t="array" ref="P445">IFERROR(SUMPRODUCT(--($AE$5:$AE$220=$B$445),--($F$5:$F$220=F445),--($AS$5:$AS$220=$B$369),$J$5:$J$220,$P$5:$P$220)/SUMIFS($J$5:$J$220,$F$5:$F$220,F445,$AS$5:$AS$220,$B$369,$P$5:$P$220,"&gt;0",$AE$5:$AE$220,$B$445),"")</f>
        <v>5.94</v>
      </c>
      <c r="Q445" s="254" cm="1">
        <f t="array" ref="Q445">IFERROR(SUMPRODUCT(--($AE$5:$AE$220=$B$445),--($F$5:$F$220=F445),--($AS$5:$AS$220=$B$369),$J$5:$J$220,$Q$5:$Q$220)/SUMIFS($J$5:$J$220,$AS$5:$AS$220,$B$369,$F$5:$F$220,F445,$AE$5:$AE$220,$B$445),"")</f>
        <v>5.79</v>
      </c>
      <c r="R445" s="254" cm="1">
        <f t="array" ref="R445">IFERROR(SUMPRODUCT(--($AE$5:$AE$220=$B$445),--($F$5:$F$220=F445),--($I$5:$I$220&gt;12),--($AS$5:$AS$220=$B$369),$R$5:$R$220,$Q$5:$Q$220)/SUMIFS($Q$5:$Q$220,$I$5:$I$220,"&gt;12",$F$5:$F$220,F445,$AS$5:$AS$220,$B$369,$AE$5:$AE$220,$B$445),"")</f>
        <v>2.5</v>
      </c>
      <c r="S445" s="254" cm="1">
        <f t="array" ref="S445">IFERROR(SUMPRODUCT(--($AE$5:$AE$220=$B$445),--($F$5:$F$220=F445),--($I$5:$I$220&gt;12),--($AS$5:$AS$220=$B$369),$S$5:$S$220,$J$5:$J$220)/SUMIFS($J$5:$J$220,$I$5:$I$220,"&gt;12",$F$5:$F$220,F445,$AS$5:$AS$220,$B$369,$AE$5:$AE$220,$B$445),"")</f>
        <v>4</v>
      </c>
      <c r="T445" s="254" cm="1">
        <f t="array" ref="T445">IFERROR(SUMPRODUCT(--($AE$5:$AE$220=$B$445),--($F$5:$F$220=F445),--($AS$5:$AS$220=$B$369),$T$5:$T$220,$J$5:$J$220)/SUMIFS($J$5:$J$220,$F$5:$F$220,F445,$AS$5:$AS$220,$B$369,$AE$5:$AE$220,$B$445),"")</f>
        <v>0</v>
      </c>
      <c r="U445" s="254" cm="1">
        <f t="array" ref="U445">IFERROR(SUMPRODUCT(--($AE$5:$AE$220=$B$445),--($F$5:$F$220=F445),--($AS$5:$AS$220=$B$369),$U$5:$U$220,$J$5:$J$220)/SUMIFS($J$5:$J$220,$F$5:$F$220,F445,$AS$5:$AS$220,$B$369,$AE$5:$AE$220,$B$445),"")</f>
        <v>0</v>
      </c>
      <c r="V445" s="254" t="str" cm="1">
        <f t="array" ref="V445">IFERROR(SUMPRODUCT(--($AE$5:$AE$220=$B$445),--($F$5:$F$220=F445),--($AS$5:$AS$220=$B$369),--($AR$5:$AR$220=$B$389),$V$5:$V$220,$J$5:$J$220)/SUMIFS($J$5:$J$220,$F$5:$F$220,F445,$AS$5:$AS$220,$B$369,$AE$5:$AE$220,$B$445,$AR$5:$AR$220,$B$389),"")</f>
        <v/>
      </c>
      <c r="W445" s="254" t="str" cm="1">
        <f t="array" ref="W445">IFERROR(SUMPRODUCT(--($AE$5:$AE$220=$B$445),--($F$5:$F$220=F445),--($AS$5:$AS$220=$B$369),--($AR$5:$AR$220=$B$389),$W$5:$W$220,$J$5:$J$220)/SUMIFS($J$5:$J$220,$F$5:$F$220,F445,$AS$5:$AS$220,$B$369,$AE$5:$AE$220,$B$445,$AR$5:$AR$220,$B$389),"")</f>
        <v/>
      </c>
      <c r="X445" s="256" cm="1">
        <f t="array" ref="X445">IFERROR((IFERROR(SUMPRODUCT(--($F$5:$F$220=F445),--($N$5:$N$220&gt;0),--($AS$5:$AS$220=$B$369),--($AE$5:$AE$220=$B$445),$J$5:$J$220,$Q$5:$Q$220)/SUMIFS($J$5:$J$220,$F$5:$F$220,F445,$N$5:$N$220,"&gt;0",$AS$5:$AS$220,$B$369,$AE$5:$AE$220,$B$445),""))/N445-1,"NA")</f>
        <v>-1.7241379310344307E-3</v>
      </c>
      <c r="Y445" s="256"/>
      <c r="Z445" s="289">
        <f t="shared" ref="Z445:Z459" si="227">IFERROR(Q445/O445-1,"NA")</f>
        <v>-0.53864541832669333</v>
      </c>
      <c r="AG445" s="290"/>
      <c r="AH445" s="290"/>
    </row>
    <row r="446" spans="2:34">
      <c r="B446" s="251" t="s">
        <v>759</v>
      </c>
      <c r="F446" s="184" t="s">
        <v>207</v>
      </c>
      <c r="H446" s="184">
        <f t="shared" si="225"/>
        <v>1</v>
      </c>
      <c r="I446" s="254" cm="1">
        <f t="array" ref="I446">IFERROR(SUMPRODUCT(--($AE$5:$AE$220=$B$445),--($F$5:$F$220=F446),--($AS$5:$AS$220=$B$369),$J$5:$J$220,$I$5:$I$220)/SUMIFS($J$5:$J$220,$AS$5:$AS$220,$B$369,$F$5:$F$220,F446,$AE$5:$AE$220,$B$445)/12,"")</f>
        <v>4.583333333333333</v>
      </c>
      <c r="J446" s="253">
        <f t="shared" si="226"/>
        <v>3408</v>
      </c>
      <c r="K446" s="253"/>
      <c r="L446" s="253"/>
      <c r="M446" s="253"/>
      <c r="N446" s="254" cm="1">
        <f t="array" ref="N446">IFERROR(SUMPRODUCT(--($F$5:$F$220=F446),--($AS$5:$AS$220=$B$369),--($AE$5:$AE$220=$B$445),$J$5:$J$220,$N$5:$N$220)/SUMIFS($J$5:$J$220,$F$5:$F$220,F446,$AS$5:$AS$220,$B$369,$N$5:$N$220,"&gt;0",$AE$5:$AE$220,$B$445),"")</f>
        <v>11.069999999999999</v>
      </c>
      <c r="O446" s="254" cm="1">
        <f t="array" ref="O446">IFERROR(SUMPRODUCT(--($F$5:$F$220=F446),--($AE$5:$AE$220=$B$445),--($AS$5:$AS$220=$B$369),$J$5:$J$220,$O$5:$O$220)/SUMIFS($J$5:$J$220,$F$5:$F$220,F446,$AS$5:$AS$220,$B$369,$AE$5:$AE$220,$B$445),"")</f>
        <v>13.11</v>
      </c>
      <c r="P446" s="254" cm="1">
        <f t="array" ref="P446">IFERROR(SUMPRODUCT(--($AE$5:$AE$220=$B$445),--($F$5:$F$220=F446),--($AS$5:$AS$220=$B$369),$J$5:$J$220,$P$5:$P$220)/SUMIFS($J$5:$J$220,$F$5:$F$220,F446,$AS$5:$AS$220,$B$369,$P$5:$P$220,"&gt;0",$AE$5:$AE$220,$B$445),"")</f>
        <v>12.5</v>
      </c>
      <c r="Q446" s="254" cm="1">
        <f t="array" ref="Q446">IFERROR(SUMPRODUCT(--($AE$5:$AE$220=$B$445),--($F$5:$F$220=F446),--($AS$5:$AS$220=$B$369),$J$5:$J$220,$Q$5:$Q$220)/SUMIFS($J$5:$J$220,$AS$5:$AS$220,$B$369,$F$5:$F$220,F446,$AE$5:$AE$220,$B$445),"")</f>
        <v>12</v>
      </c>
      <c r="R446" s="254" cm="1">
        <f t="array" ref="R446">IFERROR(SUMPRODUCT(--($AE$5:$AE$220=$B$445),--($F$5:$F$220=F446),--($I$5:$I$220&gt;12),--($AS$5:$AS$220=$B$369),$R$5:$R$220,$Q$5:$Q$220)/SUMIFS($Q$5:$Q$220,$I$5:$I$220,"&gt;12",$F$5:$F$220,F446,$AS$5:$AS$220,$B$369,$AE$5:$AE$220,$B$445),"")</f>
        <v>3</v>
      </c>
      <c r="S446" s="254" cm="1">
        <f t="array" ref="S446">IFERROR(SUMPRODUCT(--($AE$5:$AE$220=$B$445),--($F$5:$F$220=F446),--($I$5:$I$220&gt;12),--($AS$5:$AS$220=$B$369),$S$5:$S$220,$J$5:$J$220)/SUMIFS($J$5:$J$220,$I$5:$I$220,"&gt;12",$F$5:$F$220,F446,$AS$5:$AS$220,$B$369,$AE$5:$AE$220,$B$445),"")</f>
        <v>4</v>
      </c>
      <c r="T446" s="254" cm="1">
        <f t="array" ref="T446">IFERROR(SUMPRODUCT(--($AE$5:$AE$220=$B$445),--($F$5:$F$220=F446),--($AS$5:$AS$220=$B$369),$T$5:$T$220,$J$5:$J$220)/SUMIFS($J$5:$J$220,$F$5:$F$220,F446,$AS$5:$AS$220,$B$369,$AE$5:$AE$220,$B$445),"")</f>
        <v>0</v>
      </c>
      <c r="U446" s="254" cm="1">
        <f t="array" ref="U446">IFERROR(SUMPRODUCT(--($AE$5:$AE$220=$B$445),--($F$5:$F$220=F446),--($AS$5:$AS$220=$B$369),$U$5:$U$220,$J$5:$J$220)/SUMIFS($J$5:$J$220,$F$5:$F$220,F446,$AS$5:$AS$220,$B$369,$AE$5:$AE$220,$B$445),"")</f>
        <v>0</v>
      </c>
      <c r="V446" s="254" t="str" cm="1">
        <f t="array" ref="V446">IFERROR(SUMPRODUCT(--($AE$5:$AE$220=$B$445),--($F$5:$F$220=F446),--($AS$5:$AS$220=$B$369),--($AR$5:$AR$220=$B$389),$V$5:$V$220,$J$5:$J$220)/SUMIFS($J$5:$J$220,$F$5:$F$220,F446,$AS$5:$AS$220,$B$369,$AE$5:$AE$220,$B$445,$AR$5:$AR$220,$B$389),"")</f>
        <v/>
      </c>
      <c r="W446" s="254" t="str" cm="1">
        <f t="array" ref="W446">IFERROR(SUMPRODUCT(--($AE$5:$AE$220=$B$445),--($F$5:$F$220=F446),--($AS$5:$AS$220=$B$369),--($AR$5:$AR$220=$B$389),$W$5:$W$220,$J$5:$J$220)/SUMIFS($J$5:$J$220,$F$5:$F$220,F446,$AS$5:$AS$220,$B$369,$AE$5:$AE$220,$B$445,$AR$5:$AR$220,$B$389),"")</f>
        <v/>
      </c>
      <c r="X446" s="256" cm="1">
        <f t="array" ref="X446">IFERROR((IFERROR(SUMPRODUCT(--($F$5:$F$220=F446),--($N$5:$N$220&gt;0),--($AS$5:$AS$220=$B$369),--($AE$5:$AE$220=$B$445),$J$5:$J$220,$Q$5:$Q$220)/SUMIFS($J$5:$J$220,$F$5:$F$220,F446,$N$5:$N$220,"&gt;0",$AS$5:$AS$220,$B$369,$AE$5:$AE$220,$B$445),""))/N446-1,"NA")</f>
        <v>8.4010840108401208E-2</v>
      </c>
      <c r="Y446" s="256"/>
      <c r="Z446" s="289">
        <f t="shared" si="227"/>
        <v>-8.4668192219679583E-2</v>
      </c>
      <c r="AG446" s="290"/>
      <c r="AH446" s="290"/>
    </row>
    <row r="447" spans="2:34">
      <c r="F447" s="184" t="s">
        <v>201</v>
      </c>
      <c r="H447" s="184">
        <f t="shared" si="225"/>
        <v>1</v>
      </c>
      <c r="I447" s="254" cm="1">
        <f t="array" ref="I447">IFERROR(SUMPRODUCT(--($AE$5:$AE$220=$B$445),--($F$5:$F$220=F447),--($AS$5:$AS$220=$B$369),$J$5:$J$220,$I$5:$I$220)/SUMIFS($J$5:$J$220,$AS$5:$AS$220,$B$369,$F$5:$F$220,F447,$AE$5:$AE$220,$B$445)/12,"")</f>
        <v>1.5833333333333333</v>
      </c>
      <c r="J447" s="253">
        <f t="shared" si="226"/>
        <v>80000</v>
      </c>
      <c r="K447" s="253"/>
      <c r="L447" s="253"/>
      <c r="M447" s="253"/>
      <c r="N447" s="254" cm="1">
        <f t="array" ref="N447">IFERROR(SUMPRODUCT(--($F$5:$F$220=F447),--($AS$5:$AS$220=$B$369),--($AE$5:$AE$220=$B$445),$J$5:$J$220,$N$5:$N$220)/SUMIFS($J$5:$J$220,$F$5:$F$220,F447,$AS$5:$AS$220,$B$369,$N$5:$N$220,"&gt;0",$AE$5:$AE$220,$B$445),"")</f>
        <v>5.07</v>
      </c>
      <c r="O447" s="254" cm="1">
        <f t="array" ref="O447">IFERROR(SUMPRODUCT(--($F$5:$F$220=F447),--($AE$5:$AE$220=$B$445),--($AS$5:$AS$220=$B$369),$J$5:$J$220,$O$5:$O$220)/SUMIFS($J$5:$J$220,$F$5:$F$220,F447,$AS$5:$AS$220,$B$369,$AE$5:$AE$220,$B$445),"")</f>
        <v>7.97</v>
      </c>
      <c r="P447" s="254" cm="1">
        <f t="array" ref="P447">IFERROR(SUMPRODUCT(--($AE$5:$AE$220=$B$445),--($F$5:$F$220=F447),--($AS$5:$AS$220=$B$369),$J$5:$J$220,$P$5:$P$220)/SUMIFS($J$5:$J$220,$F$5:$F$220,F447,$AS$5:$AS$220,$B$369,$P$5:$P$220,"&gt;0",$AE$5:$AE$220,$B$445),"")</f>
        <v>9.25</v>
      </c>
      <c r="Q447" s="254" cm="1">
        <f t="array" ref="Q447">IFERROR(SUMPRODUCT(--($AE$5:$AE$220=$B$445),--($F$5:$F$220=F447),--($AS$5:$AS$220=$B$369),$J$5:$J$220,$Q$5:$Q$220)/SUMIFS($J$5:$J$220,$AS$5:$AS$220,$B$369,$F$5:$F$220,F447,$AE$5:$AE$220,$B$445),"")</f>
        <v>9.75</v>
      </c>
      <c r="R447" s="254" cm="1">
        <f t="array" ref="R447">IFERROR(SUMPRODUCT(--($AE$5:$AE$220=$B$445),--($F$5:$F$220=F447),--($I$5:$I$220&gt;12),--($AS$5:$AS$220=$B$369),$R$5:$R$220,$Q$5:$Q$220)/SUMIFS($Q$5:$Q$220,$I$5:$I$220,"&gt;12",$F$5:$F$220,F447,$AS$5:$AS$220,$B$369,$AE$5:$AE$220,$B$445),"")</f>
        <v>4</v>
      </c>
      <c r="S447" s="254" cm="1">
        <f t="array" ref="S447">IFERROR(SUMPRODUCT(--($AE$5:$AE$220=$B$445),--($F$5:$F$220=F447),--($I$5:$I$220&gt;12),--($AS$5:$AS$220=$B$369),$S$5:$S$220,$J$5:$J$220)/SUMIFS($J$5:$J$220,$I$5:$I$220,"&gt;12",$F$5:$F$220,F447,$AS$5:$AS$220,$B$369,$AE$5:$AE$220,$B$445),"")</f>
        <v>4</v>
      </c>
      <c r="T447" s="254" cm="1">
        <f t="array" ref="T447">IFERROR(SUMPRODUCT(--($AE$5:$AE$220=$B$445),--($F$5:$F$220=F447),--($AS$5:$AS$220=$B$369),$T$5:$T$220,$J$5:$J$220)/SUMIFS($J$5:$J$220,$F$5:$F$220,F447,$AS$5:$AS$220,$B$369,$AE$5:$AE$220,$B$445),"")</f>
        <v>0</v>
      </c>
      <c r="U447" s="254" cm="1">
        <f t="array" ref="U447">IFERROR(SUMPRODUCT(--($AE$5:$AE$220=$B$445),--($F$5:$F$220=F447),--($AS$5:$AS$220=$B$369),$U$5:$U$220,$J$5:$J$220)/SUMIFS($J$5:$J$220,$F$5:$F$220,F447,$AS$5:$AS$220,$B$369,$AE$5:$AE$220,$B$445),"")</f>
        <v>0</v>
      </c>
      <c r="V447" s="254" t="str" cm="1">
        <f t="array" ref="V447">IFERROR(SUMPRODUCT(--($AE$5:$AE$220=$B$445),--($F$5:$F$220=F447),--($AS$5:$AS$220=$B$369),--($AR$5:$AR$220=$B$389),$V$5:$V$220,$J$5:$J$220)/SUMIFS($J$5:$J$220,$F$5:$F$220,F447,$AS$5:$AS$220,$B$369,$AE$5:$AE$220,$B$445,$AR$5:$AR$220,$B$389),"")</f>
        <v/>
      </c>
      <c r="W447" s="254" t="str" cm="1">
        <f t="array" ref="W447">IFERROR(SUMPRODUCT(--($AE$5:$AE$220=$B$445),--($F$5:$F$220=F447),--($AS$5:$AS$220=$B$369),--($AR$5:$AR$220=$B$389),$W$5:$W$220,$J$5:$J$220)/SUMIFS($J$5:$J$220,$F$5:$F$220,F447,$AS$5:$AS$220,$B$369,$AE$5:$AE$220,$B$445,$AR$5:$AR$220,$B$389),"")</f>
        <v/>
      </c>
      <c r="X447" s="256" cm="1">
        <f t="array" ref="X447">IFERROR((IFERROR(SUMPRODUCT(--($F$5:$F$220=F447),--($N$5:$N$220&gt;0),--($AS$5:$AS$220=$B$369),--($AE$5:$AE$220=$B$445),$J$5:$J$220,$Q$5:$Q$220)/SUMIFS($J$5:$J$220,$F$5:$F$220,F447,$N$5:$N$220,"&gt;0",$AS$5:$AS$220,$B$369,$AE$5:$AE$220,$B$445),""))/N447-1,"NA")</f>
        <v>0.92307692307692291</v>
      </c>
      <c r="Y447" s="256"/>
      <c r="Z447" s="289">
        <f t="shared" si="227"/>
        <v>0.22333751568381444</v>
      </c>
      <c r="AG447" s="290"/>
      <c r="AH447" s="290"/>
    </row>
    <row r="448" spans="2:34">
      <c r="B448" s="291"/>
      <c r="F448" s="184" t="s">
        <v>144</v>
      </c>
      <c r="H448" s="184">
        <f t="shared" si="225"/>
        <v>0</v>
      </c>
      <c r="I448" s="254" t="str" cm="1">
        <f t="array" ref="I448">IFERROR(SUMPRODUCT(--($AE$5:$AE$220=$B$445),--($F$5:$F$220=F448),--($AS$5:$AS$220=$B$369),$J$5:$J$220,$I$5:$I$220)/SUMIFS($J$5:$J$220,$AS$5:$AS$220,$B$369,$F$5:$F$220,F448,$AE$5:$AE$220,$B$445)/12,"")</f>
        <v/>
      </c>
      <c r="J448" s="253">
        <f t="shared" si="226"/>
        <v>0</v>
      </c>
      <c r="K448" s="253"/>
      <c r="L448" s="253"/>
      <c r="M448" s="253"/>
      <c r="N448" s="254" t="str" cm="1">
        <f t="array" ref="N448">IFERROR(SUMPRODUCT(--($F$5:$F$220=F448),--($AS$5:$AS$220=$B$369),--($AE$5:$AE$220=$B$445),$J$5:$J$220,$N$5:$N$220)/SUMIFS($J$5:$J$220,$F$5:$F$220,F448,$AS$5:$AS$220,$B$369,$N$5:$N$220,"&gt;0",$AE$5:$AE$220,$B$445),"")</f>
        <v/>
      </c>
      <c r="O448" s="254" t="str" cm="1">
        <f t="array" ref="O448">IFERROR(SUMPRODUCT(--($F$5:$F$220=F448),--($AE$5:$AE$220=$B$445),--($AS$5:$AS$220=$B$369),$J$5:$J$220,$O$5:$O$220)/SUMIFS($J$5:$J$220,$F$5:$F$220,F448,$AS$5:$AS$220,$B$369,$AE$5:$AE$220,$B$445),"")</f>
        <v/>
      </c>
      <c r="P448" s="254" t="str" cm="1">
        <f t="array" ref="P448">IFERROR(SUMPRODUCT(--($AE$5:$AE$220=$B$445),--($F$5:$F$220=F448),--($AS$5:$AS$220=$B$369),$J$5:$J$220,$P$5:$P$220)/SUMIFS($J$5:$J$220,$F$5:$F$220,F448,$AS$5:$AS$220,$B$369,$P$5:$P$220,"&gt;0",$AE$5:$AE$220,$B$445),"")</f>
        <v/>
      </c>
      <c r="Q448" s="254" t="str" cm="1">
        <f t="array" ref="Q448">IFERROR(SUMPRODUCT(--($AE$5:$AE$220=$B$445),--($F$5:$F$220=F448),--($AS$5:$AS$220=$B$369),$J$5:$J$220,$Q$5:$Q$220)/SUMIFS($J$5:$J$220,$AS$5:$AS$220,$B$369,$F$5:$F$220,F448,$AE$5:$AE$220,$B$445),"")</f>
        <v/>
      </c>
      <c r="R448" s="254" t="str" cm="1">
        <f t="array" ref="R448">IFERROR(SUMPRODUCT(--($AE$5:$AE$220=$B$445),--($F$5:$F$220=F448),--($I$5:$I$220&gt;12),--($AS$5:$AS$220=$B$369),$R$5:$R$220,$Q$5:$Q$220)/SUMIFS($Q$5:$Q$220,$I$5:$I$220,"&gt;12",$F$5:$F$220,F448,$AS$5:$AS$220,$B$369,$AE$5:$AE$220,$B$445),"")</f>
        <v/>
      </c>
      <c r="S448" s="254" t="str" cm="1">
        <f t="array" ref="S448">IFERROR(SUMPRODUCT(--($AE$5:$AE$220=$B$445),--($F$5:$F$220=F448),--($I$5:$I$220&gt;12),--($AS$5:$AS$220=$B$369),$S$5:$S$220,$J$5:$J$220)/SUMIFS($J$5:$J$220,$I$5:$I$220,"&gt;12",$F$5:$F$220,F448,$AS$5:$AS$220,$B$369,$AE$5:$AE$220,$B$445),"")</f>
        <v/>
      </c>
      <c r="T448" s="254" t="str" cm="1">
        <f t="array" ref="T448">IFERROR(SUMPRODUCT(--($AE$5:$AE$220=$B$445),--($F$5:$F$220=F448),--($AS$5:$AS$220=$B$369),$T$5:$T$220,$J$5:$J$220)/SUMIFS($J$5:$J$220,$F$5:$F$220,F448,$AS$5:$AS$220,$B$369,$AE$5:$AE$220,$B$445),"")</f>
        <v/>
      </c>
      <c r="U448" s="254" t="str" cm="1">
        <f t="array" ref="U448">IFERROR(SUMPRODUCT(--($AE$5:$AE$220=$B$445),--($F$5:$F$220=F448),--($AS$5:$AS$220=$B$369),$U$5:$U$220,$J$5:$J$220)/SUMIFS($J$5:$J$220,$F$5:$F$220,F448,$AS$5:$AS$220,$B$369,$AE$5:$AE$220,$B$445),"")</f>
        <v/>
      </c>
      <c r="V448" s="254" t="str" cm="1">
        <f t="array" ref="V448">IFERROR(SUMPRODUCT(--($AE$5:$AE$220=$B$445),--($F$5:$F$220=F448),--($AS$5:$AS$220=$B$369),--($AR$5:$AR$220=$B$389),$V$5:$V$220,$J$5:$J$220)/SUMIFS($J$5:$J$220,$F$5:$F$220,F448,$AS$5:$AS$220,$B$369,$AE$5:$AE$220,$B$445,$AR$5:$AR$220,$B$389),"")</f>
        <v/>
      </c>
      <c r="W448" s="254" t="str" cm="1">
        <f t="array" ref="W448">IFERROR(SUMPRODUCT(--($AE$5:$AE$220=$B$445),--($F$5:$F$220=F448),--($AS$5:$AS$220=$B$369),--($AR$5:$AR$220=$B$389),$W$5:$W$220,$J$5:$J$220)/SUMIFS($J$5:$J$220,$F$5:$F$220,F448,$AS$5:$AS$220,$B$369,$AE$5:$AE$220,$B$445,$AR$5:$AR$220,$B$389),"")</f>
        <v/>
      </c>
      <c r="X448" s="256" t="str" cm="1">
        <f t="array" ref="X448">IFERROR((IFERROR(SUMPRODUCT(--($F$5:$F$220=F448),--($N$5:$N$220&gt;0),--($AS$5:$AS$220=$B$369),--($AE$5:$AE$220=$B$445),$J$5:$J$220,$Q$5:$Q$220)/SUMIFS($J$5:$J$220,$F$5:$F$220,F448,$N$5:$N$220,"&gt;0",$AS$5:$AS$220,$B$369,$AE$5:$AE$220,$B$445),""))/N448-1,"NA")</f>
        <v>NA</v>
      </c>
      <c r="Y448" s="256"/>
      <c r="Z448" s="289" t="str">
        <f t="shared" si="227"/>
        <v>NA</v>
      </c>
      <c r="AG448" s="290"/>
      <c r="AH448" s="290"/>
    </row>
    <row r="449" spans="2:34">
      <c r="B449" s="291"/>
      <c r="F449" s="184" t="s">
        <v>185</v>
      </c>
      <c r="H449" s="184">
        <f t="shared" si="225"/>
        <v>0</v>
      </c>
      <c r="I449" s="254" t="str" cm="1">
        <f t="array" ref="I449">IFERROR(SUMPRODUCT(--($AE$5:$AE$220=$B$445),--($F$5:$F$220=F449),--($AS$5:$AS$220=$B$369),$J$5:$J$220,$I$5:$I$220)/SUMIFS($J$5:$J$220,$AS$5:$AS$220,$B$369,$F$5:$F$220,F449,$AE$5:$AE$220,$B$445)/12,"")</f>
        <v/>
      </c>
      <c r="J449" s="253">
        <f t="shared" si="226"/>
        <v>0</v>
      </c>
      <c r="K449" s="253"/>
      <c r="L449" s="253"/>
      <c r="M449" s="253"/>
      <c r="N449" s="254" t="str" cm="1">
        <f t="array" ref="N449">IFERROR(SUMPRODUCT(--($F$5:$F$220=F449),--($AS$5:$AS$220=$B$369),--($AE$5:$AE$220=$B$445),$J$5:$J$220,$N$5:$N$220)/SUMIFS($J$5:$J$220,$F$5:$F$220,F449,$AS$5:$AS$220,$B$369,$N$5:$N$220,"&gt;0",$AE$5:$AE$220,$B$445),"")</f>
        <v/>
      </c>
      <c r="O449" s="254" t="str" cm="1">
        <f t="array" ref="O449">IFERROR(SUMPRODUCT(--($F$5:$F$220=F449),--($AE$5:$AE$220=$B$445),--($AS$5:$AS$220=$B$369),$J$5:$J$220,$O$5:$O$220)/SUMIFS($J$5:$J$220,$F$5:$F$220,F449,$AS$5:$AS$220,$B$369,$AE$5:$AE$220,$B$445),"")</f>
        <v/>
      </c>
      <c r="P449" s="254" t="str" cm="1">
        <f t="array" ref="P449">IFERROR(SUMPRODUCT(--($AE$5:$AE$220=$B$445),--($F$5:$F$220=F449),--($AS$5:$AS$220=$B$369),$J$5:$J$220,$P$5:$P$220)/SUMIFS($J$5:$J$220,$F$5:$F$220,F449,$AS$5:$AS$220,$B$369,$P$5:$P$220,"&gt;0",$AE$5:$AE$220,$B$445),"")</f>
        <v/>
      </c>
      <c r="Q449" s="254" t="str" cm="1">
        <f t="array" ref="Q449">IFERROR(SUMPRODUCT(--($AE$5:$AE$220=$B$445),--($F$5:$F$220=F449),--($AS$5:$AS$220=$B$369),$J$5:$J$220,$Q$5:$Q$220)/SUMIFS($J$5:$J$220,$AS$5:$AS$220,$B$369,$F$5:$F$220,F449,$AE$5:$AE$220,$B$445),"")</f>
        <v/>
      </c>
      <c r="R449" s="254" t="str" cm="1">
        <f t="array" ref="R449">IFERROR(SUMPRODUCT(--($AE$5:$AE$220=$B$445),--($F$5:$F$220=F449),--($I$5:$I$220&gt;12),--($AS$5:$AS$220=$B$369),$R$5:$R$220,$Q$5:$Q$220)/SUMIFS($Q$5:$Q$220,$I$5:$I$220,"&gt;12",$F$5:$F$220,F449,$AS$5:$AS$220,$B$369,$AE$5:$AE$220,$B$445),"")</f>
        <v/>
      </c>
      <c r="S449" s="254" t="str" cm="1">
        <f t="array" ref="S449">IFERROR(SUMPRODUCT(--($AE$5:$AE$220=$B$445),--($F$5:$F$220=F449),--($I$5:$I$220&gt;12),--($AS$5:$AS$220=$B$369),$S$5:$S$220,$J$5:$J$220)/SUMIFS($J$5:$J$220,$I$5:$I$220,"&gt;12",$F$5:$F$220,F449,$AS$5:$AS$220,$B$369,$AE$5:$AE$220,$B$445),"")</f>
        <v/>
      </c>
      <c r="T449" s="254" t="str" cm="1">
        <f t="array" ref="T449">IFERROR(SUMPRODUCT(--($AE$5:$AE$220=$B$445),--($F$5:$F$220=F449),--($AS$5:$AS$220=$B$369),$T$5:$T$220,$J$5:$J$220)/SUMIFS($J$5:$J$220,$F$5:$F$220,F449,$AS$5:$AS$220,$B$369,$AE$5:$AE$220,$B$445),"")</f>
        <v/>
      </c>
      <c r="U449" s="254" t="str" cm="1">
        <f t="array" ref="U449">IFERROR(SUMPRODUCT(--($AE$5:$AE$220=$B$445),--($F$5:$F$220=F449),--($AS$5:$AS$220=$B$369),$U$5:$U$220,$J$5:$J$220)/SUMIFS($J$5:$J$220,$F$5:$F$220,F449,$AS$5:$AS$220,$B$369,$AE$5:$AE$220,$B$445),"")</f>
        <v/>
      </c>
      <c r="V449" s="254" t="str" cm="1">
        <f t="array" ref="V449">IFERROR(SUMPRODUCT(--($AE$5:$AE$220=$B$445),--($F$5:$F$220=F449),--($AS$5:$AS$220=$B$369),--($AR$5:$AR$220=$B$389),$V$5:$V$220,$J$5:$J$220)/SUMIFS($J$5:$J$220,$F$5:$F$220,F449,$AS$5:$AS$220,$B$369,$AE$5:$AE$220,$B$445,$AR$5:$AR$220,$B$389),"")</f>
        <v/>
      </c>
      <c r="W449" s="254" t="str" cm="1">
        <f t="array" ref="W449">IFERROR(SUMPRODUCT(--($AE$5:$AE$220=$B$445),--($F$5:$F$220=F449),--($AS$5:$AS$220=$B$369),--($AR$5:$AR$220=$B$389),$W$5:$W$220,$J$5:$J$220)/SUMIFS($J$5:$J$220,$F$5:$F$220,F449,$AS$5:$AS$220,$B$369,$AE$5:$AE$220,$B$445,$AR$5:$AR$220,$B$389),"")</f>
        <v/>
      </c>
      <c r="X449" s="256" t="str" cm="1">
        <f t="array" ref="X449">IFERROR((IFERROR(SUMPRODUCT(--($F$5:$F$220=F449),--($N$5:$N$220&gt;0),--($AS$5:$AS$220=$B$369),--($AE$5:$AE$220=$B$445),$J$5:$J$220,$Q$5:$Q$220)/SUMIFS($J$5:$J$220,$F$5:$F$220,F449,$N$5:$N$220,"&gt;0",$AS$5:$AS$220,$B$369,$AE$5:$AE$220,$B$445),""))/N449-1,"NA")</f>
        <v>NA</v>
      </c>
      <c r="Y449" s="256"/>
      <c r="Z449" s="289" t="str">
        <f t="shared" si="227"/>
        <v>NA</v>
      </c>
      <c r="AG449" s="290"/>
      <c r="AH449" s="290"/>
    </row>
    <row r="450" spans="2:34">
      <c r="B450" s="291"/>
      <c r="F450" s="184" t="s">
        <v>214</v>
      </c>
      <c r="H450" s="184">
        <f t="shared" si="225"/>
        <v>0</v>
      </c>
      <c r="I450" s="254" t="str" cm="1">
        <f t="array" ref="I450">IFERROR(SUMPRODUCT(--($AE$5:$AE$220=$B$445),--($F$5:$F$220=F450),--($AS$5:$AS$220=$B$369),$J$5:$J$220,$I$5:$I$220)/SUMIFS($J$5:$J$220,$AS$5:$AS$220,$B$369,$F$5:$F$220,F450,$AE$5:$AE$220,$B$445)/12,"")</f>
        <v/>
      </c>
      <c r="J450" s="253">
        <f t="shared" si="226"/>
        <v>0</v>
      </c>
      <c r="K450" s="253"/>
      <c r="L450" s="253"/>
      <c r="M450" s="253"/>
      <c r="N450" s="254" t="str" cm="1">
        <f t="array" ref="N450">IFERROR(SUMPRODUCT(--($F$5:$F$220=F450),--($AS$5:$AS$220=$B$369),--($AE$5:$AE$220=$B$445),$J$5:$J$220,$N$5:$N$220)/SUMIFS($J$5:$J$220,$F$5:$F$220,F450,$AS$5:$AS$220,$B$369,$N$5:$N$220,"&gt;0",$AE$5:$AE$220,$B$445),"")</f>
        <v/>
      </c>
      <c r="O450" s="254" t="str" cm="1">
        <f t="array" ref="O450">IFERROR(SUMPRODUCT(--($F$5:$F$220=F450),--($AE$5:$AE$220=$B$445),--($AS$5:$AS$220=$B$369),$J$5:$J$220,$O$5:$O$220)/SUMIFS($J$5:$J$220,$F$5:$F$220,F450,$AS$5:$AS$220,$B$369,$AE$5:$AE$220,$B$445),"")</f>
        <v/>
      </c>
      <c r="P450" s="254" t="str" cm="1">
        <f t="array" ref="P450">IFERROR(SUMPRODUCT(--($AE$5:$AE$220=$B$445),--($F$5:$F$220=F450),--($AS$5:$AS$220=$B$369),$J$5:$J$220,$P$5:$P$220)/SUMIFS($J$5:$J$220,$F$5:$F$220,F450,$AS$5:$AS$220,$B$369,$P$5:$P$220,"&gt;0",$AE$5:$AE$220,$B$445),"")</f>
        <v/>
      </c>
      <c r="Q450" s="254" t="str" cm="1">
        <f t="array" ref="Q450">IFERROR(SUMPRODUCT(--($AE$5:$AE$220=$B$445),--($F$5:$F$220=F450),--($AS$5:$AS$220=$B$369),$J$5:$J$220,$Q$5:$Q$220)/SUMIFS($J$5:$J$220,$AS$5:$AS$220,$B$369,$F$5:$F$220,F450,$AE$5:$AE$220,$B$445),"")</f>
        <v/>
      </c>
      <c r="R450" s="254" t="str" cm="1">
        <f t="array" ref="R450">IFERROR(SUMPRODUCT(--($AE$5:$AE$220=$B$445),--($F$5:$F$220=F450),--($I$5:$I$220&gt;12),--($AS$5:$AS$220=$B$369),$R$5:$R$220,$Q$5:$Q$220)/SUMIFS($Q$5:$Q$220,$I$5:$I$220,"&gt;12",$F$5:$F$220,F450,$AS$5:$AS$220,$B$369,$AE$5:$AE$220,$B$445),"")</f>
        <v/>
      </c>
      <c r="S450" s="254" t="str" cm="1">
        <f t="array" ref="S450">IFERROR(SUMPRODUCT(--($AE$5:$AE$220=$B$445),--($F$5:$F$220=F450),--($I$5:$I$220&gt;12),--($AS$5:$AS$220=$B$369),$S$5:$S$220,$J$5:$J$220)/SUMIFS($J$5:$J$220,$I$5:$I$220,"&gt;12",$F$5:$F$220,F450,$AS$5:$AS$220,$B$369,$AE$5:$AE$220,$B$445),"")</f>
        <v/>
      </c>
      <c r="T450" s="254" t="str" cm="1">
        <f t="array" ref="T450">IFERROR(SUMPRODUCT(--($AE$5:$AE$220=$B$445),--($F$5:$F$220=F450),--($AS$5:$AS$220=$B$369),$T$5:$T$220,$J$5:$J$220)/SUMIFS($J$5:$J$220,$F$5:$F$220,F450,$AS$5:$AS$220,$B$369,$AE$5:$AE$220,$B$445),"")</f>
        <v/>
      </c>
      <c r="U450" s="254" t="str" cm="1">
        <f t="array" ref="U450">IFERROR(SUMPRODUCT(--($AE$5:$AE$220=$B$445),--($F$5:$F$220=F450),--($AS$5:$AS$220=$B$369),$U$5:$U$220,$J$5:$J$220)/SUMIFS($J$5:$J$220,$F$5:$F$220,F450,$AS$5:$AS$220,$B$369,$AE$5:$AE$220,$B$445),"")</f>
        <v/>
      </c>
      <c r="V450" s="254" t="str" cm="1">
        <f t="array" ref="V450">IFERROR(SUMPRODUCT(--($AE$5:$AE$220=$B$445),--($F$5:$F$220=F450),--($AS$5:$AS$220=$B$369),--($AR$5:$AR$220=$B$389),$V$5:$V$220,$J$5:$J$220)/SUMIFS($J$5:$J$220,$F$5:$F$220,F450,$AS$5:$AS$220,$B$369,$AE$5:$AE$220,$B$445,$AR$5:$AR$220,$B$389),"")</f>
        <v/>
      </c>
      <c r="W450" s="254" t="str" cm="1">
        <f t="array" ref="W450">IFERROR(SUMPRODUCT(--($AE$5:$AE$220=$B$445),--($F$5:$F$220=F450),--($AS$5:$AS$220=$B$369),--($AR$5:$AR$220=$B$389),$W$5:$W$220,$J$5:$J$220)/SUMIFS($J$5:$J$220,$F$5:$F$220,F450,$AS$5:$AS$220,$B$369,$AE$5:$AE$220,$B$445,$AR$5:$AR$220,$B$389),"")</f>
        <v/>
      </c>
      <c r="X450" s="256" t="str" cm="1">
        <f t="array" ref="X450">IFERROR((IFERROR(SUMPRODUCT(--($F$5:$F$220=F450),--($N$5:$N$220&gt;0),--($AS$5:$AS$220=$B$369),--($AE$5:$AE$220=$B$445),$J$5:$J$220,$Q$5:$Q$220)/SUMIFS($J$5:$J$220,$F$5:$F$220,F450,$N$5:$N$220,"&gt;0",$AS$5:$AS$220,$B$369,$AE$5:$AE$220,$B$445),""))/N450-1,"NA")</f>
        <v>NA</v>
      </c>
      <c r="Y450" s="256"/>
      <c r="Z450" s="289" t="str">
        <f t="shared" si="227"/>
        <v>NA</v>
      </c>
      <c r="AG450" s="290"/>
      <c r="AH450" s="290"/>
    </row>
    <row r="451" spans="2:34">
      <c r="B451" s="291"/>
      <c r="F451" s="184" t="s">
        <v>244</v>
      </c>
      <c r="H451" s="184">
        <f t="shared" si="225"/>
        <v>1</v>
      </c>
      <c r="I451" s="254" cm="1">
        <f t="array" ref="I451">IFERROR(SUMPRODUCT(--($AE$5:$AE$220=$B$445),--($F$5:$F$220=F451),--($AS$5:$AS$220=$B$369),$J$5:$J$220,$I$5:$I$220)/SUMIFS($J$5:$J$220,$AS$5:$AS$220,$B$369,$F$5:$F$220,F451,$AE$5:$AE$220,$B$445)/12,"")</f>
        <v>3.0833333333333335</v>
      </c>
      <c r="J451" s="253">
        <f t="shared" si="226"/>
        <v>6924</v>
      </c>
      <c r="K451" s="253"/>
      <c r="L451" s="253"/>
      <c r="M451" s="253"/>
      <c r="N451" s="254" cm="1">
        <f t="array" ref="N451">IFERROR(SUMPRODUCT(--($F$5:$F$220=F451),--($AS$5:$AS$220=$B$369),--($AE$5:$AE$220=$B$445),$J$5:$J$220,$N$5:$N$220)/SUMIFS($J$5:$J$220,$F$5:$F$220,F451,$AS$5:$AS$220,$B$369,$N$5:$N$220,"&gt;0",$AE$5:$AE$220,$B$445),"")</f>
        <v>8.1199999999999992</v>
      </c>
      <c r="O451" s="254" cm="1">
        <f t="array" ref="O451">IFERROR(SUMPRODUCT(--($F$5:$F$220=F451),--($AE$5:$AE$220=$B$445),--($AS$5:$AS$220=$B$369),$J$5:$J$220,$O$5:$O$220)/SUMIFS($J$5:$J$220,$F$5:$F$220,F451,$AS$5:$AS$220,$B$369,$AE$5:$AE$220,$B$445),"")</f>
        <v>8.1199999999999992</v>
      </c>
      <c r="P451" s="254" cm="1">
        <f t="array" ref="P451">IFERROR(SUMPRODUCT(--($AE$5:$AE$220=$B$445),--($F$5:$F$220=F451),--($AS$5:$AS$220=$B$369),$J$5:$J$220,$P$5:$P$220)/SUMIFS($J$5:$J$220,$F$5:$F$220,F451,$AS$5:$AS$220,$B$369,$P$5:$P$220,"&gt;0",$AE$5:$AE$220,$B$445),"")</f>
        <v>8.25</v>
      </c>
      <c r="Q451" s="254" cm="1">
        <f t="array" ref="Q451">IFERROR(SUMPRODUCT(--($AE$5:$AE$220=$B$445),--($F$5:$F$220=F451),--($AS$5:$AS$220=$B$369),$J$5:$J$220,$Q$5:$Q$220)/SUMIFS($J$5:$J$220,$AS$5:$AS$220,$B$369,$F$5:$F$220,F451,$AE$5:$AE$220,$B$445),"")</f>
        <v>11.5</v>
      </c>
      <c r="R451" s="254" cm="1">
        <f t="array" ref="R451">IFERROR(SUMPRODUCT(--($AE$5:$AE$220=$B$445),--($F$5:$F$220=F451),--($I$5:$I$220&gt;12),--($AS$5:$AS$220=$B$369),$R$5:$R$220,$Q$5:$Q$220)/SUMIFS($Q$5:$Q$220,$I$5:$I$220,"&gt;12",$F$5:$F$220,F451,$AS$5:$AS$220,$B$369,$AE$5:$AE$220,$B$445),"")</f>
        <v>4.5</v>
      </c>
      <c r="S451" s="254" cm="1">
        <f t="array" ref="S451">IFERROR(SUMPRODUCT(--($AE$5:$AE$220=$B$445),--($F$5:$F$220=F451),--($I$5:$I$220&gt;12),--($AS$5:$AS$220=$B$369),$S$5:$S$220,$J$5:$J$220)/SUMIFS($J$5:$J$220,$I$5:$I$220,"&gt;12",$F$5:$F$220,F451,$AS$5:$AS$220,$B$369,$AE$5:$AE$220,$B$445),"")</f>
        <v>3</v>
      </c>
      <c r="T451" s="254" cm="1">
        <f t="array" ref="T451">IFERROR(SUMPRODUCT(--($AE$5:$AE$220=$B$445),--($F$5:$F$220=F451),--($AS$5:$AS$220=$B$369),$T$5:$T$220,$J$5:$J$220)/SUMIFS($J$5:$J$220,$F$5:$F$220,F451,$AS$5:$AS$220,$B$369,$AE$5:$AE$220,$B$445),"")</f>
        <v>0</v>
      </c>
      <c r="U451" s="254" cm="1">
        <f t="array" ref="U451">IFERROR(SUMPRODUCT(--($AE$5:$AE$220=$B$445),--($F$5:$F$220=F451),--($AS$5:$AS$220=$B$369),$U$5:$U$220,$J$5:$J$220)/SUMIFS($J$5:$J$220,$F$5:$F$220,F451,$AS$5:$AS$220,$B$369,$AE$5:$AE$220,$B$445),"")</f>
        <v>0</v>
      </c>
      <c r="V451" s="254" cm="1">
        <f t="array" ref="V451">IFERROR(SUMPRODUCT(--($AE$5:$AE$220=$B$445),--($F$5:$F$220=F451),--($AS$5:$AS$220=$B$369),--($AR$5:$AR$220=$B$389),$V$5:$V$220,$J$5:$J$220)/SUMIFS($J$5:$J$220,$F$5:$F$220,F451,$AS$5:$AS$220,$B$369,$AE$5:$AE$220,$B$445,$AR$5:$AR$220,$B$389),"")</f>
        <v>7</v>
      </c>
      <c r="W451" s="254" cm="1">
        <f t="array" ref="W451">IFERROR(SUMPRODUCT(--($AE$5:$AE$220=$B$445),--($F$5:$F$220=F451),--($AS$5:$AS$220=$B$369),--($AR$5:$AR$220=$B$389),$W$5:$W$220,$J$5:$J$220)/SUMIFS($J$5:$J$220,$F$5:$F$220,F451,$AS$5:$AS$220,$B$369,$AE$5:$AE$220,$B$445,$AR$5:$AR$220,$B$389),"")</f>
        <v>6</v>
      </c>
      <c r="X451" s="256" cm="1">
        <f t="array" ref="X451">IFERROR((IFERROR(SUMPRODUCT(--($F$5:$F$220=F451),--($N$5:$N$220&gt;0),--($AS$5:$AS$220=$B$369),--($AE$5:$AE$220=$B$445),$J$5:$J$220,$Q$5:$Q$220)/SUMIFS($J$5:$J$220,$F$5:$F$220,F451,$N$5:$N$220,"&gt;0",$AS$5:$AS$220,$B$369,$AE$5:$AE$220,$B$445),""))/N451-1,"NA")</f>
        <v>0.41625615763546819</v>
      </c>
      <c r="Y451" s="256"/>
      <c r="Z451" s="289">
        <f t="shared" si="227"/>
        <v>0.41625615763546819</v>
      </c>
      <c r="AG451" s="290"/>
      <c r="AH451" s="290"/>
    </row>
    <row r="452" spans="2:34">
      <c r="B452" s="291"/>
      <c r="F452" s="184" t="s">
        <v>181</v>
      </c>
      <c r="H452" s="184">
        <f t="shared" si="225"/>
        <v>1</v>
      </c>
      <c r="I452" s="254" cm="1">
        <f t="array" ref="I452">IFERROR(SUMPRODUCT(--($AE$5:$AE$220=$B$445),--($F$5:$F$220=F452),--($AS$5:$AS$220=$B$369),$J$5:$J$220,$I$5:$I$220)/SUMIFS($J$5:$J$220,$AS$5:$AS$220,$B$369,$F$5:$F$220,F452,$AE$5:$AE$220,$B$445)/12,"")</f>
        <v>6.416666666666667</v>
      </c>
      <c r="J452" s="253">
        <f t="shared" si="226"/>
        <v>31994</v>
      </c>
      <c r="K452" s="253"/>
      <c r="L452" s="253"/>
      <c r="M452" s="253"/>
      <c r="N452" s="254" cm="1">
        <f t="array" ref="N452">IFERROR(SUMPRODUCT(--($F$5:$F$220=F452),--($AS$5:$AS$220=$B$369),--($AE$5:$AE$220=$B$445),$J$5:$J$220,$N$5:$N$220)/SUMIFS($J$5:$J$220,$F$5:$F$220,F452,$AS$5:$AS$220,$B$369,$N$5:$N$220,"&gt;0",$AE$5:$AE$220,$B$445),"")</f>
        <v>6.26</v>
      </c>
      <c r="O452" s="254" cm="1">
        <f t="array" ref="O452">IFERROR(SUMPRODUCT(--($F$5:$F$220=F452),--($AE$5:$AE$220=$B$445),--($AS$5:$AS$220=$B$369),$J$5:$J$220,$O$5:$O$220)/SUMIFS($J$5:$J$220,$F$5:$F$220,F452,$AS$5:$AS$220,$B$369,$AE$5:$AE$220,$B$445),"")</f>
        <v>9.6999999999999993</v>
      </c>
      <c r="P452" s="254" cm="1">
        <f t="array" ref="P452">IFERROR(SUMPRODUCT(--($AE$5:$AE$220=$B$445),--($F$5:$F$220=F452),--($AS$5:$AS$220=$B$369),$J$5:$J$220,$P$5:$P$220)/SUMIFS($J$5:$J$220,$F$5:$F$220,F452,$AS$5:$AS$220,$B$369,$P$5:$P$220,"&gt;0",$AE$5:$AE$220,$B$445),"")</f>
        <v>11</v>
      </c>
      <c r="Q452" s="254" cm="1">
        <f t="array" ref="Q452">IFERROR(SUMPRODUCT(--($AE$5:$AE$220=$B$445),--($F$5:$F$220=F452),--($AS$5:$AS$220=$B$369),$J$5:$J$220,$Q$5:$Q$220)/SUMIFS($J$5:$J$220,$AS$5:$AS$220,$B$369,$F$5:$F$220,F452,$AE$5:$AE$220,$B$445),"")</f>
        <v>8</v>
      </c>
      <c r="R452" s="254" cm="1">
        <f t="array" ref="R452">IFERROR(SUMPRODUCT(--($AE$5:$AE$220=$B$445),--($F$5:$F$220=F452),--($I$5:$I$220&gt;12),--($AS$5:$AS$220=$B$369),$R$5:$R$220,$Q$5:$Q$220)/SUMIFS($Q$5:$Q$220,$I$5:$I$220,"&gt;12",$F$5:$F$220,F452,$AS$5:$AS$220,$B$369,$AE$5:$AE$220,$B$445),"")</f>
        <v>3.75</v>
      </c>
      <c r="S452" s="254" cm="1">
        <f t="array" ref="S452">IFERROR(SUMPRODUCT(--($AE$5:$AE$220=$B$445),--($F$5:$F$220=F452),--($I$5:$I$220&gt;12),--($AS$5:$AS$220=$B$369),$S$5:$S$220,$J$5:$J$220)/SUMIFS($J$5:$J$220,$I$5:$I$220,"&gt;12",$F$5:$F$220,F452,$AS$5:$AS$220,$B$369,$AE$5:$AE$220,$B$445),"")</f>
        <v>4</v>
      </c>
      <c r="T452" s="254" cm="1">
        <f t="array" ref="T452">IFERROR(SUMPRODUCT(--($AE$5:$AE$220=$B$445),--($F$5:$F$220=F452),--($AS$5:$AS$220=$B$369),$T$5:$T$220,$J$5:$J$220)/SUMIFS($J$5:$J$220,$F$5:$F$220,F452,$AS$5:$AS$220,$B$369,$AE$5:$AE$220,$B$445),"")</f>
        <v>0</v>
      </c>
      <c r="U452" s="254" cm="1">
        <f t="array" ref="U452">IFERROR(SUMPRODUCT(--($AE$5:$AE$220=$B$445),--($F$5:$F$220=F452),--($AS$5:$AS$220=$B$369),$U$5:$U$220,$J$5:$J$220)/SUMIFS($J$5:$J$220,$F$5:$F$220,F452,$AS$5:$AS$220,$B$369,$AE$5:$AE$220,$B$445),"")</f>
        <v>0</v>
      </c>
      <c r="V452" s="254" cm="1">
        <f t="array" ref="V452">IFERROR(SUMPRODUCT(--($AE$5:$AE$220=$B$445),--($F$5:$F$220=F452),--($AS$5:$AS$220=$B$369),--($AR$5:$AR$220=$B$389),$V$5:$V$220,$J$5:$J$220)/SUMIFS($J$5:$J$220,$F$5:$F$220,F452,$AS$5:$AS$220,$B$369,$AE$5:$AE$220,$B$445,$AR$5:$AR$220,$B$389),"")</f>
        <v>16</v>
      </c>
      <c r="W452" s="254" cm="1">
        <f t="array" ref="W452">IFERROR(SUMPRODUCT(--($AE$5:$AE$220=$B$445),--($F$5:$F$220=F452),--($AS$5:$AS$220=$B$369),--($AR$5:$AR$220=$B$389),$W$5:$W$220,$J$5:$J$220)/SUMIFS($J$5:$J$220,$F$5:$F$220,F452,$AS$5:$AS$220,$B$369,$AE$5:$AE$220,$B$445,$AR$5:$AR$220,$B$389),"")</f>
        <v>6</v>
      </c>
      <c r="X452" s="256" cm="1">
        <f t="array" ref="X452">IFERROR((IFERROR(SUMPRODUCT(--($F$5:$F$220=F452),--($N$5:$N$220&gt;0),--($AS$5:$AS$220=$B$369),--($AE$5:$AE$220=$B$445),$J$5:$J$220,$Q$5:$Q$220)/SUMIFS($J$5:$J$220,$F$5:$F$220,F452,$N$5:$N$220,"&gt;0",$AS$5:$AS$220,$B$369,$AE$5:$AE$220,$B$445),""))/N452-1,"NA")</f>
        <v>0.27795527156549515</v>
      </c>
      <c r="Y452" s="256"/>
      <c r="Z452" s="289">
        <f t="shared" si="227"/>
        <v>-0.17525773195876282</v>
      </c>
      <c r="AG452" s="290"/>
      <c r="AH452" s="290"/>
    </row>
    <row r="453" spans="2:34">
      <c r="B453" s="291"/>
      <c r="F453" s="184" t="s">
        <v>600</v>
      </c>
      <c r="H453" s="184">
        <f t="shared" si="225"/>
        <v>0</v>
      </c>
      <c r="I453" s="254" t="str" cm="1">
        <f t="array" ref="I453">IFERROR(SUMPRODUCT(--($AE$5:$AE$220=$B$445),--($F$5:$F$220=F453),--($AS$5:$AS$220=$B$369),$J$5:$J$220,$I$5:$I$220)/SUMIFS($J$5:$J$220,$AS$5:$AS$220,$B$369,$F$5:$F$220,F453,$AE$5:$AE$220,$B$445)/12,"")</f>
        <v/>
      </c>
      <c r="J453" s="253">
        <f t="shared" si="226"/>
        <v>0</v>
      </c>
      <c r="K453" s="253"/>
      <c r="L453" s="253"/>
      <c r="M453" s="253"/>
      <c r="N453" s="254" t="str" cm="1">
        <f t="array" ref="N453">IFERROR(SUMPRODUCT(--($F$5:$F$220=F453),--($AS$5:$AS$220=$B$369),--($AE$5:$AE$220=$B$445),$J$5:$J$220,$N$5:$N$220)/SUMIFS($J$5:$J$220,$F$5:$F$220,F453,$AS$5:$AS$220,$B$369,$N$5:$N$220,"&gt;0",$AE$5:$AE$220,$B$445),"")</f>
        <v/>
      </c>
      <c r="O453" s="254" t="str" cm="1">
        <f t="array" ref="O453">IFERROR(SUMPRODUCT(--($F$5:$F$220=F453),--($AE$5:$AE$220=$B$445),--($AS$5:$AS$220=$B$369),$J$5:$J$220,$O$5:$O$220)/SUMIFS($J$5:$J$220,$F$5:$F$220,F453,$AS$5:$AS$220,$B$369,$AE$5:$AE$220,$B$445),"")</f>
        <v/>
      </c>
      <c r="P453" s="254" t="str" cm="1">
        <f t="array" ref="P453">IFERROR(SUMPRODUCT(--($AE$5:$AE$220=$B$445),--($F$5:$F$220=F453),--($AS$5:$AS$220=$B$369),$J$5:$J$220,$P$5:$P$220)/SUMIFS($J$5:$J$220,$F$5:$F$220,F453,$AS$5:$AS$220,$B$369,$P$5:$P$220,"&gt;0",$AE$5:$AE$220,$B$445),"")</f>
        <v/>
      </c>
      <c r="Q453" s="254" t="str" cm="1">
        <f t="array" ref="Q453">IFERROR(SUMPRODUCT(--($AE$5:$AE$220=$B$445),--($F$5:$F$220=F453),--($AS$5:$AS$220=$B$369),$J$5:$J$220,$Q$5:$Q$220)/SUMIFS($J$5:$J$220,$AS$5:$AS$220,$B$369,$F$5:$F$220,F453,$AE$5:$AE$220,$B$445),"")</f>
        <v/>
      </c>
      <c r="R453" s="254" t="str" cm="1">
        <f t="array" ref="R453">IFERROR(SUMPRODUCT(--($AE$5:$AE$220=$B$445),--($F$5:$F$220=F453),--($I$5:$I$220&gt;12),--($AS$5:$AS$220=$B$369),$R$5:$R$220,$Q$5:$Q$220)/SUMIFS($Q$5:$Q$220,$I$5:$I$220,"&gt;12",$F$5:$F$220,F453,$AS$5:$AS$220,$B$369,$AE$5:$AE$220,$B$445),"")</f>
        <v/>
      </c>
      <c r="S453" s="254" t="str" cm="1">
        <f t="array" ref="S453">IFERROR(SUMPRODUCT(--($AE$5:$AE$220=$B$445),--($F$5:$F$220=F453),--($I$5:$I$220&gt;12),--($AS$5:$AS$220=$B$369),$S$5:$S$220,$J$5:$J$220)/SUMIFS($J$5:$J$220,$I$5:$I$220,"&gt;12",$F$5:$F$220,F453,$AS$5:$AS$220,$B$369,$AE$5:$AE$220,$B$445),"")</f>
        <v/>
      </c>
      <c r="T453" s="254" t="str" cm="1">
        <f t="array" ref="T453">IFERROR(SUMPRODUCT(--($AE$5:$AE$220=$B$445),--($F$5:$F$220=F453),--($AS$5:$AS$220=$B$369),$T$5:$T$220,$J$5:$J$220)/SUMIFS($J$5:$J$220,$F$5:$F$220,F453,$AS$5:$AS$220,$B$369,$AE$5:$AE$220,$B$445),"")</f>
        <v/>
      </c>
      <c r="U453" s="254" t="str" cm="1">
        <f t="array" ref="U453">IFERROR(SUMPRODUCT(--($AE$5:$AE$220=$B$445),--($F$5:$F$220=F453),--($AS$5:$AS$220=$B$369),$U$5:$U$220,$J$5:$J$220)/SUMIFS($J$5:$J$220,$F$5:$F$220,F453,$AS$5:$AS$220,$B$369,$AE$5:$AE$220,$B$445),"")</f>
        <v/>
      </c>
      <c r="V453" s="254" t="str" cm="1">
        <f t="array" ref="V453">IFERROR(SUMPRODUCT(--($AE$5:$AE$220=$B$445),--($F$5:$F$220=F453),--($AS$5:$AS$220=$B$369),--($AR$5:$AR$220=$B$389),$V$5:$V$220,$J$5:$J$220)/SUMIFS($J$5:$J$220,$F$5:$F$220,F453,$AS$5:$AS$220,$B$369,$AE$5:$AE$220,$B$445,$AR$5:$AR$220,$B$389),"")</f>
        <v/>
      </c>
      <c r="W453" s="254" t="str" cm="1">
        <f t="array" ref="W453">IFERROR(SUMPRODUCT(--($AE$5:$AE$220=$B$445),--($F$5:$F$220=F453),--($AS$5:$AS$220=$B$369),--($AR$5:$AR$220=$B$389),$W$5:$W$220,$J$5:$J$220)/SUMIFS($J$5:$J$220,$F$5:$F$220,F453,$AS$5:$AS$220,$B$369,$AE$5:$AE$220,$B$445,$AR$5:$AR$220,$B$389),"")</f>
        <v/>
      </c>
      <c r="X453" s="256" t="str" cm="1">
        <f t="array" ref="X453">IFERROR((IFERROR(SUMPRODUCT(--($F$5:$F$220=F453),--($N$5:$N$220&gt;0),--($AS$5:$AS$220=$B$369),--($AE$5:$AE$220=$B$445),$J$5:$J$220,$Q$5:$Q$220)/SUMIFS($J$5:$J$220,$F$5:$F$220,F453,$N$5:$N$220,"&gt;0",$AS$5:$AS$220,$B$369,$AE$5:$AE$220,$B$445),""))/N453-1,"NA")</f>
        <v>NA</v>
      </c>
      <c r="Y453" s="256"/>
      <c r="Z453" s="289" t="str">
        <f t="shared" si="227"/>
        <v>NA</v>
      </c>
      <c r="AG453" s="290"/>
      <c r="AH453" s="290"/>
    </row>
    <row r="454" spans="2:34">
      <c r="B454" s="291"/>
      <c r="F454" s="184" t="s">
        <v>221</v>
      </c>
      <c r="H454" s="184">
        <f t="shared" si="225"/>
        <v>0</v>
      </c>
      <c r="I454" s="254" t="str" cm="1">
        <f t="array" ref="I454">IFERROR(SUMPRODUCT(--($AE$5:$AE$220=$B$445),--($F$5:$F$220=F454),--($AS$5:$AS$220=$B$369),$J$5:$J$220,$I$5:$I$220)/SUMIFS($J$5:$J$220,$AS$5:$AS$220,$B$369,$F$5:$F$220,F454,$AE$5:$AE$220,$B$445)/12,"")</f>
        <v/>
      </c>
      <c r="J454" s="253">
        <f t="shared" si="226"/>
        <v>0</v>
      </c>
      <c r="K454" s="253"/>
      <c r="L454" s="253"/>
      <c r="M454" s="253"/>
      <c r="N454" s="254" t="str" cm="1">
        <f t="array" ref="N454">IFERROR(SUMPRODUCT(--($F$5:$F$220=F454),--($AS$5:$AS$220=$B$369),--($AE$5:$AE$220=$B$445),$J$5:$J$220,$N$5:$N$220)/SUMIFS($J$5:$J$220,$F$5:$F$220,F454,$AS$5:$AS$220,$B$369,$N$5:$N$220,"&gt;0",$AE$5:$AE$220,$B$445),"")</f>
        <v/>
      </c>
      <c r="O454" s="254" t="str" cm="1">
        <f t="array" ref="O454">IFERROR(SUMPRODUCT(--($F$5:$F$220=F454),--($AE$5:$AE$220=$B$445),--($AS$5:$AS$220=$B$369),$J$5:$J$220,$O$5:$O$220)/SUMIFS($J$5:$J$220,$F$5:$F$220,F454,$AS$5:$AS$220,$B$369,$AE$5:$AE$220,$B$445),"")</f>
        <v/>
      </c>
      <c r="P454" s="254" t="str" cm="1">
        <f t="array" ref="P454">IFERROR(SUMPRODUCT(--($AE$5:$AE$220=$B$445),--($F$5:$F$220=F454),--($AS$5:$AS$220=$B$369),$J$5:$J$220,$P$5:$P$220)/SUMIFS($J$5:$J$220,$F$5:$F$220,F454,$AS$5:$AS$220,$B$369,$P$5:$P$220,"&gt;0",$AE$5:$AE$220,$B$445),"")</f>
        <v/>
      </c>
      <c r="Q454" s="254" t="str" cm="1">
        <f t="array" ref="Q454">IFERROR(SUMPRODUCT(--($AE$5:$AE$220=$B$445),--($F$5:$F$220=F454),--($AS$5:$AS$220=$B$369),$J$5:$J$220,$Q$5:$Q$220)/SUMIFS($J$5:$J$220,$AS$5:$AS$220,$B$369,$F$5:$F$220,F454,$AE$5:$AE$220,$B$445),"")</f>
        <v/>
      </c>
      <c r="R454" s="254" t="str" cm="1">
        <f t="array" ref="R454">IFERROR(SUMPRODUCT(--($AE$5:$AE$220=$B$445),--($F$5:$F$220=F454),--($I$5:$I$220&gt;12),--($AS$5:$AS$220=$B$369),$R$5:$R$220,$Q$5:$Q$220)/SUMIFS($Q$5:$Q$220,$I$5:$I$220,"&gt;12",$F$5:$F$220,F454,$AS$5:$AS$220,$B$369,$AE$5:$AE$220,$B$445),"")</f>
        <v/>
      </c>
      <c r="S454" s="254" t="str" cm="1">
        <f t="array" ref="S454">IFERROR(SUMPRODUCT(--($AE$5:$AE$220=$B$445),--($F$5:$F$220=F454),--($I$5:$I$220&gt;12),--($AS$5:$AS$220=$B$369),$S$5:$S$220,$J$5:$J$220)/SUMIFS($J$5:$J$220,$I$5:$I$220,"&gt;12",$F$5:$F$220,F454,$AS$5:$AS$220,$B$369,$AE$5:$AE$220,$B$445),"")</f>
        <v/>
      </c>
      <c r="T454" s="254" t="str" cm="1">
        <f t="array" ref="T454">IFERROR(SUMPRODUCT(--($AE$5:$AE$220=$B$445),--($F$5:$F$220=F454),--($AS$5:$AS$220=$B$369),$T$5:$T$220,$J$5:$J$220)/SUMIFS($J$5:$J$220,$F$5:$F$220,F454,$AS$5:$AS$220,$B$369,$AE$5:$AE$220,$B$445),"")</f>
        <v/>
      </c>
      <c r="U454" s="254" t="str" cm="1">
        <f t="array" ref="U454">IFERROR(SUMPRODUCT(--($AE$5:$AE$220=$B$445),--($F$5:$F$220=F454),--($AS$5:$AS$220=$B$369),$U$5:$U$220,$J$5:$J$220)/SUMIFS($J$5:$J$220,$F$5:$F$220,F454,$AS$5:$AS$220,$B$369,$AE$5:$AE$220,$B$445),"")</f>
        <v/>
      </c>
      <c r="V454" s="254" t="str" cm="1">
        <f t="array" ref="V454">IFERROR(SUMPRODUCT(--($AE$5:$AE$220=$B$445),--($F$5:$F$220=F454),--($AS$5:$AS$220=$B$369),--($AR$5:$AR$220=$B$389),$V$5:$V$220,$J$5:$J$220)/SUMIFS($J$5:$J$220,$F$5:$F$220,F454,$AS$5:$AS$220,$B$369,$AE$5:$AE$220,$B$445,$AR$5:$AR$220,$B$389),"")</f>
        <v/>
      </c>
      <c r="W454" s="254" t="str" cm="1">
        <f t="array" ref="W454">IFERROR(SUMPRODUCT(--($AE$5:$AE$220=$B$445),--($F$5:$F$220=F454),--($AS$5:$AS$220=$B$369),--($AR$5:$AR$220=$B$389),$W$5:$W$220,$J$5:$J$220)/SUMIFS($J$5:$J$220,$F$5:$F$220,F454,$AS$5:$AS$220,$B$369,$AE$5:$AE$220,$B$445,$AR$5:$AR$220,$B$389),"")</f>
        <v/>
      </c>
      <c r="X454" s="256" t="str" cm="1">
        <f t="array" ref="X454">IFERROR((IFERROR(SUMPRODUCT(--($F$5:$F$220=F454),--($N$5:$N$220&gt;0),--($AS$5:$AS$220=$B$369),--($AE$5:$AE$220=$B$445),$J$5:$J$220,$Q$5:$Q$220)/SUMIFS($J$5:$J$220,$F$5:$F$220,F454,$N$5:$N$220,"&gt;0",$AS$5:$AS$220,$B$369,$AE$5:$AE$220,$B$445),""))/N454-1,"NA")</f>
        <v>NA</v>
      </c>
      <c r="Y454" s="256"/>
      <c r="Z454" s="289" t="str">
        <f t="shared" si="227"/>
        <v>NA</v>
      </c>
      <c r="AG454" s="290"/>
      <c r="AH454" s="290"/>
    </row>
    <row r="455" spans="2:34">
      <c r="B455" s="291"/>
      <c r="F455" s="184" t="s">
        <v>158</v>
      </c>
      <c r="H455" s="184">
        <f t="shared" si="225"/>
        <v>3</v>
      </c>
      <c r="I455" s="254" cm="1">
        <f t="array" ref="I455">IFERROR(SUMPRODUCT(--($AE$5:$AE$220=$B$445),--($F$5:$F$220=F455),--($AS$5:$AS$220=$B$369),$J$5:$J$220,$I$5:$I$220)/SUMIFS($J$5:$J$220,$AS$5:$AS$220,$B$369,$F$5:$F$220,F455,$AE$5:$AE$220,$B$445)/12,"")</f>
        <v>4.5175887213180035</v>
      </c>
      <c r="J455" s="253">
        <f t="shared" si="226"/>
        <v>26788</v>
      </c>
      <c r="K455" s="253"/>
      <c r="L455" s="253"/>
      <c r="M455" s="253"/>
      <c r="N455" s="254" cm="1">
        <f t="array" ref="N455">IFERROR(SUMPRODUCT(--($F$5:$F$220=F455),--($AS$5:$AS$220=$B$369),--($AE$5:$AE$220=$B$445),$J$5:$J$220,$N$5:$N$220)/SUMIFS($J$5:$J$220,$F$5:$F$220,F455,$AS$5:$AS$220,$B$369,$N$5:$N$220,"&gt;0",$AE$5:$AE$220,$B$445),"")</f>
        <v>4.2356768558951963</v>
      </c>
      <c r="O455" s="254" cm="1">
        <f t="array" ref="O455">IFERROR(SUMPRODUCT(--($F$5:$F$220=F455),--($AE$5:$AE$220=$B$445),--($AS$5:$AS$220=$B$369),$J$5:$J$220,$O$5:$O$220)/SUMIFS($J$5:$J$220,$F$5:$F$220,F455,$AS$5:$AS$220,$B$369,$AE$5:$AE$220,$B$445),"")</f>
        <v>4.8745707032999848</v>
      </c>
      <c r="P455" s="254" cm="1">
        <f t="array" ref="P455">IFERROR(SUMPRODUCT(--($AE$5:$AE$220=$B$445),--($F$5:$F$220=F455),--($AS$5:$AS$220=$B$369),$J$5:$J$220,$P$5:$P$220)/SUMIFS($J$5:$J$220,$F$5:$F$220,F455,$AS$5:$AS$220,$B$369,$P$5:$P$220,"&gt;0",$AE$5:$AE$220,$B$445),"")</f>
        <v>4.5829830521128869</v>
      </c>
      <c r="Q455" s="254" cm="1">
        <f t="array" ref="Q455">IFERROR(SUMPRODUCT(--($AE$5:$AE$220=$B$445),--($F$5:$F$220=F455),--($AS$5:$AS$220=$B$369),$J$5:$J$220,$Q$5:$Q$220)/SUMIFS($J$5:$J$220,$AS$5:$AS$220,$B$369,$F$5:$F$220,F455,$AE$5:$AE$220,$B$445),"")</f>
        <v>5.1999141406599962</v>
      </c>
      <c r="R455" s="254" cm="1">
        <f t="array" ref="R455">IFERROR(SUMPRODUCT(--($AE$5:$AE$220=$B$445),--($F$5:$F$220=F455),--($I$5:$I$220&gt;12),--($AS$5:$AS$220=$B$369),$R$5:$R$220,$Q$5:$Q$220)/SUMIFS($Q$5:$Q$220,$I$5:$I$220,"&gt;12",$F$5:$F$220,F455,$AS$5:$AS$220,$B$369,$AE$5:$AE$220,$B$445),"")</f>
        <v>3.3233438485804414</v>
      </c>
      <c r="S455" s="254" cm="1">
        <f t="array" ref="S455">IFERROR(SUMPRODUCT(--($AE$5:$AE$220=$B$445),--($F$5:$F$220=F455),--($I$5:$I$220&gt;12),--($AS$5:$AS$220=$B$369),$S$5:$S$220,$J$5:$J$220)/SUMIFS($J$5:$J$220,$I$5:$I$220,"&gt;12",$F$5:$F$220,F455,$AS$5:$AS$220,$B$369,$AE$5:$AE$220,$B$445),"")</f>
        <v>3</v>
      </c>
      <c r="T455" s="254" cm="1">
        <f t="array" ref="T455">IFERROR(SUMPRODUCT(--($AE$5:$AE$220=$B$445),--($F$5:$F$220=F455),--($AS$5:$AS$220=$B$369),$T$5:$T$220,$J$5:$J$220)/SUMIFS($J$5:$J$220,$F$5:$F$220,F455,$AS$5:$AS$220,$B$369,$AE$5:$AE$220,$B$445),"")</f>
        <v>0</v>
      </c>
      <c r="U455" s="254" cm="1">
        <f t="array" ref="U455">IFERROR(SUMPRODUCT(--($AE$5:$AE$220=$B$445),--($F$5:$F$220=F455),--($AS$5:$AS$220=$B$369),$U$5:$U$220,$J$5:$J$220)/SUMIFS($J$5:$J$220,$F$5:$F$220,F455,$AS$5:$AS$220,$B$369,$AE$5:$AE$220,$B$445),"")</f>
        <v>0</v>
      </c>
      <c r="V455" s="254" cm="1">
        <f t="array" ref="V455">IFERROR(SUMPRODUCT(--($AE$5:$AE$220=$B$445),--($F$5:$F$220=F455),--($AS$5:$AS$220=$B$369),--($AR$5:$AR$220=$B$389),$V$5:$V$220,$J$5:$J$220)/SUMIFS($J$5:$J$220,$F$5:$F$220,F455,$AS$5:$AS$220,$B$369,$AE$5:$AE$220,$B$445,$AR$5:$AR$220,$B$389),"")</f>
        <v>4</v>
      </c>
      <c r="W455" s="254" cm="1">
        <f t="array" ref="W455">IFERROR(SUMPRODUCT(--($AE$5:$AE$220=$B$445),--($F$5:$F$220=F455),--($AS$5:$AS$220=$B$369),--($AR$5:$AR$220=$B$389),$W$5:$W$220,$J$5:$J$220)/SUMIFS($J$5:$J$220,$F$5:$F$220,F455,$AS$5:$AS$220,$B$369,$AE$5:$AE$220,$B$445,$AR$5:$AR$220,$B$389),"")</f>
        <v>12</v>
      </c>
      <c r="X455" s="256" cm="1">
        <f t="array" ref="X455">IFERROR((IFERROR(SUMPRODUCT(--($F$5:$F$220=F455),--($N$5:$N$220&gt;0),--($AS$5:$AS$220=$B$369),--($AE$5:$AE$220=$B$445),$J$5:$J$220,$Q$5:$Q$220)/SUMIFS($J$5:$J$220,$F$5:$F$220,F455,$N$5:$N$220,"&gt;0",$AS$5:$AS$220,$B$369,$AE$5:$AE$220,$B$445),""))/N455-1,"NA")</f>
        <v>0.1747786014000432</v>
      </c>
      <c r="Y455" s="256"/>
      <c r="Z455" s="289">
        <f t="shared" si="227"/>
        <v>6.6742992801347656E-2</v>
      </c>
      <c r="AG455" s="290"/>
      <c r="AH455" s="290"/>
    </row>
    <row r="456" spans="2:34">
      <c r="B456" s="291"/>
      <c r="F456" s="184" t="s">
        <v>474</v>
      </c>
      <c r="H456" s="184">
        <f t="shared" si="225"/>
        <v>0</v>
      </c>
      <c r="I456" s="254" t="str" cm="1">
        <f t="array" ref="I456">IFERROR(SUMPRODUCT(--($AE$5:$AE$220=$B$445),--($F$5:$F$220=F456),--($AS$5:$AS$220=$B$369),$J$5:$J$220,$I$5:$I$220)/SUMIFS($J$5:$J$220,$AS$5:$AS$220,$B$369,$F$5:$F$220,F456,$AE$5:$AE$220,$B$445)/12,"")</f>
        <v/>
      </c>
      <c r="J456" s="253">
        <f t="shared" si="226"/>
        <v>0</v>
      </c>
      <c r="K456" s="253"/>
      <c r="L456" s="253"/>
      <c r="M456" s="253"/>
      <c r="N456" s="254" t="str" cm="1">
        <f t="array" ref="N456">IFERROR(SUMPRODUCT(--($F$5:$F$220=F456),--($AS$5:$AS$220=$B$369),--($AE$5:$AE$220=$B$445),$J$5:$J$220,$N$5:$N$220)/SUMIFS($J$5:$J$220,$F$5:$F$220,F456,$AS$5:$AS$220,$B$369,$N$5:$N$220,"&gt;0",$AE$5:$AE$220,$B$445),"")</f>
        <v/>
      </c>
      <c r="O456" s="254" t="str" cm="1">
        <f t="array" ref="O456">IFERROR(SUMPRODUCT(--($F$5:$F$220=F456),--($AE$5:$AE$220=$B$445),--($AS$5:$AS$220=$B$369),$J$5:$J$220,$O$5:$O$220)/SUMIFS($J$5:$J$220,$F$5:$F$220,F456,$AS$5:$AS$220,$B$369,$AE$5:$AE$220,$B$445),"")</f>
        <v/>
      </c>
      <c r="P456" s="254" t="str" cm="1">
        <f t="array" ref="P456">IFERROR(SUMPRODUCT(--($AE$5:$AE$220=$B$445),--($F$5:$F$220=F456),--($AS$5:$AS$220=$B$369),$J$5:$J$220,$P$5:$P$220)/SUMIFS($J$5:$J$220,$F$5:$F$220,F456,$AS$5:$AS$220,$B$369,$P$5:$P$220,"&gt;0",$AE$5:$AE$220,$B$445),"")</f>
        <v/>
      </c>
      <c r="Q456" s="254" t="str" cm="1">
        <f t="array" ref="Q456">IFERROR(SUMPRODUCT(--($AE$5:$AE$220=$B$445),--($F$5:$F$220=F456),--($AS$5:$AS$220=$B$369),$J$5:$J$220,$Q$5:$Q$220)/SUMIFS($J$5:$J$220,$AS$5:$AS$220,$B$369,$F$5:$F$220,F456,$AE$5:$AE$220,$B$445),"")</f>
        <v/>
      </c>
      <c r="R456" s="254" t="str" cm="1">
        <f t="array" ref="R456">IFERROR(SUMPRODUCT(--($AE$5:$AE$220=$B$445),--($F$5:$F$220=F456),--($I$5:$I$220&gt;12),--($AS$5:$AS$220=$B$369),$R$5:$R$220,$Q$5:$Q$220)/SUMIFS($Q$5:$Q$220,$I$5:$I$220,"&gt;12",$F$5:$F$220,F456,$AS$5:$AS$220,$B$369,$AE$5:$AE$220,$B$445),"")</f>
        <v/>
      </c>
      <c r="S456" s="254" t="str" cm="1">
        <f t="array" ref="S456">IFERROR(SUMPRODUCT(--($AE$5:$AE$220=$B$445),--($F$5:$F$220=F456),--($I$5:$I$220&gt;12),--($AS$5:$AS$220=$B$369),$S$5:$S$220,$J$5:$J$220)/SUMIFS($J$5:$J$220,$I$5:$I$220,"&gt;12",$F$5:$F$220,F456,$AS$5:$AS$220,$B$369,$AE$5:$AE$220,$B$445),"")</f>
        <v/>
      </c>
      <c r="T456" s="254" t="str" cm="1">
        <f t="array" ref="T456">IFERROR(SUMPRODUCT(--($AE$5:$AE$220=$B$445),--($F$5:$F$220=F456),--($AS$5:$AS$220=$B$369),$T$5:$T$220,$J$5:$J$220)/SUMIFS($J$5:$J$220,$F$5:$F$220,F456,$AS$5:$AS$220,$B$369,$AE$5:$AE$220,$B$445),"")</f>
        <v/>
      </c>
      <c r="U456" s="254" t="str" cm="1">
        <f t="array" ref="U456">IFERROR(SUMPRODUCT(--($AE$5:$AE$220=$B$445),--($F$5:$F$220=F456),--($AS$5:$AS$220=$B$369),$U$5:$U$220,$J$5:$J$220)/SUMIFS($J$5:$J$220,$F$5:$F$220,F456,$AS$5:$AS$220,$B$369,$AE$5:$AE$220,$B$445),"")</f>
        <v/>
      </c>
      <c r="V456" s="254" t="str" cm="1">
        <f t="array" ref="V456">IFERROR(SUMPRODUCT(--($AE$5:$AE$220=$B$445),--($F$5:$F$220=F456),--($AS$5:$AS$220=$B$369),--($AR$5:$AR$220=$B$389),$V$5:$V$220,$J$5:$J$220)/SUMIFS($J$5:$J$220,$F$5:$F$220,F456,$AS$5:$AS$220,$B$369,$AE$5:$AE$220,$B$445,$AR$5:$AR$220,$B$389),"")</f>
        <v/>
      </c>
      <c r="W456" s="254" t="str" cm="1">
        <f t="array" ref="W456">IFERROR(SUMPRODUCT(--($AE$5:$AE$220=$B$445),--($F$5:$F$220=F456),--($AS$5:$AS$220=$B$369),--($AR$5:$AR$220=$B$389),$W$5:$W$220,$J$5:$J$220)/SUMIFS($J$5:$J$220,$F$5:$F$220,F456,$AS$5:$AS$220,$B$369,$AE$5:$AE$220,$B$445,$AR$5:$AR$220,$B$389),"")</f>
        <v/>
      </c>
      <c r="X456" s="256" t="str" cm="1">
        <f t="array" ref="X456">IFERROR((IFERROR(SUMPRODUCT(--($F$5:$F$220=F456),--($N$5:$N$220&gt;0),--($AS$5:$AS$220=$B$369),--($AE$5:$AE$220=$B$445),$J$5:$J$220,$Q$5:$Q$220)/SUMIFS($J$5:$J$220,$F$5:$F$220,F456,$N$5:$N$220,"&gt;0",$AS$5:$AS$220,$B$369,$AE$5:$AE$220,$B$445),""))/N456-1,"NA")</f>
        <v>NA</v>
      </c>
      <c r="Y456" s="256"/>
      <c r="Z456" s="289" t="str">
        <f t="shared" si="227"/>
        <v>NA</v>
      </c>
      <c r="AG456" s="290"/>
      <c r="AH456" s="290"/>
    </row>
    <row r="457" spans="2:34">
      <c r="B457" s="291"/>
      <c r="F457" s="184" t="s">
        <v>173</v>
      </c>
      <c r="H457" s="184">
        <f t="shared" si="225"/>
        <v>1</v>
      </c>
      <c r="I457" s="254" cm="1">
        <f t="array" ref="I457">IFERROR(SUMPRODUCT(--($AE$5:$AE$220=$B$445),--($F$5:$F$220=F457),--($AS$5:$AS$220=$B$369),$J$5:$J$220,$I$5:$I$220)/SUMIFS($J$5:$J$220,$AS$5:$AS$220,$B$369,$F$5:$F$220,F457,$AE$5:$AE$220,$B$445)/12,"")</f>
        <v>5</v>
      </c>
      <c r="J457" s="253">
        <f t="shared" si="226"/>
        <v>32264</v>
      </c>
      <c r="K457" s="253"/>
      <c r="L457" s="253"/>
      <c r="M457" s="253"/>
      <c r="N457" s="254" cm="1">
        <f t="array" ref="N457">IFERROR(SUMPRODUCT(--($F$5:$F$220=F457),--($AS$5:$AS$220=$B$369),--($AE$5:$AE$220=$B$445),$J$5:$J$220,$N$5:$N$220)/SUMIFS($J$5:$J$220,$F$5:$F$220,F457,$AS$5:$AS$220,$B$369,$N$5:$N$220,"&gt;0",$AE$5:$AE$220,$B$445),"")</f>
        <v>12.22</v>
      </c>
      <c r="O457" s="254" cm="1">
        <f t="array" ref="O457">IFERROR(SUMPRODUCT(--($F$5:$F$220=F457),--($AE$5:$AE$220=$B$445),--($AS$5:$AS$220=$B$369),$J$5:$J$220,$O$5:$O$220)/SUMIFS($J$5:$J$220,$F$5:$F$220,F457,$AS$5:$AS$220,$B$369,$AE$5:$AE$220,$B$445),"")</f>
        <v>13.77</v>
      </c>
      <c r="P457" s="254" cm="1">
        <f t="array" ref="P457">IFERROR(SUMPRODUCT(--($AE$5:$AE$220=$B$445),--($F$5:$F$220=F457),--($AS$5:$AS$220=$B$369),$J$5:$J$220,$P$5:$P$220)/SUMIFS($J$5:$J$220,$F$5:$F$220,F457,$AS$5:$AS$220,$B$369,$P$5:$P$220,"&gt;0",$AE$5:$AE$220,$B$445),"")</f>
        <v>15</v>
      </c>
      <c r="Q457" s="254" cm="1">
        <f t="array" ref="Q457">IFERROR(SUMPRODUCT(--($AE$5:$AE$220=$B$445),--($F$5:$F$220=F457),--($AS$5:$AS$220=$B$369),$J$5:$J$220,$Q$5:$Q$220)/SUMIFS($J$5:$J$220,$AS$5:$AS$220,$B$369,$F$5:$F$220,F457,$AE$5:$AE$220,$B$445),"")</f>
        <v>15</v>
      </c>
      <c r="R457" s="254" cm="1">
        <f t="array" ref="R457">IFERROR(SUMPRODUCT(--($AE$5:$AE$220=$B$445),--($F$5:$F$220=F457),--($I$5:$I$220&gt;12),--($AS$5:$AS$220=$B$369),$R$5:$R$220,$Q$5:$Q$220)/SUMIFS($Q$5:$Q$220,$I$5:$I$220,"&gt;12",$F$5:$F$220,F457,$AS$5:$AS$220,$B$369,$AE$5:$AE$220,$B$445),"")</f>
        <v>3</v>
      </c>
      <c r="S457" s="254" cm="1">
        <f t="array" ref="S457">IFERROR(SUMPRODUCT(--($AE$5:$AE$220=$B$445),--($F$5:$F$220=F457),--($I$5:$I$220&gt;12),--($AS$5:$AS$220=$B$369),$S$5:$S$220,$J$5:$J$220)/SUMIFS($J$5:$J$220,$I$5:$I$220,"&gt;12",$F$5:$F$220,F457,$AS$5:$AS$220,$B$369,$AE$5:$AE$220,$B$445),"")</f>
        <v>3.5</v>
      </c>
      <c r="T457" s="254" cm="1">
        <f t="array" ref="T457">IFERROR(SUMPRODUCT(--($AE$5:$AE$220=$B$445),--($F$5:$F$220=F457),--($AS$5:$AS$220=$B$369),$T$5:$T$220,$J$5:$J$220)/SUMIFS($J$5:$J$220,$F$5:$F$220,F457,$AS$5:$AS$220,$B$369,$AE$5:$AE$220,$B$445),"")</f>
        <v>0</v>
      </c>
      <c r="U457" s="254" cm="1">
        <f t="array" ref="U457">IFERROR(SUMPRODUCT(--($AE$5:$AE$220=$B$445),--($F$5:$F$220=F457),--($AS$5:$AS$220=$B$369),$U$5:$U$220,$J$5:$J$220)/SUMIFS($J$5:$J$220,$F$5:$F$220,F457,$AS$5:$AS$220,$B$369,$AE$5:$AE$220,$B$445),"")</f>
        <v>0</v>
      </c>
      <c r="V457" s="254" t="str" cm="1">
        <f t="array" ref="V457">IFERROR(SUMPRODUCT(--($AE$5:$AE$220=$B$445),--($F$5:$F$220=F457),--($AS$5:$AS$220=$B$369),--($AR$5:$AR$220=$B$389),$V$5:$V$220,$J$5:$J$220)/SUMIFS($J$5:$J$220,$F$5:$F$220,F457,$AS$5:$AS$220,$B$369,$AE$5:$AE$220,$B$445,$AR$5:$AR$220,$B$389),"")</f>
        <v/>
      </c>
      <c r="W457" s="254" t="str" cm="1">
        <f t="array" ref="W457">IFERROR(SUMPRODUCT(--($AE$5:$AE$220=$B$445),--($F$5:$F$220=F457),--($AS$5:$AS$220=$B$369),--($AR$5:$AR$220=$B$389),$W$5:$W$220,$J$5:$J$220)/SUMIFS($J$5:$J$220,$F$5:$F$220,F457,$AS$5:$AS$220,$B$369,$AE$5:$AE$220,$B$445,$AR$5:$AR$220,$B$389),"")</f>
        <v/>
      </c>
      <c r="X457" s="256" cm="1">
        <f t="array" ref="X457">IFERROR((IFERROR(SUMPRODUCT(--($F$5:$F$220=F457),--($N$5:$N$220&gt;0),--($AS$5:$AS$220=$B$369),--($AE$5:$AE$220=$B$445),$J$5:$J$220,$Q$5:$Q$220)/SUMIFS($J$5:$J$220,$F$5:$F$220,F457,$N$5:$N$220,"&gt;0",$AS$5:$AS$220,$B$369,$AE$5:$AE$220,$B$445),""))/N457-1,"NA")</f>
        <v>0.22749590834697209</v>
      </c>
      <c r="Y457" s="256"/>
      <c r="Z457" s="289">
        <f t="shared" si="227"/>
        <v>8.9324618736383421E-2</v>
      </c>
      <c r="AG457" s="290"/>
      <c r="AH457" s="290"/>
    </row>
    <row r="458" spans="2:34">
      <c r="B458" s="291"/>
      <c r="F458" s="184" t="s">
        <v>274</v>
      </c>
      <c r="H458" s="184">
        <f t="shared" si="225"/>
        <v>0</v>
      </c>
      <c r="I458" s="254" t="str" cm="1">
        <f t="array" ref="I458">IFERROR(SUMPRODUCT(--($AE$5:$AE$220=$B$445),--($F$5:$F$220=F458),--($AS$5:$AS$220=$B$369),$J$5:$J$220,$I$5:$I$220)/SUMIFS($J$5:$J$220,$AS$5:$AS$220,$B$369,$F$5:$F$220,F458,$AE$5:$AE$220,$B$445)/12,"")</f>
        <v/>
      </c>
      <c r="J458" s="253">
        <f t="shared" si="226"/>
        <v>0</v>
      </c>
      <c r="K458" s="253"/>
      <c r="L458" s="253"/>
      <c r="M458" s="253"/>
      <c r="N458" s="254" t="str" cm="1">
        <f t="array" ref="N458">IFERROR(SUMPRODUCT(--($F$5:$F$220=F458),--($AS$5:$AS$220=$B$369),--($AE$5:$AE$220=$B$445),$J$5:$J$220,$N$5:$N$220)/SUMIFS($J$5:$J$220,$F$5:$F$220,F458,$AS$5:$AS$220,$B$369,$N$5:$N$220,"&gt;0",$AE$5:$AE$220,$B$445),"")</f>
        <v/>
      </c>
      <c r="O458" s="254" t="str" cm="1">
        <f t="array" ref="O458">IFERROR(SUMPRODUCT(--($F$5:$F$220=F458),--($AE$5:$AE$220=$B$445),--($AS$5:$AS$220=$B$369),$J$5:$J$220,$O$5:$O$220)/SUMIFS($J$5:$J$220,$F$5:$F$220,F458,$AS$5:$AS$220,$B$369,$AE$5:$AE$220,$B$445),"")</f>
        <v/>
      </c>
      <c r="P458" s="254" t="str" cm="1">
        <f t="array" ref="P458">IFERROR(SUMPRODUCT(--($AE$5:$AE$220=$B$445),--($F$5:$F$220=F458),--($AS$5:$AS$220=$B$369),$J$5:$J$220,$P$5:$P$220)/SUMIFS($J$5:$J$220,$F$5:$F$220,F458,$AS$5:$AS$220,$B$369,$P$5:$P$220,"&gt;0",$AE$5:$AE$220,$B$445),"")</f>
        <v/>
      </c>
      <c r="Q458" s="254" t="str" cm="1">
        <f t="array" ref="Q458">IFERROR(SUMPRODUCT(--($AE$5:$AE$220=$B$445),--($F$5:$F$220=F458),--($AS$5:$AS$220=$B$369),$J$5:$J$220,$Q$5:$Q$220)/SUMIFS($J$5:$J$220,$AS$5:$AS$220,$B$369,$F$5:$F$220,F458,$AE$5:$AE$220,$B$445),"")</f>
        <v/>
      </c>
      <c r="R458" s="254" t="str" cm="1">
        <f t="array" ref="R458">IFERROR(SUMPRODUCT(--($AE$5:$AE$220=$B$445),--($F$5:$F$220=F458),--($I$5:$I$220&gt;12),--($AS$5:$AS$220=$B$369),$R$5:$R$220,$Q$5:$Q$220)/SUMIFS($Q$5:$Q$220,$I$5:$I$220,"&gt;12",$F$5:$F$220,F458,$AS$5:$AS$220,$B$369,$AE$5:$AE$220,$B$445),"")</f>
        <v/>
      </c>
      <c r="S458" s="254" t="str" cm="1">
        <f t="array" ref="S458">IFERROR(SUMPRODUCT(--($AE$5:$AE$220=$B$445),--($F$5:$F$220=F458),--($I$5:$I$220&gt;12),--($AS$5:$AS$220=$B$369),$S$5:$S$220,$J$5:$J$220)/SUMIFS($J$5:$J$220,$I$5:$I$220,"&gt;12",$F$5:$F$220,F458,$AS$5:$AS$220,$B$369,$AE$5:$AE$220,$B$445),"")</f>
        <v/>
      </c>
      <c r="T458" s="254" t="str" cm="1">
        <f t="array" ref="T458">IFERROR(SUMPRODUCT(--($AE$5:$AE$220=$B$445),--($F$5:$F$220=F458),--($AS$5:$AS$220=$B$369),$T$5:$T$220,$J$5:$J$220)/SUMIFS($J$5:$J$220,$F$5:$F$220,F458,$AS$5:$AS$220,$B$369,$AE$5:$AE$220,$B$445),"")</f>
        <v/>
      </c>
      <c r="U458" s="254" t="str" cm="1">
        <f t="array" ref="U458">IFERROR(SUMPRODUCT(--($AE$5:$AE$220=$B$445),--($F$5:$F$220=F458),--($AS$5:$AS$220=$B$369),$U$5:$U$220,$J$5:$J$220)/SUMIFS($J$5:$J$220,$F$5:$F$220,F458,$AS$5:$AS$220,$B$369,$AE$5:$AE$220,$B$445),"")</f>
        <v/>
      </c>
      <c r="V458" s="254" t="str" cm="1">
        <f t="array" ref="V458">IFERROR(SUMPRODUCT(--($AE$5:$AE$220=$B$445),--($F$5:$F$220=F458),--($AS$5:$AS$220=$B$369),--($AR$5:$AR$220=$B$389),$V$5:$V$220,$J$5:$J$220)/SUMIFS($J$5:$J$220,$F$5:$F$220,F458,$AS$5:$AS$220,$B$369,$AE$5:$AE$220,$B$445,$AR$5:$AR$220,$B$389),"")</f>
        <v/>
      </c>
      <c r="W458" s="254" t="str" cm="1">
        <f t="array" ref="W458">IFERROR(SUMPRODUCT(--($AE$5:$AE$220=$B$445),--($F$5:$F$220=F458),--($AS$5:$AS$220=$B$369),--($AR$5:$AR$220=$B$389),$W$5:$W$220,$J$5:$J$220)/SUMIFS($J$5:$J$220,$F$5:$F$220,F458,$AS$5:$AS$220,$B$369,$AE$5:$AE$220,$B$445,$AR$5:$AR$220,$B$389),"")</f>
        <v/>
      </c>
      <c r="X458" s="256" t="str" cm="1">
        <f t="array" ref="X458">IFERROR((IFERROR(SUMPRODUCT(--($F$5:$F$220=F458),--($N$5:$N$220&gt;0),--($AS$5:$AS$220=$B$369),--($AE$5:$AE$220=$B$445),$J$5:$J$220,$Q$5:$Q$220)/SUMIFS($J$5:$J$220,$F$5:$F$220,F458,$N$5:$N$220,"&gt;0",$AS$5:$AS$220,$B$369,$AE$5:$AE$220,$B$445),""))/N458-1,"NA")</f>
        <v>NA</v>
      </c>
      <c r="Y458" s="256"/>
      <c r="Z458" s="289" t="str">
        <f t="shared" si="227"/>
        <v>NA</v>
      </c>
      <c r="AG458" s="290"/>
      <c r="AH458" s="290"/>
    </row>
    <row r="459" spans="2:34">
      <c r="B459" s="291"/>
      <c r="F459" s="184" t="s">
        <v>177</v>
      </c>
      <c r="H459" s="184">
        <f t="shared" si="225"/>
        <v>0</v>
      </c>
      <c r="I459" s="254" t="str" cm="1">
        <f t="array" ref="I459">IFERROR(SUMPRODUCT(--($AE$5:$AE$220=$B$445),--($F$5:$F$220=F459),--($AS$5:$AS$220=$B$369),$J$5:$J$220,$I$5:$I$220)/SUMIFS($J$5:$J$220,$AS$5:$AS$220,$B$369,$F$5:$F$220,F459,$AE$5:$AE$220,$B$445)/12,"")</f>
        <v/>
      </c>
      <c r="J459" s="253">
        <f t="shared" si="226"/>
        <v>0</v>
      </c>
      <c r="K459" s="253"/>
      <c r="L459" s="253"/>
      <c r="M459" s="253"/>
      <c r="N459" s="254" t="str" cm="1">
        <f t="array" ref="N459">IFERROR(SUMPRODUCT(--($F$5:$F$220=F459),--($AS$5:$AS$220=$B$369),--($AE$5:$AE$220=$B$445),$J$5:$J$220,$N$5:$N$220)/SUMIFS($J$5:$J$220,$F$5:$F$220,F459,$AS$5:$AS$220,$B$369,$N$5:$N$220,"&gt;0",$AE$5:$AE$220,$B$445),"")</f>
        <v/>
      </c>
      <c r="O459" s="254" t="str" cm="1">
        <f t="array" ref="O459">IFERROR(SUMPRODUCT(--($F$5:$F$220=F459),--($AE$5:$AE$220=$B$445),--($AS$5:$AS$220=$B$369),$J$5:$J$220,$O$5:$O$220)/SUMIFS($J$5:$J$220,$F$5:$F$220,F459,$AS$5:$AS$220,$B$369,$AE$5:$AE$220,$B$445),"")</f>
        <v/>
      </c>
      <c r="P459" s="254" t="str" cm="1">
        <f t="array" ref="P459">IFERROR(SUMPRODUCT(--($AE$5:$AE$220=$B$445),--($F$5:$F$220=F459),--($AS$5:$AS$220=$B$369),$J$5:$J$220,$P$5:$P$220)/SUMIFS($J$5:$J$220,$F$5:$F$220,F459,$AS$5:$AS$220,$B$369,$P$5:$P$220,"&gt;0",$AE$5:$AE$220,$B$445),"")</f>
        <v/>
      </c>
      <c r="Q459" s="254" t="str" cm="1">
        <f t="array" ref="Q459">IFERROR(SUMPRODUCT(--($AE$5:$AE$220=$B$445),--($F$5:$F$220=F459),--($AS$5:$AS$220=$B$369),$J$5:$J$220,$Q$5:$Q$220)/SUMIFS($J$5:$J$220,$AS$5:$AS$220,$B$369,$F$5:$F$220,F459,$AE$5:$AE$220,$B$445),"")</f>
        <v/>
      </c>
      <c r="R459" s="254" t="str" cm="1">
        <f t="array" ref="R459">IFERROR(SUMPRODUCT(--($AE$5:$AE$220=$B$445),--($F$5:$F$220=F459),--($I$5:$I$220&gt;12),--($AS$5:$AS$220=$B$369),$R$5:$R$220,$Q$5:$Q$220)/SUMIFS($Q$5:$Q$220,$I$5:$I$220,"&gt;12",$F$5:$F$220,F459,$AS$5:$AS$220,$B$369,$AE$5:$AE$220,$B$445),"")</f>
        <v/>
      </c>
      <c r="S459" s="254" t="str" cm="1">
        <f t="array" ref="S459">IFERROR(SUMPRODUCT(--($AE$5:$AE$220=$B$445),--($F$5:$F$220=F459),--($I$5:$I$220&gt;12),--($AS$5:$AS$220=$B$369),$S$5:$S$220,$J$5:$J$220)/SUMIFS($J$5:$J$220,$I$5:$I$220,"&gt;12",$F$5:$F$220,F459,$AS$5:$AS$220,$B$369,$AE$5:$AE$220,$B$445),"")</f>
        <v/>
      </c>
      <c r="T459" s="254" t="str" cm="1">
        <f t="array" ref="T459">IFERROR(SUMPRODUCT(--($AE$5:$AE$220=$B$445),--($F$5:$F$220=F459),--($AS$5:$AS$220=$B$369),$T$5:$T$220,$J$5:$J$220)/SUMIFS($J$5:$J$220,$F$5:$F$220,F459,$AS$5:$AS$220,$B$369,$AE$5:$AE$220,$B$445),"")</f>
        <v/>
      </c>
      <c r="U459" s="254" t="str" cm="1">
        <f t="array" ref="U459">IFERROR(SUMPRODUCT(--($AE$5:$AE$220=$B$445),--($F$5:$F$220=F459),--($AS$5:$AS$220=$B$369),$U$5:$U$220,$J$5:$J$220)/SUMIFS($J$5:$J$220,$F$5:$F$220,F459,$AS$5:$AS$220,$B$369,$AE$5:$AE$220,$B$445),"")</f>
        <v/>
      </c>
      <c r="V459" s="254" t="str" cm="1">
        <f t="array" ref="V459">IFERROR(SUMPRODUCT(--($AE$5:$AE$220=$B$445),--($F$5:$F$220=F459),--($AS$5:$AS$220=$B$369),--($AR$5:$AR$220=$B$389),$V$5:$V$220,$J$5:$J$220)/SUMIFS($J$5:$J$220,$F$5:$F$220,F459,$AS$5:$AS$220,$B$369,$AE$5:$AE$220,$B$445,$AR$5:$AR$220,$B$389),"")</f>
        <v/>
      </c>
      <c r="W459" s="254" t="str" cm="1">
        <f t="array" ref="W459">IFERROR(SUMPRODUCT(--($AE$5:$AE$220=$B$445),--($F$5:$F$220=F459),--($AS$5:$AS$220=$B$369),--($AR$5:$AR$220=$B$389),$W$5:$W$220,$J$5:$J$220)/SUMIFS($J$5:$J$220,$F$5:$F$220,F459,$AS$5:$AS$220,$B$369,$AE$5:$AE$220,$B$445,$AR$5:$AR$220,$B$389),"")</f>
        <v/>
      </c>
      <c r="X459" s="256" t="str" cm="1">
        <f t="array" ref="X459">IFERROR((IFERROR(SUMPRODUCT(--($F$5:$F$220=F459),--($N$5:$N$220&gt;0),--($AS$5:$AS$220=$B$369),--($AE$5:$AE$220=$B$445),$J$5:$J$220,$Q$5:$Q$220)/SUMIFS($J$5:$J$220,$F$5:$F$220,F459,$N$5:$N$220,"&gt;0",$AS$5:$AS$220,$B$369,$AE$5:$AE$220,$B$445),""))/N459-1,"NA")</f>
        <v>NA</v>
      </c>
      <c r="Y459" s="256"/>
      <c r="Z459" s="289" t="str">
        <f t="shared" si="227"/>
        <v>NA</v>
      </c>
      <c r="AG459" s="290"/>
      <c r="AH459" s="290"/>
    </row>
    <row r="460" spans="2:34">
      <c r="B460" s="292"/>
      <c r="C460" s="293"/>
      <c r="D460" s="293"/>
      <c r="E460" s="293"/>
      <c r="F460" s="294" t="s">
        <v>27</v>
      </c>
      <c r="G460" s="294"/>
      <c r="H460" s="294">
        <f>SUM(H445:H459)</f>
        <v>9</v>
      </c>
      <c r="I460" s="295" cm="1">
        <f t="array" ref="I460">IFERROR(SUMPRODUCT(--($AE$5:$AE$220=$B$445),--($AS$5:$AS$220=$B$369),$J$5:$J$220,$I$5:$I$220)/SUMIFS($J$5:$J$220,$AS$5:$AS$220,$B$369,$AE$5:$AE$220,$B$445)/12,"")</f>
        <v>3.6842039340031842</v>
      </c>
      <c r="J460" s="296">
        <f>SUM(J445:J459)</f>
        <v>194272</v>
      </c>
      <c r="K460" s="296"/>
      <c r="L460" s="296"/>
      <c r="M460" s="296"/>
      <c r="N460" s="295" cm="1">
        <f t="array" ref="N460">IFERROR(SUMPRODUCT(--($AS$5:$AS$220=$B$369),--($AE$5:$AE$220=$B$445),$J$5:$J$220,$N$5:$N$220)/SUMIFS($J$5:$J$220,$AS$5:$AS$220,$B$369,$N$5:$N$220,"&gt;0",$AE$5:$AE$220,$B$445),"")</f>
        <v>6.7239122382337184</v>
      </c>
      <c r="O460" s="295" cm="1">
        <f t="array" ref="O460">IFERROR(SUMPRODUCT(--($AE$5:$AE$220=$B$445),--($AS$5:$AS$220=$B$369),$J$5:$J$220,$O$5:$O$220)/SUMIFS($J$5:$J$220,$AS$5:$AS$220,$B$369,$AE$5:$AE$220,$B$445),"")</f>
        <v>9.1908177194860805</v>
      </c>
      <c r="P460" s="295" cm="1">
        <f t="array" ref="P460">IFERROR(SUMPRODUCT(--($AE$5:$AE$220=$B$445),--($AS$5:$AS$220=$B$369),$J$5:$J$220,$P$5:$P$220)/SUMIFS($J$5:$J$220,$AS$5:$AS$220,$B$369,$P$5:$P$220,"&gt;0",$AE$5:$AE$220,$B$445),"")</f>
        <v>9.6512946281502217</v>
      </c>
      <c r="Q460" s="295" cm="1">
        <f t="array" ref="Q460">IFERROR(SUMPRODUCT(--($AE$5:$AE$220=$B$445),--($AS$5:$AS$220=$B$369),$J$5:$J$220,$Q$5:$Q$220)/SUMIFS($J$5:$J$220,$AS$5:$AS$220,$B$369,$AE$5:$AE$220,$B$445),"")</f>
        <v>9.5453053450831824</v>
      </c>
      <c r="R460" s="295" cm="1">
        <f t="array" ref="R460">IFERROR(SUMPRODUCT(--($AE$5:$AE$220=$B$445),--($I$5:$I$220&gt;12),--($AS$5:$AS$220=$B$369),$R$5:$R$220,$Q$5:$Q$220)/SUMIFS($Q$5:$Q$220,$I$5:$I$220,"&gt;12",$AS$5:$AS$220,$B$369,$AE$5:$AE$220,$B$445),"")</f>
        <v>3.4523045320323531</v>
      </c>
      <c r="S460" s="295" cm="1">
        <f t="array" ref="S460">IFERROR(SUMPRODUCT(--($AE$5:$AE$220=$B$445),--($I$5:$I$220&gt;12),--($AS$5:$AS$220=$B$369),$S$5:$S$220,$J$5:$J$220)/SUMIFS($J$5:$J$220,$I$5:$I$220,"&gt;12",$AS$5:$AS$220,$B$369,$AE$5:$AE$220,$B$445),"")</f>
        <v>3.7434318893098335</v>
      </c>
      <c r="T460" s="295" cm="1">
        <f t="array" ref="T460">IFERROR(SUMPRODUCT(--($AE$5:$AE$220=$B$445),--($AS$5:$AS$220=$B$369),$T$5:$T$220,$J$5:$J$220)/SUMIFS($J$5:$J$220,$AS$5:$AS$220,$B$369,$AE$5:$AE$220,$B$445),"")</f>
        <v>0</v>
      </c>
      <c r="U460" s="295" cm="1">
        <f t="array" ref="U460">IFERROR(SUMPRODUCT(--($AE$5:$AE$220=$B$445),--($AS$5:$AS$220=$B$369),$U$5:$U$220,$J$5:$J$220)/SUMIFS($J$5:$J$220,$AS$5:$AS$220,$B$369,$AE$5:$AE$220,$B$445),"")</f>
        <v>0</v>
      </c>
      <c r="V460" s="295" cm="1">
        <f t="array" ref="V460">IFERROR(SUMPRODUCT(--($AE$5:$AE$220=$B$445),--($AS$5:$AS$220=$B$369),--($AR$5:$AR$220=$B$389),$V$5:$V$220,$J$5:$J$220)/SUMIFS($J$5:$J$220,$AS$5:$AS$220,$B$369,$AE$5:$AE$220,$B$445,$AR$5:$AR$220,$B$389),"")</f>
        <v>12.338999814551524</v>
      </c>
      <c r="W460" s="295" cm="1">
        <f t="array" ref="W460">IFERROR(SUMPRODUCT(--($AE$5:$AE$220=$B$445),--($AS$5:$AS$220=$B$369),--($AR$5:$AR$220=$B$389),$W$5:$W$220,$J$5:$J$220)/SUMIFS($J$5:$J$220,$AS$5:$AS$220,$B$369,$AE$5:$AE$220,$B$445,$AR$5:$AR$220,$B$389),"")</f>
        <v>7.188477468010138</v>
      </c>
      <c r="X460" s="298" cm="1">
        <f t="array" ref="X460">IFERROR((IFERROR(SUMPRODUCT(--($N$5:$N$220&gt;0),--($AS$5:$AS$220=$B$369),--($AE$5:$AE$220=$B$445),$J$5:$J$220,$Q$5:$Q$220)/SUMIFS($J$5:$J$220,$N$5:$N$220,"&gt;0",$AS$5:$AS$220,$B$369,$AE$5:$AE$220,$B$445),""))/N460-1,"NA")</f>
        <v>0.45015136583543947</v>
      </c>
      <c r="Y460" s="298"/>
      <c r="Z460" s="299">
        <f>IFERROR(Q460/O460-1,"NA")</f>
        <v>3.8569759124427838E-2</v>
      </c>
      <c r="AG460" s="290"/>
      <c r="AH460" s="290"/>
    </row>
    <row r="462" spans="2:34">
      <c r="P462" s="238"/>
    </row>
    <row r="469" spans="23:23">
      <c r="W469" s="315"/>
    </row>
    <row r="470" spans="23:23">
      <c r="W470" s="316"/>
    </row>
    <row r="471" spans="23:23">
      <c r="W471" s="315"/>
    </row>
    <row r="503" spans="10:14">
      <c r="J503" s="194"/>
      <c r="K503" s="194"/>
      <c r="L503" s="194"/>
      <c r="M503" s="194"/>
      <c r="N503" s="177"/>
    </row>
    <row r="504" spans="10:14">
      <c r="J504" s="194"/>
      <c r="K504" s="194"/>
      <c r="L504" s="194"/>
      <c r="M504" s="194"/>
      <c r="N504" s="177"/>
    </row>
    <row r="505" spans="10:14">
      <c r="J505" s="194"/>
      <c r="K505" s="194"/>
      <c r="L505" s="194"/>
      <c r="M505" s="194"/>
      <c r="N505" s="177"/>
    </row>
    <row r="506" spans="10:14">
      <c r="J506" s="194"/>
      <c r="K506" s="194"/>
      <c r="L506" s="194"/>
      <c r="M506" s="194"/>
      <c r="N506" s="177"/>
    </row>
    <row r="507" spans="10:14">
      <c r="J507" s="194"/>
      <c r="K507" s="194"/>
      <c r="L507" s="194"/>
      <c r="M507" s="194"/>
      <c r="N507" s="177"/>
    </row>
    <row r="508" spans="10:14">
      <c r="J508" s="194"/>
      <c r="K508" s="194"/>
      <c r="L508" s="194"/>
      <c r="M508" s="194"/>
      <c r="N508" s="177"/>
    </row>
    <row r="509" spans="10:14">
      <c r="J509" s="194"/>
      <c r="K509" s="194"/>
      <c r="L509" s="194"/>
      <c r="M509" s="194"/>
      <c r="N509" s="177"/>
    </row>
    <row r="510" spans="10:14">
      <c r="J510" s="194"/>
      <c r="K510" s="194"/>
      <c r="L510" s="194"/>
      <c r="M510" s="194"/>
      <c r="N510" s="177"/>
    </row>
    <row r="511" spans="10:14">
      <c r="J511" s="194"/>
      <c r="K511" s="194"/>
      <c r="L511" s="194"/>
      <c r="M511" s="194"/>
      <c r="N511" s="177"/>
    </row>
    <row r="512" spans="10:14">
      <c r="J512" s="194"/>
      <c r="K512" s="194"/>
      <c r="L512" s="194"/>
      <c r="M512" s="194"/>
      <c r="N512" s="177"/>
    </row>
    <row r="513" spans="10:14">
      <c r="J513" s="194"/>
      <c r="K513" s="194"/>
      <c r="L513" s="194"/>
      <c r="M513" s="194"/>
      <c r="N513" s="177"/>
    </row>
    <row r="514" spans="10:14">
      <c r="J514" s="194"/>
      <c r="K514" s="194"/>
      <c r="L514" s="194"/>
      <c r="M514" s="194"/>
      <c r="N514" s="177"/>
    </row>
    <row r="515" spans="10:14">
      <c r="J515" s="194"/>
      <c r="K515" s="194"/>
      <c r="L515" s="194"/>
      <c r="M515" s="194"/>
      <c r="N515" s="177"/>
    </row>
    <row r="516" spans="10:14">
      <c r="J516" s="194"/>
      <c r="K516" s="194"/>
      <c r="L516" s="194"/>
      <c r="M516" s="194"/>
      <c r="N516" s="177"/>
    </row>
    <row r="517" spans="10:14">
      <c r="J517" s="194"/>
      <c r="K517" s="194"/>
      <c r="L517" s="194"/>
      <c r="M517" s="194"/>
      <c r="N517" s="177"/>
    </row>
    <row r="518" spans="10:14">
      <c r="J518" s="194"/>
      <c r="K518" s="194"/>
      <c r="L518" s="194"/>
      <c r="M518" s="194"/>
      <c r="N518" s="177"/>
    </row>
    <row r="520" spans="10:14">
      <c r="J520" s="237"/>
      <c r="K520" s="237"/>
      <c r="L520" s="237"/>
      <c r="M520" s="237"/>
    </row>
  </sheetData>
  <sheetProtection sort="0"/>
  <autoFilter ref="A4:BN221" xr:uid="{00000000-0001-0000-0000-000000000000}">
    <filterColumn colId="0">
      <filters>
        <filter val="9330 Ind Trace (Myers Tire Renewal)"/>
      </filters>
    </filterColumn>
  </autoFilter>
  <phoneticPr fontId="34" type="noConversion"/>
  <conditionalFormatting sqref="AD5:AD220">
    <cfRule type="cellIs" dxfId="5" priority="7" operator="greaterThan">
      <formula>1000000</formula>
    </cfRule>
    <cfRule type="cellIs" dxfId="4" priority="9" operator="greaterThan">
      <formula>1000000</formula>
    </cfRule>
  </conditionalFormatting>
  <conditionalFormatting sqref="AE1:AF1">
    <cfRule type="cellIs" dxfId="3" priority="5" operator="greaterThan">
      <formula>1000000</formula>
    </cfRule>
    <cfRule type="cellIs" dxfId="2" priority="6" operator="greaterThan">
      <formula>1000000</formula>
    </cfRule>
  </conditionalFormatting>
  <dataValidations disablePrompts="1" count="2">
    <dataValidation type="list" allowBlank="1" showInputMessage="1" showErrorMessage="1" sqref="C369:E369" xr:uid="{D0D268B3-12E3-45AB-BEAD-04BA833ADDFC}">
      <formula1>$A$369:$A$382</formula1>
    </dataValidation>
    <dataValidation type="list" allowBlank="1" showInputMessage="1" showErrorMessage="1" sqref="B369" xr:uid="{8A7242AB-261F-4418-B51A-EEB84ED9F3F0}">
      <formula1>$A$369:$A$383</formula1>
    </dataValidation>
  </dataValidations>
  <pageMargins left="0.75" right="0.75" top="1" bottom="1" header="0.5" footer="0.5"/>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90812-8A33-4487-9A56-92551AF6AF7E}">
  <dimension ref="A1:AJ34"/>
  <sheetViews>
    <sheetView topLeftCell="B1" zoomScale="115" zoomScaleNormal="115" workbookViewId="0">
      <selection activeCell="K4" sqref="K4:K11"/>
    </sheetView>
  </sheetViews>
  <sheetFormatPr defaultColWidth="8.875" defaultRowHeight="13.9"/>
  <cols>
    <col min="7" max="7" width="42.625" bestFit="1" customWidth="1"/>
  </cols>
  <sheetData>
    <row r="1" spans="1:36" ht="19.899999999999999">
      <c r="A1" s="467" t="s">
        <v>760</v>
      </c>
      <c r="B1" s="470"/>
      <c r="C1" s="470"/>
      <c r="D1" s="470"/>
      <c r="E1" s="470"/>
      <c r="F1" s="470"/>
      <c r="G1" s="470"/>
      <c r="H1" s="470"/>
      <c r="I1" s="470"/>
      <c r="J1" s="470"/>
      <c r="K1" s="470"/>
      <c r="L1" s="470"/>
      <c r="M1" s="470"/>
      <c r="N1" s="470"/>
      <c r="O1" s="470"/>
      <c r="P1" s="470"/>
      <c r="Q1" s="470"/>
      <c r="R1" s="470"/>
      <c r="S1" s="470"/>
      <c r="T1" s="470"/>
      <c r="U1" s="470"/>
      <c r="V1" s="470"/>
      <c r="W1" s="470"/>
      <c r="X1" s="470"/>
      <c r="Y1" s="470"/>
      <c r="Z1" s="470"/>
      <c r="AA1" s="470"/>
      <c r="AB1" s="470"/>
      <c r="AC1" s="470"/>
      <c r="AD1" s="470"/>
      <c r="AE1" s="470"/>
      <c r="AF1" s="470"/>
      <c r="AG1" s="470"/>
      <c r="AH1" s="470"/>
      <c r="AI1" s="470"/>
      <c r="AJ1" s="470"/>
    </row>
    <row r="2" spans="1:36" ht="15.6">
      <c r="A2" s="468" t="s">
        <v>756</v>
      </c>
      <c r="B2" s="470"/>
      <c r="C2" s="470"/>
      <c r="D2" s="470"/>
      <c r="E2" s="470"/>
      <c r="F2" s="470"/>
      <c r="G2" s="470"/>
      <c r="H2" s="470"/>
      <c r="I2" s="470"/>
      <c r="J2" s="470"/>
      <c r="K2" s="470"/>
      <c r="L2" s="470"/>
      <c r="M2" s="470"/>
      <c r="N2" s="470"/>
      <c r="O2" s="470"/>
      <c r="P2" s="470"/>
      <c r="Q2" s="470"/>
      <c r="R2" s="470"/>
      <c r="S2" s="470"/>
      <c r="T2" s="470"/>
      <c r="U2" s="470"/>
      <c r="V2" s="470"/>
      <c r="W2" s="470"/>
      <c r="X2" s="470"/>
      <c r="Y2" s="470"/>
      <c r="Z2" s="470"/>
      <c r="AA2" s="470"/>
      <c r="AB2" s="470"/>
      <c r="AC2" s="470"/>
      <c r="AD2" s="470"/>
      <c r="AE2" s="470"/>
      <c r="AF2" s="470"/>
      <c r="AG2" s="470"/>
      <c r="AH2" s="470"/>
      <c r="AI2" s="470"/>
      <c r="AJ2" s="470"/>
    </row>
    <row r="3" spans="1:36" ht="14.45">
      <c r="A3" s="164" t="s">
        <v>86</v>
      </c>
      <c r="B3" s="164" t="s">
        <v>761</v>
      </c>
      <c r="C3" s="164" t="s">
        <v>762</v>
      </c>
      <c r="D3" s="164" t="s">
        <v>66</v>
      </c>
      <c r="E3" s="164" t="s">
        <v>763</v>
      </c>
      <c r="F3" s="164" t="s">
        <v>764</v>
      </c>
      <c r="G3" s="164" t="s">
        <v>765</v>
      </c>
      <c r="H3" s="164" t="s">
        <v>766</v>
      </c>
      <c r="I3" s="164" t="s">
        <v>767</v>
      </c>
      <c r="J3" s="164" t="s">
        <v>768</v>
      </c>
      <c r="K3" s="164" t="s">
        <v>769</v>
      </c>
      <c r="L3" s="164" t="s">
        <v>770</v>
      </c>
      <c r="M3" s="164" t="s">
        <v>771</v>
      </c>
      <c r="N3" s="164" t="s">
        <v>772</v>
      </c>
      <c r="O3" s="164" t="s">
        <v>773</v>
      </c>
      <c r="P3" s="164" t="s">
        <v>774</v>
      </c>
      <c r="Q3" s="164" t="s">
        <v>775</v>
      </c>
      <c r="R3" s="164" t="s">
        <v>776</v>
      </c>
      <c r="S3" s="164" t="s">
        <v>777</v>
      </c>
      <c r="T3" s="164" t="s">
        <v>778</v>
      </c>
      <c r="U3" s="164" t="s">
        <v>779</v>
      </c>
      <c r="V3" s="164" t="s">
        <v>780</v>
      </c>
      <c r="W3" s="164" t="s">
        <v>781</v>
      </c>
      <c r="X3" s="164" t="s">
        <v>782</v>
      </c>
      <c r="Y3" s="164" t="s">
        <v>783</v>
      </c>
      <c r="Z3" s="164" t="s">
        <v>784</v>
      </c>
      <c r="AA3" s="164" t="s">
        <v>785</v>
      </c>
      <c r="AB3" s="164" t="s">
        <v>786</v>
      </c>
      <c r="AC3" s="164" t="s">
        <v>787</v>
      </c>
      <c r="AD3" s="164" t="s">
        <v>788</v>
      </c>
      <c r="AE3" s="164" t="s">
        <v>789</v>
      </c>
      <c r="AF3" s="164" t="s">
        <v>790</v>
      </c>
      <c r="AG3" s="164" t="s">
        <v>791</v>
      </c>
      <c r="AH3" s="164" t="s">
        <v>792</v>
      </c>
      <c r="AI3" s="164" t="s">
        <v>793</v>
      </c>
      <c r="AJ3" s="164" t="s">
        <v>794</v>
      </c>
    </row>
    <row r="4" spans="1:36" ht="14.45">
      <c r="A4" s="169" t="s">
        <v>153</v>
      </c>
      <c r="B4" s="170">
        <v>45436</v>
      </c>
      <c r="C4" s="170">
        <v>45411</v>
      </c>
      <c r="D4" s="170" t="s">
        <v>795</v>
      </c>
      <c r="E4" s="169" t="s">
        <v>280</v>
      </c>
      <c r="F4" s="169" t="s">
        <v>282</v>
      </c>
      <c r="G4" s="169" t="s">
        <v>281</v>
      </c>
      <c r="H4" s="169" t="s">
        <v>796</v>
      </c>
      <c r="I4" s="169" t="s">
        <v>797</v>
      </c>
      <c r="J4" s="171">
        <v>38383</v>
      </c>
      <c r="K4" s="169">
        <v>111540</v>
      </c>
      <c r="L4" s="169" t="s">
        <v>798</v>
      </c>
      <c r="M4" s="169" t="s">
        <v>799</v>
      </c>
      <c r="N4" s="169" t="s">
        <v>800</v>
      </c>
      <c r="O4" s="170">
        <v>45627</v>
      </c>
      <c r="P4" s="170">
        <v>45626</v>
      </c>
      <c r="Q4" s="172">
        <f>DATEDIF(P4,O4,"m")</f>
        <v>0</v>
      </c>
      <c r="R4" s="172">
        <v>5.85</v>
      </c>
      <c r="S4" s="172">
        <v>6.95</v>
      </c>
      <c r="T4" s="169" t="s">
        <v>801</v>
      </c>
      <c r="U4" s="172">
        <v>4</v>
      </c>
      <c r="V4" s="171">
        <v>48</v>
      </c>
      <c r="W4" s="169" t="s">
        <v>167</v>
      </c>
      <c r="X4" s="172">
        <v>1.3</v>
      </c>
      <c r="Y4" s="172">
        <v>6</v>
      </c>
      <c r="Z4" s="173">
        <v>1132793.6399999999</v>
      </c>
      <c r="AA4" s="169">
        <v>0</v>
      </c>
      <c r="AB4" s="173">
        <v>50000</v>
      </c>
      <c r="AC4" s="173">
        <v>22655.87</v>
      </c>
      <c r="AD4" s="173">
        <v>45311.75</v>
      </c>
      <c r="AE4" s="173">
        <f>AC4+AD4</f>
        <v>67967.62</v>
      </c>
      <c r="AF4" s="169">
        <v>3.07</v>
      </c>
      <c r="AG4" s="173">
        <v>117967.62</v>
      </c>
      <c r="AH4" s="173">
        <v>50000</v>
      </c>
      <c r="AI4" s="169" t="s">
        <v>802</v>
      </c>
      <c r="AJ4" s="170">
        <v>47087</v>
      </c>
    </row>
    <row r="5" spans="1:36" ht="14.45">
      <c r="A5" s="169" t="s">
        <v>803</v>
      </c>
      <c r="B5" s="170">
        <v>45433</v>
      </c>
      <c r="C5" s="170">
        <v>45433</v>
      </c>
      <c r="D5" s="170" t="s">
        <v>795</v>
      </c>
      <c r="E5" s="169" t="s">
        <v>442</v>
      </c>
      <c r="F5" s="169" t="s">
        <v>444</v>
      </c>
      <c r="G5" s="169" t="s">
        <v>443</v>
      </c>
      <c r="H5" s="169" t="s">
        <v>804</v>
      </c>
      <c r="I5" s="169" t="s">
        <v>805</v>
      </c>
      <c r="J5" s="171">
        <v>11701</v>
      </c>
      <c r="K5" s="169">
        <v>23478</v>
      </c>
      <c r="L5" s="169" t="s">
        <v>806</v>
      </c>
      <c r="M5" s="169" t="s">
        <v>799</v>
      </c>
      <c r="N5" s="169" t="s">
        <v>800</v>
      </c>
      <c r="O5" s="170">
        <v>45474</v>
      </c>
      <c r="P5" s="170">
        <v>45382</v>
      </c>
      <c r="Q5" s="172">
        <f t="shared" ref="Q5:Q11" si="0">DATEDIF(P5,O5,"m")</f>
        <v>3</v>
      </c>
      <c r="R5" s="171">
        <v>11</v>
      </c>
      <c r="S5" s="172">
        <v>14.47</v>
      </c>
      <c r="T5" s="169" t="s">
        <v>807</v>
      </c>
      <c r="U5" s="172">
        <v>3.5</v>
      </c>
      <c r="V5" s="171">
        <v>62</v>
      </c>
      <c r="W5" s="169" t="s">
        <v>808</v>
      </c>
      <c r="X5" s="172">
        <v>10.85</v>
      </c>
      <c r="Y5" s="172">
        <v>7.5</v>
      </c>
      <c r="Z5" s="173">
        <v>915127.99</v>
      </c>
      <c r="AA5" s="173">
        <v>28277.81</v>
      </c>
      <c r="AB5" s="173">
        <v>127000</v>
      </c>
      <c r="AC5" s="173">
        <v>68634.600000000006</v>
      </c>
      <c r="AD5" s="169">
        <v>0</v>
      </c>
      <c r="AE5" s="173">
        <f t="shared" ref="AE5:AE11" si="1">AC5+AD5</f>
        <v>68634.600000000006</v>
      </c>
      <c r="AF5" s="169">
        <v>16.72</v>
      </c>
      <c r="AG5" s="173">
        <v>195634.6</v>
      </c>
      <c r="AH5" s="173">
        <v>127000</v>
      </c>
      <c r="AI5" s="169" t="s">
        <v>809</v>
      </c>
      <c r="AJ5" s="170">
        <v>47361</v>
      </c>
    </row>
    <row r="6" spans="1:36" ht="14.45">
      <c r="A6" s="169" t="s">
        <v>144</v>
      </c>
      <c r="B6" s="170">
        <v>45422</v>
      </c>
      <c r="C6" s="170">
        <v>45422</v>
      </c>
      <c r="D6" s="170" t="s">
        <v>795</v>
      </c>
      <c r="E6" s="169" t="s">
        <v>615</v>
      </c>
      <c r="F6" s="169" t="s">
        <v>617</v>
      </c>
      <c r="G6" s="169" t="s">
        <v>616</v>
      </c>
      <c r="H6" s="169" t="s">
        <v>810</v>
      </c>
      <c r="I6" s="169" t="s">
        <v>811</v>
      </c>
      <c r="J6" s="171">
        <v>22406</v>
      </c>
      <c r="K6" s="169">
        <v>40996</v>
      </c>
      <c r="L6" s="169" t="s">
        <v>806</v>
      </c>
      <c r="M6" s="169" t="s">
        <v>799</v>
      </c>
      <c r="N6" s="169" t="s">
        <v>800</v>
      </c>
      <c r="O6" s="170">
        <v>45444</v>
      </c>
      <c r="P6" s="170">
        <v>45199</v>
      </c>
      <c r="Q6" s="172">
        <f t="shared" si="0"/>
        <v>8</v>
      </c>
      <c r="R6" s="172">
        <v>8.66</v>
      </c>
      <c r="S6" s="172">
        <v>7.14</v>
      </c>
      <c r="T6" s="169" t="s">
        <v>812</v>
      </c>
      <c r="U6" s="172">
        <v>4</v>
      </c>
      <c r="V6" s="171">
        <v>62</v>
      </c>
      <c r="W6" s="169" t="s">
        <v>167</v>
      </c>
      <c r="X6" s="172">
        <v>1</v>
      </c>
      <c r="Y6" s="172">
        <v>7</v>
      </c>
      <c r="Z6" s="173">
        <v>912820.44</v>
      </c>
      <c r="AA6" s="169">
        <v>0</v>
      </c>
      <c r="AB6" s="173">
        <v>22406</v>
      </c>
      <c r="AC6" s="173">
        <v>18256.41</v>
      </c>
      <c r="AD6" s="173">
        <v>45641.02</v>
      </c>
      <c r="AE6" s="173">
        <f t="shared" si="1"/>
        <v>63897.429999999993</v>
      </c>
      <c r="AF6" s="169">
        <v>3.85</v>
      </c>
      <c r="AG6" s="173">
        <v>86303.43</v>
      </c>
      <c r="AH6" s="173">
        <v>22406</v>
      </c>
      <c r="AI6" s="169" t="s">
        <v>802</v>
      </c>
      <c r="AJ6" s="170">
        <v>47330</v>
      </c>
    </row>
    <row r="7" spans="1:36" ht="14.45">
      <c r="A7" s="169" t="s">
        <v>144</v>
      </c>
      <c r="B7" s="170">
        <v>45422</v>
      </c>
      <c r="C7" s="170">
        <v>45422</v>
      </c>
      <c r="D7" s="170" t="s">
        <v>795</v>
      </c>
      <c r="E7" s="169" t="s">
        <v>210</v>
      </c>
      <c r="F7" s="169" t="s">
        <v>212</v>
      </c>
      <c r="G7" s="169" t="s">
        <v>390</v>
      </c>
      <c r="H7" s="169" t="s">
        <v>813</v>
      </c>
      <c r="I7" s="169" t="s">
        <v>814</v>
      </c>
      <c r="J7" s="171">
        <v>26994</v>
      </c>
      <c r="K7" s="169">
        <v>82529</v>
      </c>
      <c r="L7" s="169" t="s">
        <v>806</v>
      </c>
      <c r="M7" s="169" t="s">
        <v>799</v>
      </c>
      <c r="N7" s="169" t="s">
        <v>800</v>
      </c>
      <c r="O7" s="170">
        <v>45627</v>
      </c>
      <c r="P7" s="170">
        <v>45565</v>
      </c>
      <c r="Q7" s="172">
        <f t="shared" si="0"/>
        <v>2</v>
      </c>
      <c r="R7" s="172">
        <v>7.16</v>
      </c>
      <c r="S7" s="172">
        <v>8.84</v>
      </c>
      <c r="T7" s="169" t="s">
        <v>815</v>
      </c>
      <c r="U7" s="172">
        <v>3.46</v>
      </c>
      <c r="V7" s="171">
        <v>54</v>
      </c>
      <c r="W7" s="169" t="s">
        <v>816</v>
      </c>
      <c r="X7" s="172">
        <v>3.5</v>
      </c>
      <c r="Y7" s="172">
        <v>7</v>
      </c>
      <c r="Z7" s="173">
        <v>1174891.3600000001</v>
      </c>
      <c r="AA7" s="173">
        <v>20806.98</v>
      </c>
      <c r="AB7" s="173">
        <v>94479</v>
      </c>
      <c r="AC7" s="173">
        <v>23497.83</v>
      </c>
      <c r="AD7" s="173">
        <v>58744.57</v>
      </c>
      <c r="AE7" s="173">
        <f t="shared" si="1"/>
        <v>82242.399999999994</v>
      </c>
      <c r="AF7" s="169">
        <v>6.55</v>
      </c>
      <c r="AG7" s="173">
        <v>176721.4</v>
      </c>
      <c r="AH7" s="173">
        <v>94479</v>
      </c>
      <c r="AI7" s="169" t="s">
        <v>809</v>
      </c>
      <c r="AJ7" s="170">
        <v>47269</v>
      </c>
    </row>
    <row r="8" spans="1:36" ht="14.45">
      <c r="A8" s="169" t="s">
        <v>144</v>
      </c>
      <c r="B8" s="170">
        <v>45412</v>
      </c>
      <c r="C8" s="170">
        <v>45412</v>
      </c>
      <c r="D8" s="170" t="s">
        <v>795</v>
      </c>
      <c r="E8" s="169" t="s">
        <v>294</v>
      </c>
      <c r="F8" s="169" t="s">
        <v>296</v>
      </c>
      <c r="G8" s="169" t="s">
        <v>295</v>
      </c>
      <c r="H8" s="169" t="s">
        <v>817</v>
      </c>
      <c r="I8" s="169" t="s">
        <v>818</v>
      </c>
      <c r="J8" s="171">
        <v>1971</v>
      </c>
      <c r="K8" s="169">
        <v>21987</v>
      </c>
      <c r="L8" s="169" t="s">
        <v>798</v>
      </c>
      <c r="M8" s="169" t="s">
        <v>819</v>
      </c>
      <c r="N8" s="169" t="s">
        <v>800</v>
      </c>
      <c r="O8" s="170">
        <v>45597</v>
      </c>
      <c r="P8" s="170">
        <v>45596</v>
      </c>
      <c r="Q8" s="172">
        <f t="shared" si="0"/>
        <v>0</v>
      </c>
      <c r="R8" s="172">
        <v>9.5500000000000007</v>
      </c>
      <c r="S8" s="172">
        <v>8.69</v>
      </c>
      <c r="T8" s="169" t="s">
        <v>820</v>
      </c>
      <c r="U8" s="172">
        <v>3.05</v>
      </c>
      <c r="V8" s="171">
        <v>36</v>
      </c>
      <c r="W8" s="169" t="s">
        <v>167</v>
      </c>
      <c r="X8" s="172">
        <v>0</v>
      </c>
      <c r="Y8" s="172">
        <v>3</v>
      </c>
      <c r="Z8" s="173">
        <v>59957.82</v>
      </c>
      <c r="AA8" s="169">
        <v>0</v>
      </c>
      <c r="AB8" s="169">
        <v>0</v>
      </c>
      <c r="AC8" s="173">
        <v>1798.73</v>
      </c>
      <c r="AD8" s="169">
        <v>0</v>
      </c>
      <c r="AE8" s="173">
        <f t="shared" si="1"/>
        <v>1798.73</v>
      </c>
      <c r="AF8" s="169">
        <v>0.91</v>
      </c>
      <c r="AG8" s="173">
        <v>1798.73</v>
      </c>
      <c r="AH8" s="169" t="s">
        <v>167</v>
      </c>
      <c r="AI8" s="169" t="s">
        <v>809</v>
      </c>
      <c r="AJ8" s="170">
        <v>46691</v>
      </c>
    </row>
    <row r="9" spans="1:36" ht="14.45">
      <c r="A9" s="169" t="s">
        <v>821</v>
      </c>
      <c r="B9" s="170">
        <v>45407</v>
      </c>
      <c r="C9" s="170">
        <v>45407</v>
      </c>
      <c r="D9" s="170" t="s">
        <v>795</v>
      </c>
      <c r="E9" s="169" t="s">
        <v>695</v>
      </c>
      <c r="F9" s="169" t="s">
        <v>386</v>
      </c>
      <c r="G9" s="169" t="s">
        <v>696</v>
      </c>
      <c r="H9" s="169" t="s">
        <v>822</v>
      </c>
      <c r="I9" s="169" t="s">
        <v>823</v>
      </c>
      <c r="J9" s="171">
        <v>825</v>
      </c>
      <c r="K9" s="169">
        <v>42963</v>
      </c>
      <c r="L9" s="169" t="s">
        <v>806</v>
      </c>
      <c r="M9" s="169" t="s">
        <v>824</v>
      </c>
      <c r="N9" s="169" t="s">
        <v>800</v>
      </c>
      <c r="O9" s="170">
        <v>45413</v>
      </c>
      <c r="P9" s="170">
        <v>44926</v>
      </c>
      <c r="Q9" s="172">
        <f t="shared" si="0"/>
        <v>16</v>
      </c>
      <c r="R9" s="172">
        <v>10.91</v>
      </c>
      <c r="S9" s="172">
        <v>14.69</v>
      </c>
      <c r="T9" s="169" t="s">
        <v>825</v>
      </c>
      <c r="U9" s="172">
        <v>3</v>
      </c>
      <c r="V9" s="171">
        <v>25</v>
      </c>
      <c r="W9" s="169" t="s">
        <v>816</v>
      </c>
      <c r="X9" s="172">
        <v>0</v>
      </c>
      <c r="Y9" s="172">
        <v>5.41</v>
      </c>
      <c r="Z9" s="173">
        <v>25184.05</v>
      </c>
      <c r="AA9" s="173">
        <v>1031.25</v>
      </c>
      <c r="AB9" s="169">
        <v>0</v>
      </c>
      <c r="AC9" s="173">
        <v>1361.7</v>
      </c>
      <c r="AD9" s="169">
        <v>0</v>
      </c>
      <c r="AE9" s="173">
        <f t="shared" si="1"/>
        <v>1361.7</v>
      </c>
      <c r="AF9" s="169">
        <v>1.65</v>
      </c>
      <c r="AG9" s="173">
        <v>1361.7</v>
      </c>
      <c r="AH9" s="169" t="s">
        <v>167</v>
      </c>
      <c r="AI9" s="169" t="s">
        <v>809</v>
      </c>
      <c r="AJ9" s="170">
        <v>46173</v>
      </c>
    </row>
    <row r="10" spans="1:36" ht="14.45">
      <c r="A10" s="169" t="s">
        <v>821</v>
      </c>
      <c r="B10" s="170">
        <v>45407</v>
      </c>
      <c r="C10" s="170">
        <v>45407</v>
      </c>
      <c r="D10" s="170" t="s">
        <v>795</v>
      </c>
      <c r="E10" s="169" t="s">
        <v>300</v>
      </c>
      <c r="F10" s="169" t="s">
        <v>302</v>
      </c>
      <c r="G10" s="169" t="s">
        <v>301</v>
      </c>
      <c r="H10" s="169" t="s">
        <v>826</v>
      </c>
      <c r="I10" s="169" t="s">
        <v>827</v>
      </c>
      <c r="J10" s="171">
        <v>1894</v>
      </c>
      <c r="K10" s="169">
        <v>53101</v>
      </c>
      <c r="L10" s="169" t="s">
        <v>798</v>
      </c>
      <c r="M10" s="169" t="s">
        <v>824</v>
      </c>
      <c r="N10" s="169" t="s">
        <v>800</v>
      </c>
      <c r="O10" s="170">
        <v>45383</v>
      </c>
      <c r="P10" s="170">
        <v>45382</v>
      </c>
      <c r="Q10" s="172">
        <f t="shared" si="0"/>
        <v>0</v>
      </c>
      <c r="R10" s="172">
        <v>15.3</v>
      </c>
      <c r="S10" s="171">
        <v>15</v>
      </c>
      <c r="T10" s="169" t="s">
        <v>828</v>
      </c>
      <c r="U10" s="172">
        <v>3.25</v>
      </c>
      <c r="V10" s="171">
        <v>62</v>
      </c>
      <c r="W10" s="169" t="s">
        <v>808</v>
      </c>
      <c r="X10" s="172">
        <v>0</v>
      </c>
      <c r="Y10" s="172">
        <v>4.5</v>
      </c>
      <c r="Z10" s="173">
        <v>160029.93</v>
      </c>
      <c r="AA10" s="173">
        <v>4971.75</v>
      </c>
      <c r="AB10" s="169">
        <v>0</v>
      </c>
      <c r="AC10" s="173">
        <v>2400.4499999999998</v>
      </c>
      <c r="AD10" s="173">
        <v>4800.8999999999996</v>
      </c>
      <c r="AE10" s="173">
        <f t="shared" si="1"/>
        <v>7201.3499999999995</v>
      </c>
      <c r="AF10" s="169">
        <v>3.8</v>
      </c>
      <c r="AG10" s="173">
        <v>7201.35</v>
      </c>
      <c r="AH10" s="169" t="s">
        <v>167</v>
      </c>
      <c r="AI10" s="169" t="s">
        <v>809</v>
      </c>
      <c r="AJ10" s="170">
        <v>47269</v>
      </c>
    </row>
    <row r="11" spans="1:36" ht="14.45">
      <c r="A11" s="169" t="s">
        <v>244</v>
      </c>
      <c r="B11" s="170">
        <v>45404</v>
      </c>
      <c r="C11" s="170">
        <v>45404</v>
      </c>
      <c r="D11" s="170" t="s">
        <v>795</v>
      </c>
      <c r="E11" s="169" t="s">
        <v>455</v>
      </c>
      <c r="F11" s="169" t="s">
        <v>457</v>
      </c>
      <c r="G11" s="169" t="s">
        <v>456</v>
      </c>
      <c r="H11" s="169" t="s">
        <v>829</v>
      </c>
      <c r="I11" s="169" t="s">
        <v>830</v>
      </c>
      <c r="J11" s="171">
        <v>23272</v>
      </c>
      <c r="K11" s="169">
        <v>47175</v>
      </c>
      <c r="L11" s="169" t="s">
        <v>806</v>
      </c>
      <c r="M11" s="169" t="s">
        <v>799</v>
      </c>
      <c r="N11" s="169" t="s">
        <v>800</v>
      </c>
      <c r="O11" s="170">
        <v>45444</v>
      </c>
      <c r="P11" s="170">
        <v>45350</v>
      </c>
      <c r="Q11" s="172">
        <f t="shared" si="0"/>
        <v>3</v>
      </c>
      <c r="R11" s="172">
        <v>4.74</v>
      </c>
      <c r="S11" s="172">
        <v>10.1</v>
      </c>
      <c r="T11" s="169" t="s">
        <v>831</v>
      </c>
      <c r="U11" s="172">
        <v>4</v>
      </c>
      <c r="V11" s="171">
        <v>62</v>
      </c>
      <c r="W11" s="169" t="s">
        <v>808</v>
      </c>
      <c r="X11" s="172">
        <v>2</v>
      </c>
      <c r="Y11" s="172">
        <v>6.75</v>
      </c>
      <c r="Z11" s="173">
        <v>1357710.98</v>
      </c>
      <c r="AA11" s="173">
        <v>41500.959999999999</v>
      </c>
      <c r="AB11" s="173">
        <v>46544</v>
      </c>
      <c r="AC11" s="173">
        <v>30548.5</v>
      </c>
      <c r="AD11" s="173">
        <v>61096.99</v>
      </c>
      <c r="AE11" s="173">
        <f t="shared" si="1"/>
        <v>91645.489999999991</v>
      </c>
      <c r="AF11" s="169">
        <v>5.94</v>
      </c>
      <c r="AG11" s="173">
        <v>138189.49</v>
      </c>
      <c r="AH11" s="173">
        <v>46544</v>
      </c>
      <c r="AI11" s="169" t="s">
        <v>802</v>
      </c>
      <c r="AJ11" s="170">
        <v>47330</v>
      </c>
    </row>
    <row r="12" spans="1:36" ht="14.45">
      <c r="A12" s="165" t="s">
        <v>832</v>
      </c>
      <c r="B12" s="166">
        <v>45376</v>
      </c>
      <c r="C12" s="166">
        <v>45362</v>
      </c>
      <c r="D12" s="166" t="s">
        <v>833</v>
      </c>
      <c r="E12" s="165" t="s">
        <v>344</v>
      </c>
      <c r="F12" s="165" t="s">
        <v>346</v>
      </c>
      <c r="G12" s="165" t="s">
        <v>345</v>
      </c>
      <c r="H12" s="165" t="s">
        <v>834</v>
      </c>
      <c r="I12" s="165" t="s">
        <v>800</v>
      </c>
      <c r="J12" s="167">
        <v>22961</v>
      </c>
      <c r="K12" s="165">
        <v>22961</v>
      </c>
      <c r="L12" s="165" t="s">
        <v>806</v>
      </c>
      <c r="M12" s="165" t="s">
        <v>799</v>
      </c>
      <c r="N12" s="165" t="s">
        <v>800</v>
      </c>
      <c r="O12" s="166">
        <v>45413</v>
      </c>
      <c r="P12" s="166">
        <v>45382</v>
      </c>
      <c r="Q12" s="166"/>
      <c r="R12" s="168">
        <v>12.64</v>
      </c>
      <c r="S12" s="168">
        <v>12.83</v>
      </c>
      <c r="T12" s="165" t="s">
        <v>835</v>
      </c>
      <c r="U12" s="168">
        <v>3</v>
      </c>
      <c r="V12" s="167">
        <v>120</v>
      </c>
      <c r="W12" s="165" t="s">
        <v>167</v>
      </c>
      <c r="X12" s="168">
        <v>0</v>
      </c>
      <c r="Y12" s="168">
        <v>7</v>
      </c>
      <c r="Z12" s="174">
        <v>3421877.83</v>
      </c>
      <c r="AA12" s="165">
        <v>0</v>
      </c>
      <c r="AB12" s="165">
        <v>0</v>
      </c>
      <c r="AC12" s="174">
        <v>239531.45</v>
      </c>
      <c r="AD12" s="165">
        <v>0</v>
      </c>
      <c r="AE12" s="165"/>
      <c r="AF12" s="165">
        <v>10.43</v>
      </c>
      <c r="AG12" s="174">
        <v>239531.45</v>
      </c>
      <c r="AH12" s="165" t="s">
        <v>167</v>
      </c>
      <c r="AI12" s="165" t="s">
        <v>802</v>
      </c>
      <c r="AJ12" s="166">
        <v>49064</v>
      </c>
    </row>
    <row r="13" spans="1:36" ht="14.45">
      <c r="A13" s="169" t="s">
        <v>803</v>
      </c>
      <c r="B13" s="170">
        <v>45369</v>
      </c>
      <c r="C13" s="170">
        <v>45369</v>
      </c>
      <c r="D13" s="170" t="s">
        <v>795</v>
      </c>
      <c r="E13" s="169" t="s">
        <v>305</v>
      </c>
      <c r="F13" s="169" t="s">
        <v>307</v>
      </c>
      <c r="G13" s="169" t="s">
        <v>306</v>
      </c>
      <c r="H13" s="169" t="s">
        <v>836</v>
      </c>
      <c r="I13" s="169" t="s">
        <v>837</v>
      </c>
      <c r="J13" s="171">
        <v>6792</v>
      </c>
      <c r="K13" s="169">
        <v>6792</v>
      </c>
      <c r="L13" s="169" t="s">
        <v>798</v>
      </c>
      <c r="M13" s="169" t="s">
        <v>799</v>
      </c>
      <c r="N13" s="169" t="s">
        <v>800</v>
      </c>
      <c r="O13" s="170">
        <v>45474</v>
      </c>
      <c r="P13" s="170">
        <v>45473</v>
      </c>
      <c r="Q13" s="172">
        <f>DATEDIF(P13,O13,"m")</f>
        <v>0</v>
      </c>
      <c r="R13" s="172">
        <v>16.39</v>
      </c>
      <c r="S13" s="172">
        <v>18.600000000000001</v>
      </c>
      <c r="T13" s="169" t="s">
        <v>838</v>
      </c>
      <c r="U13" s="172">
        <v>3</v>
      </c>
      <c r="V13" s="171">
        <v>36</v>
      </c>
      <c r="W13" s="169" t="s">
        <v>167</v>
      </c>
      <c r="X13" s="172">
        <v>8.83</v>
      </c>
      <c r="Y13" s="172">
        <v>0</v>
      </c>
      <c r="Z13" s="173">
        <v>398894.16</v>
      </c>
      <c r="AA13" s="169">
        <v>0</v>
      </c>
      <c r="AB13" s="173">
        <v>60000</v>
      </c>
      <c r="AC13" s="169">
        <v>0</v>
      </c>
      <c r="AD13" s="169">
        <v>0</v>
      </c>
      <c r="AE13" s="173">
        <f>AC13+AD13</f>
        <v>0</v>
      </c>
      <c r="AF13" s="169">
        <v>8.83</v>
      </c>
      <c r="AG13" s="173">
        <v>60000</v>
      </c>
      <c r="AH13" s="173">
        <v>60000</v>
      </c>
      <c r="AI13" s="169" t="s">
        <v>809</v>
      </c>
      <c r="AJ13" s="170">
        <v>46568</v>
      </c>
    </row>
    <row r="14" spans="1:36" ht="14.45">
      <c r="A14" s="165" t="s">
        <v>803</v>
      </c>
      <c r="B14" s="166">
        <v>45363</v>
      </c>
      <c r="C14" s="166">
        <v>45363</v>
      </c>
      <c r="D14" s="166" t="s">
        <v>833</v>
      </c>
      <c r="E14" s="165" t="s">
        <v>311</v>
      </c>
      <c r="F14" s="165" t="s">
        <v>313</v>
      </c>
      <c r="G14" s="165" t="s">
        <v>312</v>
      </c>
      <c r="H14" s="165" t="s">
        <v>839</v>
      </c>
      <c r="I14" s="165" t="s">
        <v>840</v>
      </c>
      <c r="J14" s="167">
        <v>5444</v>
      </c>
      <c r="K14" s="165" t="s">
        <v>841</v>
      </c>
      <c r="L14" s="165" t="s">
        <v>798</v>
      </c>
      <c r="M14" s="165" t="s">
        <v>799</v>
      </c>
      <c r="N14" s="165" t="s">
        <v>800</v>
      </c>
      <c r="O14" s="166">
        <v>45413</v>
      </c>
      <c r="P14" s="166">
        <v>45412</v>
      </c>
      <c r="Q14" s="166"/>
      <c r="R14" s="168">
        <v>15.7</v>
      </c>
      <c r="S14" s="168">
        <v>17.5</v>
      </c>
      <c r="T14" s="165" t="s">
        <v>842</v>
      </c>
      <c r="U14" s="168">
        <v>4</v>
      </c>
      <c r="V14" s="167">
        <v>61</v>
      </c>
      <c r="W14" s="165" t="s">
        <v>816</v>
      </c>
      <c r="X14" s="168">
        <v>0</v>
      </c>
      <c r="Y14" s="168">
        <v>5</v>
      </c>
      <c r="Z14" s="165" t="s">
        <v>843</v>
      </c>
      <c r="AA14" s="165" t="s">
        <v>844</v>
      </c>
      <c r="AB14" s="165" t="s">
        <v>845</v>
      </c>
      <c r="AC14" s="165" t="s">
        <v>846</v>
      </c>
      <c r="AD14" s="165" t="s">
        <v>845</v>
      </c>
      <c r="AE14" s="165"/>
      <c r="AF14" s="165" t="s">
        <v>847</v>
      </c>
      <c r="AG14" s="165" t="s">
        <v>846</v>
      </c>
      <c r="AH14" s="165" t="s">
        <v>167</v>
      </c>
      <c r="AI14" s="165" t="s">
        <v>802</v>
      </c>
      <c r="AJ14" s="166">
        <v>47269</v>
      </c>
    </row>
    <row r="15" spans="1:36" ht="14.45">
      <c r="A15" s="165" t="s">
        <v>803</v>
      </c>
      <c r="B15" s="166">
        <v>45362</v>
      </c>
      <c r="C15" s="166">
        <v>45362</v>
      </c>
      <c r="D15" s="166" t="s">
        <v>833</v>
      </c>
      <c r="E15" s="165" t="s">
        <v>311</v>
      </c>
      <c r="F15" s="165" t="s">
        <v>313</v>
      </c>
      <c r="G15" s="165" t="s">
        <v>458</v>
      </c>
      <c r="H15" s="165" t="s">
        <v>848</v>
      </c>
      <c r="I15" s="165" t="s">
        <v>849</v>
      </c>
      <c r="J15" s="167">
        <v>10000</v>
      </c>
      <c r="K15" s="165" t="s">
        <v>841</v>
      </c>
      <c r="L15" s="165" t="s">
        <v>806</v>
      </c>
      <c r="M15" s="165" t="s">
        <v>799</v>
      </c>
      <c r="N15" s="165" t="s">
        <v>800</v>
      </c>
      <c r="O15" s="166">
        <v>45383</v>
      </c>
      <c r="P15" s="166">
        <v>45291</v>
      </c>
      <c r="Q15" s="166"/>
      <c r="R15" s="168">
        <v>14.24</v>
      </c>
      <c r="S15" s="168">
        <v>15.5</v>
      </c>
      <c r="T15" s="165" t="s">
        <v>850</v>
      </c>
      <c r="U15" s="168">
        <v>3.5</v>
      </c>
      <c r="V15" s="167">
        <v>123</v>
      </c>
      <c r="W15" s="165" t="s">
        <v>851</v>
      </c>
      <c r="X15" s="168">
        <v>10</v>
      </c>
      <c r="Y15" s="168">
        <v>7.5</v>
      </c>
      <c r="Z15" s="165" t="s">
        <v>852</v>
      </c>
      <c r="AA15" s="165" t="s">
        <v>853</v>
      </c>
      <c r="AB15" s="165" t="s">
        <v>854</v>
      </c>
      <c r="AC15" s="165" t="s">
        <v>855</v>
      </c>
      <c r="AD15" s="165" t="s">
        <v>845</v>
      </c>
      <c r="AE15" s="165"/>
      <c r="AF15" s="165" t="s">
        <v>845</v>
      </c>
      <c r="AG15" s="165" t="s">
        <v>845</v>
      </c>
      <c r="AH15" s="165" t="s">
        <v>854</v>
      </c>
      <c r="AI15" s="165" t="s">
        <v>802</v>
      </c>
      <c r="AJ15" s="166">
        <v>49125</v>
      </c>
    </row>
    <row r="16" spans="1:36" ht="14.45">
      <c r="A16" s="165" t="s">
        <v>803</v>
      </c>
      <c r="B16" s="166">
        <v>45362</v>
      </c>
      <c r="C16" s="166">
        <v>45362</v>
      </c>
      <c r="D16" s="166" t="s">
        <v>833</v>
      </c>
      <c r="E16" s="165" t="s">
        <v>317</v>
      </c>
      <c r="F16" s="165" t="s">
        <v>319</v>
      </c>
      <c r="G16" s="165" t="s">
        <v>318</v>
      </c>
      <c r="H16" s="165" t="s">
        <v>856</v>
      </c>
      <c r="I16" s="165" t="s">
        <v>857</v>
      </c>
      <c r="J16" s="167">
        <v>21000</v>
      </c>
      <c r="K16" s="165" t="s">
        <v>858</v>
      </c>
      <c r="L16" s="165" t="s">
        <v>798</v>
      </c>
      <c r="M16" s="165" t="s">
        <v>799</v>
      </c>
      <c r="N16" s="165" t="s">
        <v>800</v>
      </c>
      <c r="O16" s="166">
        <v>45505</v>
      </c>
      <c r="P16" s="166">
        <v>45504</v>
      </c>
      <c r="Q16" s="166"/>
      <c r="R16" s="168">
        <v>9.73</v>
      </c>
      <c r="S16" s="167">
        <v>17</v>
      </c>
      <c r="T16" s="165" t="s">
        <v>859</v>
      </c>
      <c r="U16" s="168">
        <v>3.53</v>
      </c>
      <c r="V16" s="167">
        <v>85</v>
      </c>
      <c r="W16" s="165" t="s">
        <v>816</v>
      </c>
      <c r="X16" s="168">
        <v>4.76</v>
      </c>
      <c r="Y16" s="168">
        <v>7</v>
      </c>
      <c r="Z16" s="165" t="s">
        <v>860</v>
      </c>
      <c r="AA16" s="165" t="s">
        <v>861</v>
      </c>
      <c r="AB16" s="165" t="s">
        <v>854</v>
      </c>
      <c r="AC16" s="165" t="s">
        <v>862</v>
      </c>
      <c r="AD16" s="165" t="s">
        <v>845</v>
      </c>
      <c r="AE16" s="165"/>
      <c r="AF16" s="165" t="s">
        <v>863</v>
      </c>
      <c r="AG16" s="165" t="s">
        <v>864</v>
      </c>
      <c r="AH16" s="165" t="s">
        <v>854</v>
      </c>
      <c r="AI16" s="165" t="s">
        <v>802</v>
      </c>
      <c r="AJ16" s="166">
        <v>48091</v>
      </c>
    </row>
    <row r="17" spans="1:36" ht="14.45">
      <c r="A17" s="165" t="s">
        <v>153</v>
      </c>
      <c r="B17" s="166">
        <v>45356</v>
      </c>
      <c r="C17" s="166">
        <v>45350</v>
      </c>
      <c r="D17" s="166" t="s">
        <v>833</v>
      </c>
      <c r="E17" s="165" t="s">
        <v>532</v>
      </c>
      <c r="F17" s="165" t="s">
        <v>534</v>
      </c>
      <c r="G17" s="165" t="s">
        <v>533</v>
      </c>
      <c r="H17" s="165" t="s">
        <v>865</v>
      </c>
      <c r="I17" s="165" t="s">
        <v>866</v>
      </c>
      <c r="J17" s="167">
        <v>30523</v>
      </c>
      <c r="K17" s="165" t="s">
        <v>867</v>
      </c>
      <c r="L17" s="165" t="s">
        <v>806</v>
      </c>
      <c r="M17" s="165" t="s">
        <v>799</v>
      </c>
      <c r="N17" s="165" t="s">
        <v>800</v>
      </c>
      <c r="O17" s="166">
        <v>45352</v>
      </c>
      <c r="P17" s="166">
        <v>45199</v>
      </c>
      <c r="Q17" s="166"/>
      <c r="R17" s="168">
        <v>5.53</v>
      </c>
      <c r="S17" s="168">
        <v>7.15</v>
      </c>
      <c r="T17" s="165" t="s">
        <v>868</v>
      </c>
      <c r="U17" s="168">
        <v>4.0599999999999996</v>
      </c>
      <c r="V17" s="167">
        <v>87</v>
      </c>
      <c r="W17" s="165" t="s">
        <v>869</v>
      </c>
      <c r="X17" s="168">
        <v>1.5</v>
      </c>
      <c r="Y17" s="168">
        <v>7.53</v>
      </c>
      <c r="Z17" s="165" t="s">
        <v>870</v>
      </c>
      <c r="AA17" s="165" t="s">
        <v>871</v>
      </c>
      <c r="AB17" s="165" t="s">
        <v>872</v>
      </c>
      <c r="AC17" s="165" t="s">
        <v>873</v>
      </c>
      <c r="AD17" s="165" t="s">
        <v>874</v>
      </c>
      <c r="AE17" s="165"/>
      <c r="AF17" s="165" t="s">
        <v>875</v>
      </c>
      <c r="AG17" s="165" t="s">
        <v>876</v>
      </c>
      <c r="AH17" s="165" t="s">
        <v>872</v>
      </c>
      <c r="AI17" s="165" t="s">
        <v>802</v>
      </c>
      <c r="AJ17" s="166">
        <v>47999</v>
      </c>
    </row>
    <row r="18" spans="1:36" ht="14.45">
      <c r="A18" s="165" t="s">
        <v>803</v>
      </c>
      <c r="B18" s="166">
        <v>45350</v>
      </c>
      <c r="C18" s="166">
        <v>45350</v>
      </c>
      <c r="D18" s="166" t="s">
        <v>833</v>
      </c>
      <c r="E18" s="165" t="s">
        <v>500</v>
      </c>
      <c r="F18" s="165" t="s">
        <v>497</v>
      </c>
      <c r="G18" s="165" t="s">
        <v>501</v>
      </c>
      <c r="H18" s="165" t="s">
        <v>877</v>
      </c>
      <c r="I18" s="165" t="s">
        <v>878</v>
      </c>
      <c r="J18" s="167">
        <v>50000</v>
      </c>
      <c r="K18" s="165" t="s">
        <v>879</v>
      </c>
      <c r="L18" s="165" t="s">
        <v>806</v>
      </c>
      <c r="M18" s="165" t="s">
        <v>799</v>
      </c>
      <c r="N18" s="165" t="s">
        <v>800</v>
      </c>
      <c r="O18" s="166">
        <v>45383</v>
      </c>
      <c r="P18" s="166">
        <v>45283</v>
      </c>
      <c r="Q18" s="166"/>
      <c r="R18" s="168">
        <v>14.5</v>
      </c>
      <c r="S18" s="168">
        <v>14.47</v>
      </c>
      <c r="T18" s="165" t="s">
        <v>880</v>
      </c>
      <c r="U18" s="168">
        <v>4</v>
      </c>
      <c r="V18" s="167">
        <v>61</v>
      </c>
      <c r="W18" s="165" t="s">
        <v>816</v>
      </c>
      <c r="X18" s="168">
        <v>4.3600000000000003</v>
      </c>
      <c r="Y18" s="168">
        <v>7.5</v>
      </c>
      <c r="Z18" s="165" t="s">
        <v>881</v>
      </c>
      <c r="AA18" s="165" t="s">
        <v>882</v>
      </c>
      <c r="AB18" s="165" t="s">
        <v>883</v>
      </c>
      <c r="AC18" s="165" t="s">
        <v>884</v>
      </c>
      <c r="AD18" s="165" t="s">
        <v>845</v>
      </c>
      <c r="AE18" s="165"/>
      <c r="AF18" s="165" t="s">
        <v>845</v>
      </c>
      <c r="AG18" s="165" t="s">
        <v>845</v>
      </c>
      <c r="AH18" s="165" t="s">
        <v>167</v>
      </c>
      <c r="AI18" s="165" t="s">
        <v>809</v>
      </c>
      <c r="AJ18" s="166">
        <v>47238</v>
      </c>
    </row>
    <row r="19" spans="1:36" ht="14.45">
      <c r="A19" s="165" t="s">
        <v>244</v>
      </c>
      <c r="B19" s="166">
        <v>45349</v>
      </c>
      <c r="C19" s="166">
        <v>45349</v>
      </c>
      <c r="D19" s="166" t="s">
        <v>833</v>
      </c>
      <c r="E19" s="165" t="s">
        <v>326</v>
      </c>
      <c r="F19" s="165" t="s">
        <v>328</v>
      </c>
      <c r="G19" s="165" t="s">
        <v>327</v>
      </c>
      <c r="H19" s="165" t="s">
        <v>885</v>
      </c>
      <c r="I19" s="165" t="s">
        <v>886</v>
      </c>
      <c r="J19" s="167">
        <v>20983</v>
      </c>
      <c r="K19" s="165" t="s">
        <v>887</v>
      </c>
      <c r="L19" s="165" t="s">
        <v>798</v>
      </c>
      <c r="M19" s="165" t="s">
        <v>799</v>
      </c>
      <c r="N19" s="165" t="s">
        <v>800</v>
      </c>
      <c r="O19" s="166">
        <v>45474</v>
      </c>
      <c r="P19" s="166">
        <v>45473</v>
      </c>
      <c r="Q19" s="166"/>
      <c r="R19" s="168">
        <v>5.85</v>
      </c>
      <c r="S19" s="168">
        <v>9.9</v>
      </c>
      <c r="T19" s="165" t="s">
        <v>888</v>
      </c>
      <c r="U19" s="168">
        <v>2.97</v>
      </c>
      <c r="V19" s="167">
        <v>60</v>
      </c>
      <c r="W19" s="165" t="s">
        <v>167</v>
      </c>
      <c r="X19" s="168">
        <v>0</v>
      </c>
      <c r="Y19" s="168">
        <v>4.5</v>
      </c>
      <c r="Z19" s="165" t="s">
        <v>889</v>
      </c>
      <c r="AA19" s="165" t="s">
        <v>845</v>
      </c>
      <c r="AB19" s="165" t="s">
        <v>845</v>
      </c>
      <c r="AC19" s="165" t="s">
        <v>890</v>
      </c>
      <c r="AD19" s="165" t="s">
        <v>845</v>
      </c>
      <c r="AE19" s="165"/>
      <c r="AF19" s="165" t="s">
        <v>891</v>
      </c>
      <c r="AG19" s="165" t="s">
        <v>890</v>
      </c>
      <c r="AH19" s="165" t="s">
        <v>167</v>
      </c>
      <c r="AI19" s="165" t="s">
        <v>802</v>
      </c>
      <c r="AJ19" s="166">
        <v>47299</v>
      </c>
    </row>
    <row r="20" spans="1:36" ht="14.45">
      <c r="A20" s="165" t="s">
        <v>158</v>
      </c>
      <c r="B20" s="166">
        <v>45348</v>
      </c>
      <c r="C20" s="166">
        <v>45348</v>
      </c>
      <c r="D20" s="166" t="s">
        <v>833</v>
      </c>
      <c r="E20" s="165" t="s">
        <v>347</v>
      </c>
      <c r="F20" s="165" t="s">
        <v>164</v>
      </c>
      <c r="G20" s="165" t="s">
        <v>348</v>
      </c>
      <c r="H20" s="165" t="s">
        <v>892</v>
      </c>
      <c r="I20" s="165" t="s">
        <v>893</v>
      </c>
      <c r="J20" s="167">
        <v>12000</v>
      </c>
      <c r="K20" s="165" t="s">
        <v>894</v>
      </c>
      <c r="L20" s="165" t="s">
        <v>806</v>
      </c>
      <c r="M20" s="165" t="s">
        <v>799</v>
      </c>
      <c r="N20" s="165" t="s">
        <v>800</v>
      </c>
      <c r="O20" s="166">
        <v>45444</v>
      </c>
      <c r="P20" s="166">
        <v>45412</v>
      </c>
      <c r="Q20" s="166"/>
      <c r="R20" s="168">
        <v>3.09</v>
      </c>
      <c r="S20" s="168">
        <v>4.07</v>
      </c>
      <c r="T20" s="165" t="s">
        <v>895</v>
      </c>
      <c r="U20" s="168">
        <v>2.95</v>
      </c>
      <c r="V20" s="167">
        <v>17</v>
      </c>
      <c r="W20" s="165" t="s">
        <v>167</v>
      </c>
      <c r="X20" s="168">
        <v>0</v>
      </c>
      <c r="Y20" s="168">
        <v>0</v>
      </c>
      <c r="Z20" s="165" t="s">
        <v>896</v>
      </c>
      <c r="AA20" s="165" t="s">
        <v>845</v>
      </c>
      <c r="AB20" s="165" t="s">
        <v>845</v>
      </c>
      <c r="AC20" s="165" t="s">
        <v>845</v>
      </c>
      <c r="AD20" s="165" t="s">
        <v>845</v>
      </c>
      <c r="AE20" s="165"/>
      <c r="AF20" s="165" t="s">
        <v>845</v>
      </c>
      <c r="AG20" s="165" t="s">
        <v>845</v>
      </c>
      <c r="AH20" s="165" t="s">
        <v>167</v>
      </c>
      <c r="AI20" s="165" t="s">
        <v>802</v>
      </c>
      <c r="AJ20" s="166">
        <v>45961</v>
      </c>
    </row>
    <row r="21" spans="1:36" ht="14.45">
      <c r="A21" s="165" t="s">
        <v>821</v>
      </c>
      <c r="B21" s="166">
        <v>45348</v>
      </c>
      <c r="C21" s="166">
        <v>45348</v>
      </c>
      <c r="D21" s="166" t="s">
        <v>833</v>
      </c>
      <c r="E21" s="165" t="s">
        <v>180</v>
      </c>
      <c r="F21" s="165" t="s">
        <v>183</v>
      </c>
      <c r="G21" s="165" t="s">
        <v>182</v>
      </c>
      <c r="H21" s="165" t="s">
        <v>897</v>
      </c>
      <c r="I21" s="165" t="s">
        <v>898</v>
      </c>
      <c r="J21" s="167">
        <v>9012</v>
      </c>
      <c r="K21" s="165" t="s">
        <v>899</v>
      </c>
      <c r="L21" s="165" t="s">
        <v>238</v>
      </c>
      <c r="M21" s="165" t="s">
        <v>799</v>
      </c>
      <c r="N21" s="165" t="s">
        <v>800</v>
      </c>
      <c r="O21" s="166">
        <v>45352</v>
      </c>
      <c r="P21" s="166">
        <v>45716</v>
      </c>
      <c r="Q21" s="166"/>
      <c r="R21" s="168">
        <v>7.96</v>
      </c>
      <c r="S21" s="168">
        <v>10.09</v>
      </c>
      <c r="T21" s="165" t="s">
        <v>900</v>
      </c>
      <c r="U21" s="168">
        <v>4</v>
      </c>
      <c r="V21" s="167">
        <v>36</v>
      </c>
      <c r="W21" s="165" t="s">
        <v>167</v>
      </c>
      <c r="X21" s="168">
        <v>0</v>
      </c>
      <c r="Y21" s="168">
        <v>0</v>
      </c>
      <c r="Z21" s="165" t="s">
        <v>901</v>
      </c>
      <c r="AA21" s="165" t="s">
        <v>845</v>
      </c>
      <c r="AB21" s="165" t="s">
        <v>845</v>
      </c>
      <c r="AC21" s="165" t="s">
        <v>845</v>
      </c>
      <c r="AD21" s="165" t="s">
        <v>845</v>
      </c>
      <c r="AE21" s="165"/>
      <c r="AF21" s="165" t="s">
        <v>845</v>
      </c>
      <c r="AG21" s="165" t="s">
        <v>845</v>
      </c>
      <c r="AH21" s="165" t="s">
        <v>167</v>
      </c>
      <c r="AI21" s="165" t="s">
        <v>809</v>
      </c>
      <c r="AJ21" s="166">
        <v>46446</v>
      </c>
    </row>
    <row r="22" spans="1:36" ht="14.45">
      <c r="A22" s="165" t="s">
        <v>902</v>
      </c>
      <c r="B22" s="166">
        <v>45342</v>
      </c>
      <c r="C22" s="165" t="s">
        <v>167</v>
      </c>
      <c r="D22" s="166" t="s">
        <v>833</v>
      </c>
      <c r="E22" s="165" t="s">
        <v>709</v>
      </c>
      <c r="F22" s="165" t="s">
        <v>711</v>
      </c>
      <c r="G22" s="165" t="s">
        <v>710</v>
      </c>
      <c r="H22" s="165" t="s">
        <v>903</v>
      </c>
      <c r="I22" s="165" t="s">
        <v>904</v>
      </c>
      <c r="J22" s="167">
        <v>2674</v>
      </c>
      <c r="K22" s="165" t="s">
        <v>905</v>
      </c>
      <c r="L22" s="165" t="s">
        <v>806</v>
      </c>
      <c r="M22" s="165" t="s">
        <v>799</v>
      </c>
      <c r="N22" s="165" t="s">
        <v>800</v>
      </c>
      <c r="O22" s="166">
        <v>45292</v>
      </c>
      <c r="P22" s="165" t="s">
        <v>167</v>
      </c>
      <c r="Q22" s="165"/>
      <c r="R22" s="167">
        <v>0</v>
      </c>
      <c r="S22" s="168">
        <v>10.5</v>
      </c>
      <c r="T22" s="165" t="s">
        <v>900</v>
      </c>
      <c r="U22" s="168">
        <v>0</v>
      </c>
      <c r="V22" s="167">
        <v>18</v>
      </c>
      <c r="W22" s="165" t="s">
        <v>167</v>
      </c>
      <c r="X22" s="168">
        <v>0</v>
      </c>
      <c r="Y22" s="168">
        <v>0</v>
      </c>
      <c r="Z22" s="165" t="s">
        <v>906</v>
      </c>
      <c r="AA22" s="165" t="s">
        <v>845</v>
      </c>
      <c r="AB22" s="165" t="s">
        <v>845</v>
      </c>
      <c r="AC22" s="165" t="s">
        <v>845</v>
      </c>
      <c r="AD22" s="165" t="s">
        <v>845</v>
      </c>
      <c r="AE22" s="165"/>
      <c r="AF22" s="165" t="s">
        <v>845</v>
      </c>
      <c r="AG22" s="165" t="s">
        <v>845</v>
      </c>
      <c r="AH22" s="165" t="s">
        <v>167</v>
      </c>
      <c r="AI22" s="165" t="s">
        <v>802</v>
      </c>
      <c r="AJ22" s="166">
        <v>45838</v>
      </c>
    </row>
    <row r="23" spans="1:36" ht="14.45">
      <c r="A23" s="165" t="s">
        <v>185</v>
      </c>
      <c r="B23" s="166">
        <v>45342</v>
      </c>
      <c r="C23" s="165" t="s">
        <v>167</v>
      </c>
      <c r="D23" s="166" t="s">
        <v>833</v>
      </c>
      <c r="E23" s="165" t="s">
        <v>204</v>
      </c>
      <c r="F23" s="165" t="s">
        <v>187</v>
      </c>
      <c r="G23" s="165" t="s">
        <v>205</v>
      </c>
      <c r="H23" s="165" t="s">
        <v>907</v>
      </c>
      <c r="I23" s="165" t="s">
        <v>904</v>
      </c>
      <c r="J23" s="167">
        <v>47107</v>
      </c>
      <c r="K23" s="165" t="s">
        <v>908</v>
      </c>
      <c r="L23" s="165" t="s">
        <v>806</v>
      </c>
      <c r="M23" s="165" t="s">
        <v>799</v>
      </c>
      <c r="N23" s="165" t="s">
        <v>800</v>
      </c>
      <c r="O23" s="166">
        <v>45352</v>
      </c>
      <c r="P23" s="166">
        <v>45504</v>
      </c>
      <c r="Q23" s="166"/>
      <c r="R23" s="168">
        <v>3.5</v>
      </c>
      <c r="S23" s="167">
        <v>5</v>
      </c>
      <c r="T23" s="165" t="s">
        <v>909</v>
      </c>
      <c r="U23" s="168">
        <v>4</v>
      </c>
      <c r="V23" s="167">
        <v>25</v>
      </c>
      <c r="W23" s="165" t="s">
        <v>816</v>
      </c>
      <c r="X23" s="168">
        <v>0</v>
      </c>
      <c r="Y23" s="168">
        <v>7.5</v>
      </c>
      <c r="Z23" s="165" t="s">
        <v>910</v>
      </c>
      <c r="AA23" s="165" t="s">
        <v>911</v>
      </c>
      <c r="AB23" s="165" t="s">
        <v>845</v>
      </c>
      <c r="AC23" s="165" t="s">
        <v>912</v>
      </c>
      <c r="AD23" s="165" t="s">
        <v>913</v>
      </c>
      <c r="AE23" s="165"/>
      <c r="AF23" s="165" t="s">
        <v>845</v>
      </c>
      <c r="AG23" s="165" t="s">
        <v>845</v>
      </c>
      <c r="AH23" s="165" t="s">
        <v>167</v>
      </c>
      <c r="AI23" s="165" t="s">
        <v>809</v>
      </c>
      <c r="AJ23" s="166">
        <v>46112</v>
      </c>
    </row>
    <row r="24" spans="1:36" ht="14.45">
      <c r="A24" s="165" t="s">
        <v>902</v>
      </c>
      <c r="B24" s="166">
        <v>45337</v>
      </c>
      <c r="C24" s="165" t="s">
        <v>167</v>
      </c>
      <c r="D24" s="166" t="s">
        <v>833</v>
      </c>
      <c r="E24" s="165" t="s">
        <v>241</v>
      </c>
      <c r="F24" s="165" t="s">
        <v>209</v>
      </c>
      <c r="G24" s="165" t="s">
        <v>699</v>
      </c>
      <c r="H24" s="165" t="s">
        <v>914</v>
      </c>
      <c r="I24" s="165" t="s">
        <v>915</v>
      </c>
      <c r="J24" s="167">
        <v>7571</v>
      </c>
      <c r="K24" s="165" t="s">
        <v>916</v>
      </c>
      <c r="L24" s="165" t="s">
        <v>806</v>
      </c>
      <c r="M24" s="165" t="s">
        <v>799</v>
      </c>
      <c r="N24" s="165" t="s">
        <v>800</v>
      </c>
      <c r="O24" s="166">
        <v>45383</v>
      </c>
      <c r="P24" s="166">
        <v>44865</v>
      </c>
      <c r="Q24" s="166"/>
      <c r="R24" s="168">
        <v>11.75</v>
      </c>
      <c r="S24" s="167">
        <v>9</v>
      </c>
      <c r="T24" s="165" t="s">
        <v>835</v>
      </c>
      <c r="U24" s="168">
        <v>4</v>
      </c>
      <c r="V24" s="167">
        <v>60</v>
      </c>
      <c r="W24" s="165" t="s">
        <v>167</v>
      </c>
      <c r="X24" s="168">
        <v>13.1</v>
      </c>
      <c r="Y24" s="168">
        <v>6</v>
      </c>
      <c r="Z24" s="165" t="s">
        <v>917</v>
      </c>
      <c r="AA24" s="165" t="s">
        <v>845</v>
      </c>
      <c r="AB24" s="165" t="s">
        <v>918</v>
      </c>
      <c r="AC24" s="165" t="s">
        <v>919</v>
      </c>
      <c r="AD24" s="165" t="s">
        <v>845</v>
      </c>
      <c r="AE24" s="165"/>
      <c r="AF24" s="165" t="s">
        <v>845</v>
      </c>
      <c r="AG24" s="165" t="s">
        <v>845</v>
      </c>
      <c r="AH24" s="165" t="s">
        <v>167</v>
      </c>
      <c r="AI24" s="165" t="s">
        <v>802</v>
      </c>
      <c r="AJ24" s="166">
        <v>47208</v>
      </c>
    </row>
    <row r="25" spans="1:36" ht="14.45">
      <c r="A25" s="165" t="s">
        <v>153</v>
      </c>
      <c r="B25" s="166">
        <v>45324</v>
      </c>
      <c r="C25" s="166">
        <v>45324</v>
      </c>
      <c r="D25" s="166" t="s">
        <v>833</v>
      </c>
      <c r="E25" s="165" t="s">
        <v>920</v>
      </c>
      <c r="F25" s="165" t="s">
        <v>199</v>
      </c>
      <c r="G25" s="165" t="s">
        <v>517</v>
      </c>
      <c r="H25" s="165" t="s">
        <v>921</v>
      </c>
      <c r="I25" s="165" t="s">
        <v>922</v>
      </c>
      <c r="J25" s="167">
        <v>7437</v>
      </c>
      <c r="K25" s="165" t="s">
        <v>923</v>
      </c>
      <c r="L25" s="165" t="s">
        <v>806</v>
      </c>
      <c r="M25" s="165" t="s">
        <v>799</v>
      </c>
      <c r="N25" s="165" t="s">
        <v>800</v>
      </c>
      <c r="O25" s="166">
        <v>45383</v>
      </c>
      <c r="P25" s="166">
        <v>45265</v>
      </c>
      <c r="Q25" s="166"/>
      <c r="R25" s="168">
        <v>4.54</v>
      </c>
      <c r="S25" s="168">
        <v>7.14</v>
      </c>
      <c r="T25" s="165" t="s">
        <v>924</v>
      </c>
      <c r="U25" s="168">
        <v>4.03</v>
      </c>
      <c r="V25" s="167">
        <v>63</v>
      </c>
      <c r="W25" s="165" t="s">
        <v>925</v>
      </c>
      <c r="X25" s="168">
        <v>10.76</v>
      </c>
      <c r="Y25" s="168">
        <v>5.46</v>
      </c>
      <c r="Z25" s="165" t="s">
        <v>926</v>
      </c>
      <c r="AA25" s="165" t="s">
        <v>927</v>
      </c>
      <c r="AB25" s="165" t="s">
        <v>928</v>
      </c>
      <c r="AC25" s="165" t="s">
        <v>929</v>
      </c>
      <c r="AD25" s="165" t="s">
        <v>845</v>
      </c>
      <c r="AE25" s="165"/>
      <c r="AF25" s="165" t="s">
        <v>845</v>
      </c>
      <c r="AG25" s="165" t="s">
        <v>845</v>
      </c>
      <c r="AH25" s="165" t="s">
        <v>167</v>
      </c>
      <c r="AI25" s="165" t="s">
        <v>809</v>
      </c>
      <c r="AJ25" s="166">
        <v>47299</v>
      </c>
    </row>
    <row r="26" spans="1:36" ht="14.45">
      <c r="A26" s="165" t="s">
        <v>214</v>
      </c>
      <c r="B26" s="166">
        <v>45321</v>
      </c>
      <c r="C26" s="166">
        <v>45317</v>
      </c>
      <c r="D26" s="166" t="s">
        <v>833</v>
      </c>
      <c r="E26" s="165" t="s">
        <v>213</v>
      </c>
      <c r="F26" s="165" t="s">
        <v>216</v>
      </c>
      <c r="G26" s="165" t="s">
        <v>215</v>
      </c>
      <c r="H26" s="165" t="s">
        <v>930</v>
      </c>
      <c r="I26" s="165" t="s">
        <v>931</v>
      </c>
      <c r="J26" s="167">
        <v>5893</v>
      </c>
      <c r="K26" s="165" t="s">
        <v>932</v>
      </c>
      <c r="L26" s="165" t="s">
        <v>806</v>
      </c>
      <c r="M26" s="165" t="s">
        <v>799</v>
      </c>
      <c r="N26" s="165" t="s">
        <v>800</v>
      </c>
      <c r="O26" s="166">
        <v>45323</v>
      </c>
      <c r="P26" s="166">
        <v>45322</v>
      </c>
      <c r="Q26" s="166"/>
      <c r="R26" s="168">
        <v>6.05</v>
      </c>
      <c r="S26" s="168">
        <v>8.25</v>
      </c>
      <c r="T26" s="165" t="s">
        <v>933</v>
      </c>
      <c r="U26" s="168">
        <v>3.5</v>
      </c>
      <c r="V26" s="167">
        <v>20</v>
      </c>
      <c r="W26" s="165" t="s">
        <v>167</v>
      </c>
      <c r="X26" s="168">
        <v>1</v>
      </c>
      <c r="Y26" s="168">
        <v>6</v>
      </c>
      <c r="Z26" s="165" t="s">
        <v>934</v>
      </c>
      <c r="AA26" s="165" t="s">
        <v>845</v>
      </c>
      <c r="AB26" s="165" t="s">
        <v>935</v>
      </c>
      <c r="AC26" s="165" t="s">
        <v>936</v>
      </c>
      <c r="AD26" s="165" t="s">
        <v>845</v>
      </c>
      <c r="AE26" s="165"/>
      <c r="AF26" s="165" t="s">
        <v>845</v>
      </c>
      <c r="AG26" s="165" t="s">
        <v>845</v>
      </c>
      <c r="AH26" s="165" t="s">
        <v>935</v>
      </c>
      <c r="AI26" s="165" t="s">
        <v>809</v>
      </c>
      <c r="AJ26" s="166">
        <v>45930</v>
      </c>
    </row>
    <row r="27" spans="1:36" ht="14.45">
      <c r="A27" s="165" t="s">
        <v>803</v>
      </c>
      <c r="B27" s="166">
        <v>45316</v>
      </c>
      <c r="C27" s="165" t="s">
        <v>167</v>
      </c>
      <c r="D27" s="166" t="s">
        <v>833</v>
      </c>
      <c r="E27" s="165" t="s">
        <v>682</v>
      </c>
      <c r="F27" s="165" t="s">
        <v>325</v>
      </c>
      <c r="G27" s="165" t="s">
        <v>683</v>
      </c>
      <c r="H27" s="165" t="s">
        <v>937</v>
      </c>
      <c r="I27" s="165" t="s">
        <v>938</v>
      </c>
      <c r="J27" s="167">
        <v>20994</v>
      </c>
      <c r="K27" s="165" t="s">
        <v>939</v>
      </c>
      <c r="L27" s="165" t="s">
        <v>806</v>
      </c>
      <c r="M27" s="165" t="s">
        <v>799</v>
      </c>
      <c r="N27" s="165" t="s">
        <v>800</v>
      </c>
      <c r="O27" s="166">
        <v>45323</v>
      </c>
      <c r="P27" s="166">
        <v>44865</v>
      </c>
      <c r="Q27" s="166"/>
      <c r="R27" s="167">
        <v>13</v>
      </c>
      <c r="S27" s="168">
        <v>12.5</v>
      </c>
      <c r="T27" s="165" t="s">
        <v>835</v>
      </c>
      <c r="U27" s="168">
        <v>4</v>
      </c>
      <c r="V27" s="167">
        <v>36</v>
      </c>
      <c r="W27" s="165" t="s">
        <v>167</v>
      </c>
      <c r="X27" s="168">
        <v>0</v>
      </c>
      <c r="Y27" s="168">
        <v>7.5</v>
      </c>
      <c r="Z27" s="165" t="s">
        <v>940</v>
      </c>
      <c r="AA27" s="165" t="s">
        <v>845</v>
      </c>
      <c r="AB27" s="165" t="s">
        <v>845</v>
      </c>
      <c r="AC27" s="165" t="s">
        <v>941</v>
      </c>
      <c r="AD27" s="165" t="s">
        <v>845</v>
      </c>
      <c r="AE27" s="165"/>
      <c r="AF27" s="165" t="s">
        <v>845</v>
      </c>
      <c r="AG27" s="165" t="s">
        <v>845</v>
      </c>
      <c r="AH27" s="165" t="s">
        <v>167</v>
      </c>
      <c r="AI27" s="165" t="s">
        <v>809</v>
      </c>
      <c r="AJ27" s="166">
        <v>46418</v>
      </c>
    </row>
    <row r="28" spans="1:36" ht="14.45">
      <c r="A28" s="165" t="s">
        <v>803</v>
      </c>
      <c r="B28" s="166">
        <v>45315</v>
      </c>
      <c r="C28" s="165" t="s">
        <v>167</v>
      </c>
      <c r="D28" s="166" t="s">
        <v>833</v>
      </c>
      <c r="E28" s="165" t="s">
        <v>311</v>
      </c>
      <c r="F28" s="165" t="s">
        <v>313</v>
      </c>
      <c r="G28" s="165" t="s">
        <v>352</v>
      </c>
      <c r="H28" s="165" t="s">
        <v>942</v>
      </c>
      <c r="I28" s="165" t="s">
        <v>866</v>
      </c>
      <c r="J28" s="167">
        <v>5000</v>
      </c>
      <c r="K28" s="165" t="s">
        <v>841</v>
      </c>
      <c r="L28" s="165" t="s">
        <v>798</v>
      </c>
      <c r="M28" s="165" t="s">
        <v>799</v>
      </c>
      <c r="N28" s="165" t="s">
        <v>800</v>
      </c>
      <c r="O28" s="166">
        <v>45323</v>
      </c>
      <c r="P28" s="166">
        <v>45322</v>
      </c>
      <c r="Q28" s="166"/>
      <c r="R28" s="168">
        <v>14.65</v>
      </c>
      <c r="S28" s="167">
        <v>16</v>
      </c>
      <c r="T28" s="165" t="s">
        <v>943</v>
      </c>
      <c r="U28" s="168">
        <v>4</v>
      </c>
      <c r="V28" s="167">
        <v>61</v>
      </c>
      <c r="W28" s="165" t="s">
        <v>816</v>
      </c>
      <c r="X28" s="168">
        <v>5</v>
      </c>
      <c r="Y28" s="168">
        <v>7</v>
      </c>
      <c r="Z28" s="165" t="s">
        <v>944</v>
      </c>
      <c r="AA28" s="165" t="s">
        <v>945</v>
      </c>
      <c r="AB28" s="165" t="s">
        <v>946</v>
      </c>
      <c r="AC28" s="165" t="s">
        <v>947</v>
      </c>
      <c r="AD28" s="165" t="s">
        <v>845</v>
      </c>
      <c r="AE28" s="165"/>
      <c r="AF28" s="165" t="s">
        <v>845</v>
      </c>
      <c r="AG28" s="165" t="s">
        <v>845</v>
      </c>
      <c r="AH28" s="165" t="s">
        <v>946</v>
      </c>
      <c r="AI28" s="165" t="s">
        <v>802</v>
      </c>
      <c r="AJ28" s="166">
        <v>47177</v>
      </c>
    </row>
    <row r="29" spans="1:36" ht="14.45">
      <c r="A29" s="165" t="s">
        <v>274</v>
      </c>
      <c r="B29" s="166">
        <v>45299</v>
      </c>
      <c r="C29" s="165" t="s">
        <v>167</v>
      </c>
      <c r="D29" s="166" t="s">
        <v>833</v>
      </c>
      <c r="E29" s="165" t="s">
        <v>353</v>
      </c>
      <c r="F29" s="165" t="s">
        <v>355</v>
      </c>
      <c r="G29" s="165" t="s">
        <v>354</v>
      </c>
      <c r="H29" s="165" t="s">
        <v>948</v>
      </c>
      <c r="I29" s="165" t="s">
        <v>800</v>
      </c>
      <c r="J29" s="167">
        <v>35510</v>
      </c>
      <c r="K29" s="165" t="s">
        <v>949</v>
      </c>
      <c r="L29" s="165" t="s">
        <v>798</v>
      </c>
      <c r="M29" s="165" t="s">
        <v>799</v>
      </c>
      <c r="N29" s="165" t="s">
        <v>800</v>
      </c>
      <c r="O29" s="166">
        <v>45383</v>
      </c>
      <c r="P29" s="166">
        <v>45382</v>
      </c>
      <c r="Q29" s="166"/>
      <c r="R29" s="168">
        <v>4.43</v>
      </c>
      <c r="S29" s="168">
        <v>7.38</v>
      </c>
      <c r="T29" s="165" t="s">
        <v>893</v>
      </c>
      <c r="U29" s="168">
        <v>4</v>
      </c>
      <c r="V29" s="167">
        <v>36</v>
      </c>
      <c r="W29" s="165" t="s">
        <v>167</v>
      </c>
      <c r="X29" s="168">
        <v>0</v>
      </c>
      <c r="Y29" s="168">
        <v>3.62</v>
      </c>
      <c r="Z29" s="165" t="s">
        <v>950</v>
      </c>
      <c r="AA29" s="165" t="s">
        <v>845</v>
      </c>
      <c r="AB29" s="165" t="s">
        <v>845</v>
      </c>
      <c r="AC29" s="165" t="s">
        <v>951</v>
      </c>
      <c r="AD29" s="165" t="s">
        <v>845</v>
      </c>
      <c r="AE29" s="165"/>
      <c r="AF29" s="165" t="s">
        <v>845</v>
      </c>
      <c r="AG29" s="165" t="s">
        <v>845</v>
      </c>
      <c r="AH29" s="165" t="s">
        <v>167</v>
      </c>
      <c r="AI29" s="165" t="s">
        <v>809</v>
      </c>
      <c r="AJ29" s="166">
        <v>46477</v>
      </c>
    </row>
    <row r="33" spans="1:33" ht="14.45">
      <c r="A33" s="164" t="s">
        <v>86</v>
      </c>
      <c r="B33" s="164" t="s">
        <v>761</v>
      </c>
      <c r="C33" s="164" t="s">
        <v>763</v>
      </c>
      <c r="D33" s="164" t="s">
        <v>764</v>
      </c>
      <c r="E33" s="164" t="s">
        <v>765</v>
      </c>
      <c r="F33" s="164" t="s">
        <v>766</v>
      </c>
      <c r="G33" s="164" t="s">
        <v>767</v>
      </c>
      <c r="H33" s="164" t="s">
        <v>768</v>
      </c>
      <c r="I33" s="164" t="s">
        <v>769</v>
      </c>
      <c r="J33" s="164" t="s">
        <v>770</v>
      </c>
      <c r="K33" s="164" t="s">
        <v>771</v>
      </c>
      <c r="L33" s="164" t="s">
        <v>772</v>
      </c>
      <c r="M33" s="164" t="s">
        <v>773</v>
      </c>
      <c r="N33" s="164" t="s">
        <v>794</v>
      </c>
      <c r="O33" s="164" t="s">
        <v>762</v>
      </c>
      <c r="P33" s="164" t="s">
        <v>774</v>
      </c>
      <c r="Q33" s="164" t="s">
        <v>780</v>
      </c>
      <c r="R33" s="164" t="s">
        <v>778</v>
      </c>
      <c r="S33" s="164" t="s">
        <v>784</v>
      </c>
      <c r="T33" s="164" t="s">
        <v>781</v>
      </c>
      <c r="U33" s="164" t="s">
        <v>785</v>
      </c>
      <c r="V33" s="164" t="s">
        <v>779</v>
      </c>
      <c r="W33" s="164" t="s">
        <v>782</v>
      </c>
      <c r="X33" s="164" t="s">
        <v>786</v>
      </c>
      <c r="Y33" s="164" t="s">
        <v>783</v>
      </c>
      <c r="Z33" s="164" t="s">
        <v>787</v>
      </c>
      <c r="AA33" s="164" t="s">
        <v>788</v>
      </c>
      <c r="AB33" s="164" t="s">
        <v>790</v>
      </c>
      <c r="AC33" s="164" t="s">
        <v>791</v>
      </c>
      <c r="AD33" s="164" t="s">
        <v>792</v>
      </c>
      <c r="AE33" s="164" t="s">
        <v>776</v>
      </c>
      <c r="AF33" s="164" t="s">
        <v>777</v>
      </c>
      <c r="AG33" s="164" t="s">
        <v>793</v>
      </c>
    </row>
    <row r="34" spans="1:33" s="175" customFormat="1" ht="14.45">
      <c r="A34" s="169" t="s">
        <v>153</v>
      </c>
      <c r="B34" s="170">
        <v>45471</v>
      </c>
      <c r="C34" s="169" t="s">
        <v>952</v>
      </c>
      <c r="D34" s="169" t="s">
        <v>441</v>
      </c>
      <c r="E34" s="169" t="s">
        <v>440</v>
      </c>
      <c r="F34" s="169" t="s">
        <v>953</v>
      </c>
      <c r="G34" s="169" t="s">
        <v>866</v>
      </c>
      <c r="H34" s="171">
        <v>58225</v>
      </c>
      <c r="I34" s="169" t="s">
        <v>954</v>
      </c>
      <c r="J34" s="169" t="s">
        <v>806</v>
      </c>
      <c r="K34" s="169" t="s">
        <v>799</v>
      </c>
      <c r="L34" s="169" t="s">
        <v>800</v>
      </c>
      <c r="M34" s="170">
        <v>45474</v>
      </c>
      <c r="N34" s="170">
        <v>47361</v>
      </c>
      <c r="O34" s="170">
        <v>45470</v>
      </c>
      <c r="P34" s="170">
        <v>45361</v>
      </c>
      <c r="Q34" s="171">
        <v>62</v>
      </c>
      <c r="R34" s="169" t="s">
        <v>955</v>
      </c>
      <c r="S34" s="169" t="s">
        <v>956</v>
      </c>
      <c r="T34" s="169" t="s">
        <v>957</v>
      </c>
      <c r="U34" s="169" t="s">
        <v>958</v>
      </c>
      <c r="V34" s="172">
        <v>4</v>
      </c>
      <c r="W34" s="172">
        <v>0</v>
      </c>
      <c r="X34" s="169" t="s">
        <v>845</v>
      </c>
      <c r="Y34" s="172">
        <v>3.5</v>
      </c>
      <c r="Z34" s="169" t="s">
        <v>845</v>
      </c>
      <c r="AA34" s="169" t="s">
        <v>959</v>
      </c>
      <c r="AB34" s="169" t="s">
        <v>960</v>
      </c>
      <c r="AC34" s="169" t="s">
        <v>959</v>
      </c>
      <c r="AD34" s="169" t="s">
        <v>167</v>
      </c>
      <c r="AE34" s="172">
        <v>10.1</v>
      </c>
      <c r="AF34" s="171">
        <v>9</v>
      </c>
      <c r="AG34" s="169" t="s">
        <v>809</v>
      </c>
    </row>
  </sheetData>
  <autoFilter ref="A3:AJ29" xr:uid="{1B990812-8A33-4487-9A56-92551AF6AF7E}"/>
  <mergeCells count="2">
    <mergeCell ref="A1:AJ1"/>
    <mergeCell ref="A2:A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B6177-7714-497C-A81A-68AA689BC6B4}">
  <sheetPr>
    <tabColor theme="7"/>
  </sheetPr>
  <dimension ref="B1:T73"/>
  <sheetViews>
    <sheetView zoomScale="90" zoomScaleNormal="90" workbookViewId="0"/>
  </sheetViews>
  <sheetFormatPr defaultColWidth="8.625" defaultRowHeight="14.45"/>
  <cols>
    <col min="1" max="1" width="1.625" style="334" customWidth="1"/>
    <col min="2" max="2" width="39.625" style="334" bestFit="1" customWidth="1"/>
    <col min="3" max="3" width="13.375" style="334" bestFit="1" customWidth="1"/>
    <col min="4" max="4" width="8.625" style="334"/>
    <col min="5" max="5" width="13.375" style="334" bestFit="1" customWidth="1"/>
    <col min="6" max="16384" width="8.625" style="334"/>
  </cols>
  <sheetData>
    <row r="1" spans="2:20">
      <c r="B1" s="333" t="s">
        <v>961</v>
      </c>
      <c r="C1" s="334" t="s">
        <v>31</v>
      </c>
      <c r="D1" s="335" t="s">
        <v>962</v>
      </c>
      <c r="E1" s="334" t="s">
        <v>963</v>
      </c>
    </row>
    <row r="2" spans="2:20">
      <c r="B2" s="334" t="s">
        <v>7</v>
      </c>
      <c r="C2" s="336">
        <f>'DATA consolidated-leasing'!X307</f>
        <v>0.34051259410205237</v>
      </c>
      <c r="D2" s="337">
        <v>0.32</v>
      </c>
      <c r="E2" s="336">
        <f>'DATA consolidated-leasing'!X441</f>
        <v>0.38288319113658575</v>
      </c>
    </row>
    <row r="3" spans="2:20">
      <c r="B3" s="334" t="s">
        <v>10</v>
      </c>
      <c r="C3" s="336">
        <f>'DATA consolidated-leasing'!X326</f>
        <v>0.37096518130629885</v>
      </c>
      <c r="D3" s="337">
        <v>0.42</v>
      </c>
      <c r="E3" s="336">
        <f>'DATA consolidated-leasing'!X460</f>
        <v>0.45015136583543947</v>
      </c>
    </row>
    <row r="4" spans="2:20">
      <c r="B4" s="334" t="s">
        <v>964</v>
      </c>
      <c r="C4" s="336">
        <f>'DATA consolidated-leasing'!X239</f>
        <v>0.34837248332454496</v>
      </c>
      <c r="D4" s="337">
        <v>0.37</v>
      </c>
      <c r="E4" s="336">
        <f>'DATA consolidated-leasing'!X385</f>
        <v>0.41734626563404853</v>
      </c>
    </row>
    <row r="5" spans="2:20">
      <c r="S5" s="334" t="s">
        <v>965</v>
      </c>
      <c r="T5" s="336"/>
    </row>
    <row r="6" spans="2:20">
      <c r="B6" s="333" t="s">
        <v>966</v>
      </c>
      <c r="C6" s="334" t="s">
        <v>31</v>
      </c>
      <c r="D6" s="335" t="s">
        <v>962</v>
      </c>
      <c r="E6" s="334" t="s">
        <v>963</v>
      </c>
      <c r="S6" s="334" t="s">
        <v>967</v>
      </c>
      <c r="T6" s="336"/>
    </row>
    <row r="7" spans="2:20">
      <c r="B7" s="334" t="s">
        <v>7</v>
      </c>
      <c r="C7" s="336">
        <f>'DATA consolidated-leasing'!Z307</f>
        <v>0.1377410485086068</v>
      </c>
      <c r="D7" s="337">
        <v>0.16</v>
      </c>
      <c r="E7" s="336">
        <f>'DATA consolidated-leasing'!Z441</f>
        <v>0.29606807511367772</v>
      </c>
      <c r="S7" s="334" t="s">
        <v>157</v>
      </c>
      <c r="T7" s="336"/>
    </row>
    <row r="8" spans="2:20">
      <c r="B8" s="334" t="s">
        <v>10</v>
      </c>
      <c r="C8" s="336">
        <f>'DATA consolidated-leasing'!Z326</f>
        <v>8.5586013875622591E-2</v>
      </c>
      <c r="D8" s="337">
        <v>0.05</v>
      </c>
      <c r="E8" s="336">
        <f>'DATA consolidated-leasing'!Z460</f>
        <v>3.8569759124427838E-2</v>
      </c>
      <c r="T8" s="336"/>
    </row>
    <row r="9" spans="2:20">
      <c r="B9" s="334" t="s">
        <v>964</v>
      </c>
      <c r="C9" s="336">
        <f>'DATA consolidated-leasing'!Z239</f>
        <v>0.1226621900970386</v>
      </c>
      <c r="D9" s="337">
        <v>0.11</v>
      </c>
      <c r="E9" s="336">
        <f>'DATA consolidated-leasing'!Z385</f>
        <v>0.15982544581997504</v>
      </c>
      <c r="T9" s="336"/>
    </row>
    <row r="10" spans="2:20">
      <c r="T10" s="336"/>
    </row>
    <row r="11" spans="2:20" ht="15" thickBot="1">
      <c r="T11" s="336"/>
    </row>
    <row r="12" spans="2:20">
      <c r="B12" s="338" t="s">
        <v>968</v>
      </c>
      <c r="C12" s="339" t="s">
        <v>31</v>
      </c>
      <c r="D12" s="339" t="s">
        <v>962</v>
      </c>
      <c r="E12" s="340" t="s">
        <v>963</v>
      </c>
    </row>
    <row r="13" spans="2:20">
      <c r="B13" s="341" t="s">
        <v>969</v>
      </c>
      <c r="C13" s="334">
        <f>'DATA consolidated-leasing'!H307</f>
        <v>149</v>
      </c>
      <c r="D13" s="342">
        <v>28</v>
      </c>
      <c r="E13" s="343">
        <f>'DATA consolidated-leasing'!H441</f>
        <v>8</v>
      </c>
    </row>
    <row r="14" spans="2:20">
      <c r="B14" s="341" t="s">
        <v>970</v>
      </c>
      <c r="C14" s="334">
        <f>COUNTIFS('DATA consolidated-leasing'!$AE$5:$AE$220,'DATA consolidated-leasing'!$B$294,'DATA consolidated-leasing'!$N$5:$N$220,"")</f>
        <v>17</v>
      </c>
      <c r="D14" s="342">
        <v>1</v>
      </c>
      <c r="E14" s="343">
        <f>COUNTIFS('DATA consolidated-leasing'!$AE$5:$AE$220,'DATA consolidated-leasing'!$B$294,'DATA consolidated-leasing'!$N$5:$N$220,"",'DATA consolidated-leasing'!$AS$5:$AS$220,'DATA consolidated-leasing'!$B$369)</f>
        <v>1</v>
      </c>
    </row>
    <row r="15" spans="2:20">
      <c r="B15" s="341" t="s">
        <v>971</v>
      </c>
      <c r="C15" s="342">
        <v>77</v>
      </c>
      <c r="D15" s="342">
        <v>13</v>
      </c>
      <c r="E15" s="345">
        <v>4</v>
      </c>
    </row>
    <row r="16" spans="2:20">
      <c r="B16" s="346" t="s">
        <v>972</v>
      </c>
      <c r="C16" s="347">
        <f>C15/(C13-C14)</f>
        <v>0.58333333333333337</v>
      </c>
      <c r="D16" s="347">
        <f>D15/(D13-D14)</f>
        <v>0.48148148148148145</v>
      </c>
      <c r="E16" s="348">
        <f>E15/(E13-E14)</f>
        <v>0.5714285714285714</v>
      </c>
    </row>
    <row r="17" spans="2:5">
      <c r="B17" s="341" t="s">
        <v>973</v>
      </c>
      <c r="C17" s="334">
        <f>'DATA consolidated-leasing'!H326</f>
        <v>67</v>
      </c>
      <c r="D17" s="342">
        <v>34</v>
      </c>
      <c r="E17" s="343">
        <f>'DATA consolidated-leasing'!H460</f>
        <v>9</v>
      </c>
    </row>
    <row r="18" spans="2:5">
      <c r="B18" s="341" t="s">
        <v>974</v>
      </c>
      <c r="C18" s="334">
        <f>COUNTIFS('DATA consolidated-leasing'!$AE$5:$AE$220,'DATA consolidated-leasing'!$B$310,'DATA consolidated-leasing'!$N$5:$N$220,"")</f>
        <v>10</v>
      </c>
      <c r="D18" s="342">
        <v>2</v>
      </c>
      <c r="E18" s="343">
        <f>COUNTIFS('DATA consolidated-leasing'!$AE$5:$AE$220,'DATA consolidated-leasing'!$B$310,'DATA consolidated-leasing'!$N$5:$N$220,"",'DATA consolidated-leasing'!$AS$5:$AS$220,'DATA consolidated-leasing'!$B$369)</f>
        <v>1</v>
      </c>
    </row>
    <row r="19" spans="2:5">
      <c r="B19" s="341" t="s">
        <v>975</v>
      </c>
      <c r="C19" s="342">
        <v>37</v>
      </c>
      <c r="D19" s="342">
        <v>19</v>
      </c>
      <c r="E19" s="345">
        <v>6</v>
      </c>
    </row>
    <row r="20" spans="2:5">
      <c r="B20" s="346" t="s">
        <v>976</v>
      </c>
      <c r="C20" s="347">
        <f>C19/(C17-C18)</f>
        <v>0.64912280701754388</v>
      </c>
      <c r="D20" s="347">
        <f>D19/(D17-D18)</f>
        <v>0.59375</v>
      </c>
      <c r="E20" s="348">
        <f>E19/(E17-E18)</f>
        <v>0.75</v>
      </c>
    </row>
    <row r="21" spans="2:5">
      <c r="B21" s="349" t="s">
        <v>977</v>
      </c>
      <c r="C21" s="350">
        <f>(C15+C19)/(C13+C17-C14-C18)</f>
        <v>0.60317460317460314</v>
      </c>
      <c r="D21" s="350">
        <f>(D15+D19)/(D13+D17-D14-D18)</f>
        <v>0.5423728813559322</v>
      </c>
      <c r="E21" s="351">
        <f>(E15+E19)/(E13+E17-E14-E18)</f>
        <v>0.66666666666666663</v>
      </c>
    </row>
    <row r="22" spans="2:5">
      <c r="B22" s="341"/>
      <c r="E22" s="343"/>
    </row>
    <row r="23" spans="2:5">
      <c r="B23" s="352" t="s">
        <v>978</v>
      </c>
      <c r="C23" s="334" t="s">
        <v>31</v>
      </c>
      <c r="D23" s="334" t="s">
        <v>962</v>
      </c>
      <c r="E23" s="343" t="s">
        <v>963</v>
      </c>
    </row>
    <row r="24" spans="2:5">
      <c r="B24" s="341" t="s">
        <v>979</v>
      </c>
      <c r="C24" s="344">
        <v>12</v>
      </c>
      <c r="D24" s="344">
        <v>1</v>
      </c>
      <c r="E24" s="353">
        <v>0</v>
      </c>
    </row>
    <row r="25" spans="2:5">
      <c r="B25" s="341" t="s">
        <v>969</v>
      </c>
      <c r="C25" s="334">
        <f>C13-C14-C24</f>
        <v>120</v>
      </c>
      <c r="D25" s="334">
        <f>D13-D14-D24</f>
        <v>26</v>
      </c>
      <c r="E25" s="343">
        <f>E13-E14-E24</f>
        <v>7</v>
      </c>
    </row>
    <row r="26" spans="2:5">
      <c r="B26" s="341" t="s">
        <v>980</v>
      </c>
      <c r="C26" s="354">
        <f>C15</f>
        <v>77</v>
      </c>
      <c r="D26" s="354">
        <f t="shared" ref="D26:E26" si="0">D15</f>
        <v>13</v>
      </c>
      <c r="E26" s="355">
        <f t="shared" si="0"/>
        <v>4</v>
      </c>
    </row>
    <row r="27" spans="2:5">
      <c r="B27" s="346" t="s">
        <v>972</v>
      </c>
      <c r="C27" s="347">
        <f>C26/C25</f>
        <v>0.64166666666666672</v>
      </c>
      <c r="D27" s="347">
        <f>D26/D25</f>
        <v>0.5</v>
      </c>
      <c r="E27" s="348">
        <f>E26/E25</f>
        <v>0.5714285714285714</v>
      </c>
    </row>
    <row r="28" spans="2:5">
      <c r="B28" s="341" t="s">
        <v>981</v>
      </c>
      <c r="C28" s="344">
        <v>9</v>
      </c>
      <c r="D28" s="344">
        <v>5</v>
      </c>
      <c r="E28" s="353">
        <v>0</v>
      </c>
    </row>
    <row r="29" spans="2:5">
      <c r="B29" s="341" t="s">
        <v>973</v>
      </c>
      <c r="C29" s="334">
        <f>C17-C18-C28</f>
        <v>48</v>
      </c>
      <c r="D29" s="334">
        <f>D17-D18-D28</f>
        <v>27</v>
      </c>
      <c r="E29" s="343">
        <f>E17-E18-E28</f>
        <v>8</v>
      </c>
    </row>
    <row r="30" spans="2:5">
      <c r="B30" s="341" t="s">
        <v>982</v>
      </c>
      <c r="C30" s="354">
        <f>C19</f>
        <v>37</v>
      </c>
      <c r="D30" s="354">
        <f t="shared" ref="D30:E30" si="1">D19</f>
        <v>19</v>
      </c>
      <c r="E30" s="355">
        <f t="shared" si="1"/>
        <v>6</v>
      </c>
    </row>
    <row r="31" spans="2:5">
      <c r="B31" s="346" t="s">
        <v>976</v>
      </c>
      <c r="C31" s="347">
        <f>C30/C29</f>
        <v>0.77083333333333337</v>
      </c>
      <c r="D31" s="347">
        <f>D30/D29</f>
        <v>0.70370370370370372</v>
      </c>
      <c r="E31" s="348">
        <f>E30/E29</f>
        <v>0.75</v>
      </c>
    </row>
    <row r="32" spans="2:5" ht="15" thickBot="1">
      <c r="B32" s="356" t="s">
        <v>983</v>
      </c>
      <c r="C32" s="357">
        <f>(C26+C30)/(C25+C29)</f>
        <v>0.6785714285714286</v>
      </c>
      <c r="D32" s="357">
        <f>(D26+D30)/(D25+D29)</f>
        <v>0.60377358490566035</v>
      </c>
      <c r="E32" s="358">
        <f>(E26+E30)/(E25+E29)</f>
        <v>0.66666666666666663</v>
      </c>
    </row>
    <row r="35" spans="2:5">
      <c r="B35" s="333" t="s">
        <v>984</v>
      </c>
      <c r="C35" s="334" t="s">
        <v>31</v>
      </c>
      <c r="D35" s="335" t="s">
        <v>962</v>
      </c>
      <c r="E35" s="334" t="s">
        <v>963</v>
      </c>
    </row>
    <row r="36" spans="2:5">
      <c r="B36" s="334" t="s">
        <v>7</v>
      </c>
      <c r="C36" s="359">
        <f>'DATA consolidated-leasing'!Q307</f>
        <v>7.7075896084220252</v>
      </c>
      <c r="D36" s="344">
        <v>9.56</v>
      </c>
      <c r="E36" s="359">
        <f>'DATA consolidated-leasing'!Q441</f>
        <v>7.1768302099812527</v>
      </c>
    </row>
    <row r="37" spans="2:5">
      <c r="B37" s="334" t="s">
        <v>985</v>
      </c>
      <c r="C37" s="359">
        <f>'DATA consolidated-leasing'!$O$307</f>
        <v>6.7744673698161986</v>
      </c>
      <c r="D37" s="344">
        <v>8.27</v>
      </c>
      <c r="E37" s="359">
        <f>'DATA consolidated-leasing'!$O$441</f>
        <v>5.5373867683237048</v>
      </c>
    </row>
    <row r="38" spans="2:5">
      <c r="B38" s="334" t="s">
        <v>10</v>
      </c>
      <c r="C38" s="359">
        <f>'DATA consolidated-leasing'!Q326</f>
        <v>8.6002167521496684</v>
      </c>
      <c r="D38" s="344">
        <v>9.67</v>
      </c>
      <c r="E38" s="359">
        <f>'DATA consolidated-leasing'!Q460</f>
        <v>9.5453053450831824</v>
      </c>
    </row>
    <row r="39" spans="2:5">
      <c r="B39" s="334" t="s">
        <v>986</v>
      </c>
      <c r="C39" s="359">
        <f>'DATA consolidated-leasing'!O326</f>
        <v>7.9221882395539138</v>
      </c>
      <c r="D39" s="344">
        <v>10.18</v>
      </c>
      <c r="E39" s="359">
        <f>'DATA consolidated-leasing'!O460</f>
        <v>9.1908177194860805</v>
      </c>
    </row>
    <row r="41" spans="2:5">
      <c r="B41" s="333" t="s">
        <v>987</v>
      </c>
      <c r="C41" s="334" t="s">
        <v>31</v>
      </c>
      <c r="D41" s="335" t="s">
        <v>962</v>
      </c>
      <c r="E41" s="334" t="s">
        <v>963</v>
      </c>
    </row>
    <row r="42" spans="2:5">
      <c r="B42" s="334" t="s">
        <v>7</v>
      </c>
      <c r="C42" s="359">
        <f>'DATA consolidated-leasing'!R307</f>
        <v>3.6272542172218274</v>
      </c>
      <c r="D42" s="344">
        <v>3.78</v>
      </c>
      <c r="E42" s="359">
        <f>'DATA consolidated-leasing'!R441</f>
        <v>3.8870836788882772</v>
      </c>
    </row>
    <row r="43" spans="2:5">
      <c r="B43" s="334" t="s">
        <v>985</v>
      </c>
      <c r="C43" s="359">
        <f>'DATA consolidated-leasing'!S307</f>
        <v>2.7820838540962902</v>
      </c>
      <c r="D43" s="344">
        <v>2.82</v>
      </c>
      <c r="E43" s="359">
        <f>'DATA consolidated-leasing'!S441</f>
        <v>2.924962889141328</v>
      </c>
    </row>
    <row r="44" spans="2:5">
      <c r="B44" s="334" t="s">
        <v>10</v>
      </c>
      <c r="C44" s="359">
        <f>'DATA consolidated-leasing'!R326</f>
        <v>3.3363091493575396</v>
      </c>
      <c r="D44" s="344">
        <v>3.47</v>
      </c>
      <c r="E44" s="359">
        <f>'DATA consolidated-leasing'!R460</f>
        <v>3.4523045320323531</v>
      </c>
    </row>
    <row r="45" spans="2:5">
      <c r="B45" s="334" t="s">
        <v>986</v>
      </c>
      <c r="C45" s="359">
        <f>'DATA consolidated-leasing'!S326</f>
        <v>3.323795728683562</v>
      </c>
      <c r="D45" s="344">
        <v>3.6</v>
      </c>
      <c r="E45" s="359">
        <f>'DATA consolidated-leasing'!S460</f>
        <v>3.7434318893098335</v>
      </c>
    </row>
    <row r="46" spans="2:5">
      <c r="C46" s="359"/>
      <c r="E46" s="359"/>
    </row>
    <row r="47" spans="2:5">
      <c r="B47" s="333" t="s">
        <v>988</v>
      </c>
      <c r="C47" s="334" t="s">
        <v>31</v>
      </c>
      <c r="D47" s="334" t="s">
        <v>962</v>
      </c>
      <c r="E47" s="334" t="s">
        <v>963</v>
      </c>
    </row>
    <row r="48" spans="2:5">
      <c r="B48" s="334" t="s">
        <v>7</v>
      </c>
      <c r="C48" s="354">
        <f>C13-C15</f>
        <v>72</v>
      </c>
      <c r="D48" s="354">
        <f>D13-D15</f>
        <v>15</v>
      </c>
      <c r="E48" s="354">
        <f>E13-E15</f>
        <v>4</v>
      </c>
    </row>
    <row r="49" spans="2:5">
      <c r="B49" s="334" t="s">
        <v>10</v>
      </c>
      <c r="C49" s="354">
        <f>C17-C19</f>
        <v>30</v>
      </c>
      <c r="D49" s="354">
        <f>D17-D19</f>
        <v>15</v>
      </c>
      <c r="E49" s="354">
        <f>E17-E19</f>
        <v>3</v>
      </c>
    </row>
    <row r="51" spans="2:5">
      <c r="C51" s="360"/>
      <c r="D51" s="360"/>
      <c r="E51" s="360"/>
    </row>
    <row r="68" spans="2:13">
      <c r="E68" s="361"/>
      <c r="J68" s="469" t="s">
        <v>989</v>
      </c>
      <c r="K68" s="469"/>
      <c r="L68" s="469" t="s">
        <v>990</v>
      </c>
      <c r="M68" s="469"/>
    </row>
    <row r="69" spans="2:13">
      <c r="B69" s="334" t="s">
        <v>66</v>
      </c>
      <c r="C69" s="334" t="s">
        <v>991</v>
      </c>
      <c r="D69" s="334" t="s">
        <v>992</v>
      </c>
      <c r="J69" s="334" t="s">
        <v>993</v>
      </c>
      <c r="K69" s="334" t="s">
        <v>994</v>
      </c>
      <c r="L69" s="334" t="s">
        <v>993</v>
      </c>
      <c r="M69" s="334" t="s">
        <v>994</v>
      </c>
    </row>
    <row r="70" spans="2:13">
      <c r="B70" s="334" t="s">
        <v>995</v>
      </c>
      <c r="C70" s="360">
        <f>K73/J73-1</f>
        <v>3.5043804755944929E-2</v>
      </c>
      <c r="D70" s="360">
        <f>M73/L73-1</f>
        <v>0</v>
      </c>
      <c r="J70" s="334">
        <v>7.3500822190945341</v>
      </c>
      <c r="K70" s="334">
        <v>8.3916803307529921</v>
      </c>
      <c r="L70" s="334">
        <v>6.406982706394893</v>
      </c>
      <c r="M70" s="334">
        <v>6.9743295801503686</v>
      </c>
    </row>
    <row r="71" spans="2:13">
      <c r="B71" s="334" t="s">
        <v>996</v>
      </c>
      <c r="C71" s="360">
        <f>K72/J72-1</f>
        <v>4.788732394366213E-2</v>
      </c>
      <c r="D71" s="360">
        <f>M72/L72-1</f>
        <v>2.5110782865583658E-2</v>
      </c>
      <c r="J71" s="334">
        <v>9.09</v>
      </c>
      <c r="K71" s="334">
        <v>11.4</v>
      </c>
      <c r="L71" s="334">
        <v>5.81</v>
      </c>
      <c r="M71" s="334">
        <v>6.37</v>
      </c>
    </row>
    <row r="72" spans="2:13">
      <c r="B72" s="334" t="s">
        <v>997</v>
      </c>
      <c r="C72" s="360">
        <f>K71/J71-1</f>
        <v>0.2541254125412542</v>
      </c>
      <c r="D72" s="360">
        <f>M71/L71-1</f>
        <v>9.6385542168674787E-2</v>
      </c>
      <c r="J72" s="334">
        <v>7.1</v>
      </c>
      <c r="K72" s="334">
        <v>7.44</v>
      </c>
      <c r="L72" s="334">
        <v>6.77</v>
      </c>
      <c r="M72" s="334">
        <v>6.94</v>
      </c>
    </row>
    <row r="73" spans="2:13">
      <c r="B73" s="334" t="s">
        <v>998</v>
      </c>
      <c r="C73" s="360">
        <f>K70/J70-1</f>
        <v>0.14171244356321955</v>
      </c>
      <c r="D73" s="360">
        <f>M70/L70-1</f>
        <v>8.8551335278180154E-2</v>
      </c>
      <c r="J73" s="334">
        <v>7.99</v>
      </c>
      <c r="K73" s="334">
        <v>8.27</v>
      </c>
      <c r="L73" s="334">
        <v>5.6</v>
      </c>
      <c r="M73" s="334">
        <v>5.6</v>
      </c>
    </row>
  </sheetData>
  <mergeCells count="2">
    <mergeCell ref="J68:K68"/>
    <mergeCell ref="L68:M68"/>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EA615-D589-4596-9DA6-CEDEF7C88910}">
  <sheetPr>
    <tabColor theme="4"/>
  </sheetPr>
  <dimension ref="A2:AI92"/>
  <sheetViews>
    <sheetView showGridLines="0" zoomScale="115" zoomScaleNormal="115" workbookViewId="0"/>
  </sheetViews>
  <sheetFormatPr defaultColWidth="8.875" defaultRowHeight="13.9"/>
  <cols>
    <col min="1" max="1" width="17.5" bestFit="1" customWidth="1"/>
    <col min="2" max="2" width="7.125" bestFit="1" customWidth="1"/>
    <col min="3" max="3" width="10.375" bestFit="1" customWidth="1"/>
    <col min="4" max="4" width="20.125" bestFit="1" customWidth="1"/>
    <col min="5" max="5" width="12.375" bestFit="1" customWidth="1"/>
    <col min="6" max="6" width="24.125" bestFit="1" customWidth="1"/>
    <col min="7" max="7" width="12.125" bestFit="1" customWidth="1"/>
    <col min="8" max="8" width="16.375" bestFit="1" customWidth="1"/>
    <col min="9" max="9" width="10.125" bestFit="1" customWidth="1"/>
    <col min="10" max="10" width="13.125" bestFit="1" customWidth="1"/>
    <col min="11" max="11" width="9.125" bestFit="1" customWidth="1"/>
    <col min="12" max="12" width="6.125" style="3" bestFit="1" customWidth="1"/>
    <col min="13" max="13" width="6.875" bestFit="1" customWidth="1"/>
    <col min="14" max="14" width="24.625" bestFit="1" customWidth="1"/>
    <col min="15" max="15" width="18.125" bestFit="1" customWidth="1"/>
    <col min="16" max="16" width="45.875" bestFit="1" customWidth="1"/>
    <col min="17" max="17" width="23.5" bestFit="1" customWidth="1"/>
    <col min="18" max="18" width="19" bestFit="1" customWidth="1"/>
    <col min="20" max="20" width="15.5" customWidth="1"/>
  </cols>
  <sheetData>
    <row r="2" spans="1:18">
      <c r="A2" s="1" t="s">
        <v>109</v>
      </c>
      <c r="B2" t="s">
        <v>999</v>
      </c>
    </row>
    <row r="3" spans="1:18">
      <c r="A3" s="1" t="s">
        <v>66</v>
      </c>
      <c r="B3" t="s">
        <v>999</v>
      </c>
    </row>
    <row r="4" spans="1:18">
      <c r="A4" s="1" t="s">
        <v>82</v>
      </c>
      <c r="B4" t="s">
        <v>999</v>
      </c>
    </row>
    <row r="5" spans="1:18">
      <c r="M5" s="84"/>
    </row>
    <row r="6" spans="1:18">
      <c r="A6" s="1" t="s">
        <v>1000</v>
      </c>
      <c r="B6" s="3" t="s">
        <v>2</v>
      </c>
      <c r="C6" s="75" t="s">
        <v>90</v>
      </c>
      <c r="D6" s="3" t="s">
        <v>1001</v>
      </c>
      <c r="E6" s="3" t="s">
        <v>1002</v>
      </c>
      <c r="F6" s="3" t="s">
        <v>1003</v>
      </c>
      <c r="G6" t="s">
        <v>1004</v>
      </c>
      <c r="H6" t="s">
        <v>1005</v>
      </c>
      <c r="I6" s="3" t="s">
        <v>736</v>
      </c>
      <c r="J6" s="3" t="s">
        <v>737</v>
      </c>
      <c r="K6" s="3" t="s">
        <v>1006</v>
      </c>
      <c r="L6" s="3" t="s">
        <v>65</v>
      </c>
      <c r="M6" s="3" t="s">
        <v>106</v>
      </c>
      <c r="N6" s="3" t="s">
        <v>1007</v>
      </c>
      <c r="O6" s="3" t="s">
        <v>1008</v>
      </c>
      <c r="P6" t="s">
        <v>1009</v>
      </c>
      <c r="Q6" t="s">
        <v>1010</v>
      </c>
      <c r="R6" t="s">
        <v>1011</v>
      </c>
    </row>
    <row r="7" spans="1:18">
      <c r="A7" s="2" t="s">
        <v>153</v>
      </c>
      <c r="B7" s="83">
        <v>36</v>
      </c>
      <c r="C7" s="4">
        <v>932174</v>
      </c>
      <c r="D7" s="76">
        <v>6.1953583074778908</v>
      </c>
      <c r="E7" s="76">
        <v>7.0700147504650417</v>
      </c>
      <c r="F7" s="76">
        <v>7.5535865514378209</v>
      </c>
      <c r="G7" s="76">
        <v>3.9680456652942477</v>
      </c>
      <c r="H7" s="76">
        <v>3.2478386545859466</v>
      </c>
      <c r="I7" s="76">
        <v>9.5264028589309646</v>
      </c>
      <c r="J7" s="76">
        <v>10.996218715604597</v>
      </c>
      <c r="K7" s="76">
        <v>3.9654490310955923</v>
      </c>
      <c r="L7" s="76">
        <v>4.7186968799953739</v>
      </c>
      <c r="M7" s="76">
        <v>2.555840374662369</v>
      </c>
      <c r="N7" s="82">
        <v>0.20714735490371683</v>
      </c>
      <c r="O7" s="82">
        <v>6.8397566064621218E-2</v>
      </c>
      <c r="P7" s="76">
        <v>7.4787103935527046</v>
      </c>
      <c r="Q7" s="95">
        <v>49803933.359999999</v>
      </c>
      <c r="R7" s="76">
        <v>5.4814029462310678</v>
      </c>
    </row>
    <row r="8" spans="1:18">
      <c r="A8" s="2" t="s">
        <v>207</v>
      </c>
      <c r="B8" s="83">
        <v>9</v>
      </c>
      <c r="C8" s="4">
        <v>102859</v>
      </c>
      <c r="D8" s="76">
        <v>8.8393177504573988</v>
      </c>
      <c r="E8" s="76">
        <v>10.570096549645632</v>
      </c>
      <c r="F8" s="76">
        <v>10.938760827929496</v>
      </c>
      <c r="G8" s="76">
        <v>3.6837175162115128</v>
      </c>
      <c r="H8" s="76">
        <v>4</v>
      </c>
      <c r="I8" s="76">
        <v>11.469086027989023</v>
      </c>
      <c r="J8" s="76">
        <v>6.4063407188481323</v>
      </c>
      <c r="K8" s="76">
        <v>8.3789039786016097</v>
      </c>
      <c r="L8" s="76">
        <v>4.6622388194704678</v>
      </c>
      <c r="M8" s="76">
        <v>2.2959081727772657</v>
      </c>
      <c r="N8" s="82">
        <v>0.3166200541476154</v>
      </c>
      <c r="O8" s="82">
        <v>3.4878042651012908E-2</v>
      </c>
      <c r="P8" s="76">
        <v>11.638023015235197</v>
      </c>
      <c r="Q8" s="95">
        <v>6842304.0399999991</v>
      </c>
      <c r="R8" s="76">
        <v>7.2803741043564489</v>
      </c>
    </row>
    <row r="9" spans="1:18">
      <c r="A9" s="2" t="s">
        <v>201</v>
      </c>
      <c r="B9" s="83">
        <v>2</v>
      </c>
      <c r="C9" s="4">
        <v>102961</v>
      </c>
      <c r="D9" s="76">
        <v>6.7581612455201485</v>
      </c>
      <c r="E9" s="76">
        <v>9.0426625615524312</v>
      </c>
      <c r="F9" s="76">
        <v>10.47477200104894</v>
      </c>
      <c r="G9" s="76">
        <v>3.7769932304464797</v>
      </c>
      <c r="H9" s="76">
        <v>4</v>
      </c>
      <c r="I9" s="76">
        <v>1.5610473992571081</v>
      </c>
      <c r="J9" s="76">
        <v>0</v>
      </c>
      <c r="K9" s="76">
        <v>1</v>
      </c>
      <c r="L9" s="76">
        <v>9</v>
      </c>
      <c r="M9" s="76" t="e">
        <v>#DIV/0!</v>
      </c>
      <c r="N9" s="82">
        <v>0.54994407805709877</v>
      </c>
      <c r="O9" s="82">
        <v>0.15837254013939961</v>
      </c>
      <c r="P9" s="76">
        <v>10.47477200104894</v>
      </c>
      <c r="Q9" s="95">
        <v>4675077.83</v>
      </c>
      <c r="R9" s="76">
        <v>10.048364235001603</v>
      </c>
    </row>
    <row r="10" spans="1:18">
      <c r="A10" s="2" t="s">
        <v>144</v>
      </c>
      <c r="B10" s="83">
        <v>33</v>
      </c>
      <c r="C10" s="4">
        <v>891266</v>
      </c>
      <c r="D10" s="76">
        <v>6.2471508659487629</v>
      </c>
      <c r="E10" s="76">
        <v>6.6142039637998096</v>
      </c>
      <c r="F10" s="76">
        <v>7.3060652925164886</v>
      </c>
      <c r="G10" s="76">
        <v>3.3483387675508771</v>
      </c>
      <c r="H10" s="76">
        <v>2.6751833908171072</v>
      </c>
      <c r="I10" s="76">
        <v>9.7086078173789154</v>
      </c>
      <c r="J10" s="76">
        <v>13.423051255180832</v>
      </c>
      <c r="K10" s="76">
        <v>3.1711541728188579</v>
      </c>
      <c r="L10" s="76">
        <v>7.3166563876076358</v>
      </c>
      <c r="M10" s="76">
        <v>2.102063744962674</v>
      </c>
      <c r="N10" s="82">
        <v>0.15844469778558889</v>
      </c>
      <c r="O10" s="82">
        <v>0.10460235766893566</v>
      </c>
      <c r="P10" s="76">
        <v>7.2369787969249932</v>
      </c>
      <c r="Q10" s="95">
        <v>29021310.890000001</v>
      </c>
      <c r="R10" s="76">
        <v>4.522479102759446</v>
      </c>
    </row>
    <row r="11" spans="1:18">
      <c r="A11" s="2" t="s">
        <v>185</v>
      </c>
      <c r="B11" s="83">
        <v>7</v>
      </c>
      <c r="C11" s="4">
        <v>558050</v>
      </c>
      <c r="D11" s="76">
        <v>4.0541443169541038</v>
      </c>
      <c r="E11" s="76">
        <v>3.6429128572708533</v>
      </c>
      <c r="F11" s="76">
        <v>4.1773568318251053</v>
      </c>
      <c r="G11" s="76">
        <v>3.6434075799659529</v>
      </c>
      <c r="H11" s="76">
        <v>3.1051670997222471</v>
      </c>
      <c r="I11" s="76">
        <v>13.030920213192809</v>
      </c>
      <c r="J11" s="76">
        <v>10.386638276140131</v>
      </c>
      <c r="K11" s="76">
        <v>0</v>
      </c>
      <c r="L11" s="76">
        <v>7.8093054476901482</v>
      </c>
      <c r="M11" s="76">
        <v>1.6730825182652314</v>
      </c>
      <c r="N11" s="82">
        <v>0.11403603905961268</v>
      </c>
      <c r="O11" s="82">
        <v>0.14670786688942083</v>
      </c>
      <c r="P11" s="76">
        <v>4.5164628766355888</v>
      </c>
      <c r="Q11" s="95">
        <v>8983929.1600000001</v>
      </c>
      <c r="R11" s="76">
        <v>1.8351536242272197</v>
      </c>
    </row>
    <row r="12" spans="1:18">
      <c r="A12" s="2" t="s">
        <v>214</v>
      </c>
      <c r="B12" s="83">
        <v>11</v>
      </c>
      <c r="C12" s="4">
        <v>185823</v>
      </c>
      <c r="D12" s="76">
        <v>4.773772084187641</v>
      </c>
      <c r="E12" s="76">
        <v>5.5846012065244883</v>
      </c>
      <c r="F12" s="76">
        <v>7.5256991868606145</v>
      </c>
      <c r="G12" s="76">
        <v>2.0916705682289058</v>
      </c>
      <c r="H12" s="76">
        <v>2.9841435129128255</v>
      </c>
      <c r="I12" s="76">
        <v>6.6218281896556048</v>
      </c>
      <c r="J12" s="76">
        <v>9.408879417510212</v>
      </c>
      <c r="K12" s="76">
        <v>5.6732309100188303</v>
      </c>
      <c r="L12" s="76">
        <v>8.7128574696865702</v>
      </c>
      <c r="M12" s="76">
        <v>0.99999120975716949</v>
      </c>
      <c r="N12" s="82">
        <v>0.57646805380346788</v>
      </c>
      <c r="O12" s="82">
        <v>0.34758041058837685</v>
      </c>
      <c r="P12" s="76">
        <v>7.5256991868606145</v>
      </c>
      <c r="Q12" s="95">
        <v>5261953.4000000004</v>
      </c>
      <c r="R12" s="76">
        <v>6.2025543124371039</v>
      </c>
    </row>
    <row r="13" spans="1:18">
      <c r="A13" s="2" t="s">
        <v>244</v>
      </c>
      <c r="B13" s="83">
        <v>24</v>
      </c>
      <c r="C13" s="4">
        <v>779670</v>
      </c>
      <c r="D13" s="76">
        <v>4.355071828752199</v>
      </c>
      <c r="E13" s="76">
        <v>5.3331167801762289</v>
      </c>
      <c r="F13" s="76">
        <v>6.0825556966408856</v>
      </c>
      <c r="G13" s="76">
        <v>3.3241108032885709</v>
      </c>
      <c r="H13" s="76">
        <v>2.7932602254800112</v>
      </c>
      <c r="I13" s="76">
        <v>8.4499628908083988</v>
      </c>
      <c r="J13" s="76">
        <v>8.171064736362819</v>
      </c>
      <c r="K13" s="76">
        <v>4.1676849194396297</v>
      </c>
      <c r="L13" s="76">
        <v>3.7846099449128632</v>
      </c>
      <c r="M13" s="76">
        <v>1.5719027630500986</v>
      </c>
      <c r="N13" s="82">
        <v>0.38102583864443185</v>
      </c>
      <c r="O13" s="82">
        <v>0.14052550269485975</v>
      </c>
      <c r="P13" s="76">
        <v>6.014466724659246</v>
      </c>
      <c r="Q13" s="95">
        <v>31891107.66</v>
      </c>
      <c r="R13" s="76">
        <v>4.6058883373735044</v>
      </c>
    </row>
    <row r="14" spans="1:18">
      <c r="A14" s="2" t="s">
        <v>181</v>
      </c>
      <c r="B14" s="83">
        <v>30</v>
      </c>
      <c r="C14" s="4">
        <v>886928</v>
      </c>
      <c r="D14" s="76">
        <v>4.9293803237002161</v>
      </c>
      <c r="E14" s="76">
        <v>6.8278024033517939</v>
      </c>
      <c r="F14" s="76">
        <v>8.3052362085761189</v>
      </c>
      <c r="G14" s="76">
        <v>3.8213349899879132</v>
      </c>
      <c r="H14" s="76">
        <v>2.8008468556635937</v>
      </c>
      <c r="I14" s="76">
        <v>5.7991083428015058</v>
      </c>
      <c r="J14" s="76">
        <v>23.329193824075912</v>
      </c>
      <c r="K14" s="76">
        <v>7.2945799958923807</v>
      </c>
      <c r="L14" s="76">
        <v>6.8429143766687206</v>
      </c>
      <c r="M14" s="76">
        <v>2.1823269352130872</v>
      </c>
      <c r="N14" s="82">
        <v>0.52737162234054669</v>
      </c>
      <c r="O14" s="82">
        <v>0.21638496809735552</v>
      </c>
      <c r="P14" s="76">
        <v>7.6625030617504555</v>
      </c>
      <c r="Q14" s="95">
        <v>47635993.400000006</v>
      </c>
      <c r="R14" s="76">
        <v>4.792502176050367</v>
      </c>
    </row>
    <row r="15" spans="1:18">
      <c r="A15" s="2" t="s">
        <v>600</v>
      </c>
      <c r="B15" s="83">
        <v>1</v>
      </c>
      <c r="C15" s="4">
        <v>52896</v>
      </c>
      <c r="D15" s="76" t="e">
        <v>#DIV/0!</v>
      </c>
      <c r="E15" s="76">
        <v>7.8</v>
      </c>
      <c r="F15" s="76">
        <v>8.2799999999999994</v>
      </c>
      <c r="G15" s="76">
        <v>3</v>
      </c>
      <c r="H15" s="76">
        <v>2.5</v>
      </c>
      <c r="I15" s="76">
        <v>11.2768542788</v>
      </c>
      <c r="J15" s="76">
        <v>31.6</v>
      </c>
      <c r="K15" s="76">
        <v>6</v>
      </c>
      <c r="L15" s="76">
        <v>11.09</v>
      </c>
      <c r="M15" s="76">
        <v>1.5</v>
      </c>
      <c r="N15" s="82" t="e">
        <v>#DIV/0!</v>
      </c>
      <c r="O15" s="82">
        <v>6.1538461538461542E-2</v>
      </c>
      <c r="P15" s="76" t="e">
        <v>#DIV/0!</v>
      </c>
      <c r="Q15" s="95">
        <v>1416513.56</v>
      </c>
      <c r="R15" s="76">
        <v>0</v>
      </c>
    </row>
    <row r="16" spans="1:18">
      <c r="A16" s="2" t="s">
        <v>221</v>
      </c>
      <c r="B16" s="83">
        <v>1</v>
      </c>
      <c r="C16" s="4">
        <v>39000</v>
      </c>
      <c r="D16" s="76">
        <v>4.25</v>
      </c>
      <c r="E16" s="76">
        <v>4.6349999999999998</v>
      </c>
      <c r="F16" s="76">
        <v>5.75</v>
      </c>
      <c r="G16" s="76">
        <v>6</v>
      </c>
      <c r="H16" s="76">
        <v>3</v>
      </c>
      <c r="I16" s="76">
        <v>10.650318669100001</v>
      </c>
      <c r="J16" s="76">
        <v>13.09</v>
      </c>
      <c r="K16" s="76">
        <v>0</v>
      </c>
      <c r="L16" s="76">
        <v>8.09</v>
      </c>
      <c r="M16" s="76">
        <v>2.5704347826086957</v>
      </c>
      <c r="N16" s="82">
        <v>0.35294117647058831</v>
      </c>
      <c r="O16" s="82">
        <v>0.24056094929881344</v>
      </c>
      <c r="P16" s="76">
        <v>5.75</v>
      </c>
      <c r="Q16" s="95">
        <v>713922.3</v>
      </c>
      <c r="R16" s="76">
        <v>4.43</v>
      </c>
    </row>
    <row r="17" spans="1:18">
      <c r="A17" s="2" t="s">
        <v>158</v>
      </c>
      <c r="B17" s="83">
        <v>23</v>
      </c>
      <c r="C17" s="4">
        <v>556880</v>
      </c>
      <c r="D17" s="76">
        <v>2.9821449128122111</v>
      </c>
      <c r="E17" s="76">
        <v>3.7831874551070244</v>
      </c>
      <c r="F17" s="76">
        <v>4.2553624658813387</v>
      </c>
      <c r="G17" s="76">
        <v>3.371628986496193</v>
      </c>
      <c r="H17" s="76">
        <v>2.6397608102284154</v>
      </c>
      <c r="I17" s="76">
        <v>7.839441305787811</v>
      </c>
      <c r="J17" s="76">
        <v>11.658107886797874</v>
      </c>
      <c r="K17" s="76">
        <v>3.0778665675524994</v>
      </c>
      <c r="L17" s="76">
        <v>5.757883543236173</v>
      </c>
      <c r="M17" s="76">
        <v>1.0262100798100602</v>
      </c>
      <c r="N17" s="82">
        <v>0.41902670876966375</v>
      </c>
      <c r="O17" s="82">
        <v>0.12480877999764806</v>
      </c>
      <c r="P17" s="76">
        <v>4.2317432807021076</v>
      </c>
      <c r="Q17" s="95">
        <v>9075206.9000000004</v>
      </c>
      <c r="R17" s="76">
        <v>2.9389819171096101</v>
      </c>
    </row>
    <row r="18" spans="1:18">
      <c r="A18" s="2" t="s">
        <v>474</v>
      </c>
      <c r="B18" s="83">
        <v>3</v>
      </c>
      <c r="C18" s="4">
        <v>97381</v>
      </c>
      <c r="D18" s="76">
        <v>8.5</v>
      </c>
      <c r="E18" s="76">
        <v>11.889715858329653</v>
      </c>
      <c r="F18" s="76">
        <v>12.865647816309135</v>
      </c>
      <c r="G18" s="76">
        <v>3.835275875170721</v>
      </c>
      <c r="H18" s="76">
        <v>3.7399184645875478</v>
      </c>
      <c r="I18" s="76">
        <v>7.3046099586643445</v>
      </c>
      <c r="J18" s="76">
        <v>10.959156817038231</v>
      </c>
      <c r="K18" s="76">
        <v>7.4524939628611877</v>
      </c>
      <c r="L18" s="76">
        <v>7.6642518111416438</v>
      </c>
      <c r="M18" s="76">
        <v>2.6742775956022085</v>
      </c>
      <c r="N18" s="82">
        <v>0.17058823529411771</v>
      </c>
      <c r="O18" s="82">
        <v>8.2082025307254725E-2</v>
      </c>
      <c r="P18" s="76">
        <v>9.9499999999999993</v>
      </c>
      <c r="Q18" s="95">
        <v>14882085.550000001</v>
      </c>
      <c r="R18" s="76">
        <v>4.2301155256158802</v>
      </c>
    </row>
    <row r="19" spans="1:18">
      <c r="A19" s="2" t="s">
        <v>173</v>
      </c>
      <c r="B19" s="83">
        <v>25</v>
      </c>
      <c r="C19" s="4">
        <v>699366</v>
      </c>
      <c r="D19" s="76">
        <v>10.112885797808914</v>
      </c>
      <c r="E19" s="76">
        <v>14.253980691083065</v>
      </c>
      <c r="F19" s="76">
        <v>15.115571574826342</v>
      </c>
      <c r="G19" s="76">
        <v>3.4576570064887342</v>
      </c>
      <c r="H19" s="76">
        <v>2.845631743607782</v>
      </c>
      <c r="I19" s="76">
        <v>9.1801905496081595</v>
      </c>
      <c r="J19" s="76">
        <v>6.294485661298947</v>
      </c>
      <c r="K19" s="76">
        <v>4.6990859203388631</v>
      </c>
      <c r="L19" s="76">
        <v>9.6694257280750797</v>
      </c>
      <c r="M19" s="76">
        <v>1.9893365883182461</v>
      </c>
      <c r="N19" s="82">
        <v>0.5059220498442214</v>
      </c>
      <c r="O19" s="82">
        <v>6.0445632866772847E-2</v>
      </c>
      <c r="P19" s="76">
        <v>15.618639694780066</v>
      </c>
      <c r="Q19" s="95">
        <v>57077677.43</v>
      </c>
      <c r="R19" s="76">
        <v>12.136769416871852</v>
      </c>
    </row>
    <row r="20" spans="1:18">
      <c r="A20" s="2" t="s">
        <v>274</v>
      </c>
      <c r="B20" s="83">
        <v>6</v>
      </c>
      <c r="C20" s="4">
        <v>155996</v>
      </c>
      <c r="D20" s="76">
        <v>5.7897951229518698</v>
      </c>
      <c r="E20" s="76">
        <v>6.5333730352060302</v>
      </c>
      <c r="F20" s="76">
        <v>8.4589380496935824</v>
      </c>
      <c r="G20" s="76">
        <v>3.7831354650119233</v>
      </c>
      <c r="H20" s="76">
        <v>2.9720185132952128</v>
      </c>
      <c r="I20" s="76">
        <v>8.5151077663026093</v>
      </c>
      <c r="J20" s="76">
        <v>11.321696069129978</v>
      </c>
      <c r="K20" s="76">
        <v>2.7967673972516587</v>
      </c>
      <c r="L20" s="76">
        <v>12.841815980629539</v>
      </c>
      <c r="M20" s="76">
        <v>2.8984406175301896</v>
      </c>
      <c r="N20" s="82">
        <v>0.46100818251076148</v>
      </c>
      <c r="O20" s="82">
        <v>0.29472754794672906</v>
      </c>
      <c r="P20" s="76">
        <v>8.4589380496935824</v>
      </c>
      <c r="Q20" s="95">
        <v>8151213.9699999997</v>
      </c>
      <c r="R20" s="76">
        <v>7.5286424010872084</v>
      </c>
    </row>
    <row r="21" spans="1:18">
      <c r="A21" s="2" t="s">
        <v>177</v>
      </c>
      <c r="B21" s="83">
        <v>5</v>
      </c>
      <c r="C21" s="4">
        <v>113002</v>
      </c>
      <c r="D21" s="76">
        <v>8.5337814043788338</v>
      </c>
      <c r="E21" s="76">
        <v>7.8208270650077001</v>
      </c>
      <c r="F21" s="76">
        <v>9.4763411267057212</v>
      </c>
      <c r="G21" s="76">
        <v>3.0574326118121804</v>
      </c>
      <c r="H21" s="76">
        <v>2.1189005504327358</v>
      </c>
      <c r="I21" s="76">
        <v>2.2398187054402965</v>
      </c>
      <c r="J21" s="76">
        <v>1.5650229199483194</v>
      </c>
      <c r="K21" s="76">
        <v>2.3805366957646297</v>
      </c>
      <c r="L21" s="76">
        <v>3.2476931781441967</v>
      </c>
      <c r="M21" s="76">
        <v>0.99996873604287617</v>
      </c>
      <c r="N21" s="82">
        <v>9.5586128718020635E-2</v>
      </c>
      <c r="O21" s="82">
        <v>0.21168017754863766</v>
      </c>
      <c r="P21" s="76">
        <v>9.3494925321492417</v>
      </c>
      <c r="Q21" s="95">
        <v>3773126.38</v>
      </c>
      <c r="R21" s="76">
        <v>7.2905799897346952</v>
      </c>
    </row>
    <row r="22" spans="1:18">
      <c r="A22" s="2" t="s">
        <v>1012</v>
      </c>
      <c r="B22" s="83">
        <v>216</v>
      </c>
      <c r="C22" s="4">
        <v>6154252</v>
      </c>
      <c r="D22" s="76">
        <v>5.7789848172567666</v>
      </c>
      <c r="E22" s="76">
        <v>7.071200791095329</v>
      </c>
      <c r="F22" s="76">
        <v>7.9361797191600232</v>
      </c>
      <c r="G22" s="76">
        <v>3.5506150983092666</v>
      </c>
      <c r="H22" s="76">
        <v>2.918491238252837</v>
      </c>
      <c r="I22" s="76">
        <v>8.6441327179602183</v>
      </c>
      <c r="J22" s="76">
        <v>11.953701406279759</v>
      </c>
      <c r="K22" s="76">
        <v>4.1369065835737286</v>
      </c>
      <c r="L22" s="76">
        <v>6.7139602758206127</v>
      </c>
      <c r="M22" s="76">
        <v>2.0881877346560671</v>
      </c>
      <c r="N22" s="82">
        <v>0.35085198138226414</v>
      </c>
      <c r="O22" s="82">
        <v>0.1223241926822316</v>
      </c>
      <c r="P22" s="76">
        <v>7.8728011725400195</v>
      </c>
      <c r="Q22" s="95">
        <v>279205355.83000016</v>
      </c>
      <c r="R22" s="76">
        <v>5.467740367147786</v>
      </c>
    </row>
    <row r="23" spans="1:18">
      <c r="L23"/>
    </row>
    <row r="24" spans="1:18">
      <c r="L24"/>
    </row>
    <row r="25" spans="1:18">
      <c r="L25"/>
    </row>
    <row r="26" spans="1:18">
      <c r="L26"/>
    </row>
    <row r="27" spans="1:18">
      <c r="L27"/>
    </row>
    <row r="28" spans="1:18">
      <c r="L28"/>
    </row>
    <row r="29" spans="1:18">
      <c r="L29"/>
    </row>
    <row r="30" spans="1:18">
      <c r="L30"/>
    </row>
    <row r="31" spans="1:18">
      <c r="L31"/>
    </row>
    <row r="32" spans="1:18">
      <c r="L32"/>
    </row>
    <row r="33" spans="1:14">
      <c r="L33"/>
    </row>
    <row r="34" spans="1:14">
      <c r="L34"/>
    </row>
    <row r="35" spans="1:14">
      <c r="L35"/>
    </row>
    <row r="36" spans="1:14">
      <c r="A36" t="s">
        <v>1013</v>
      </c>
      <c r="B36" t="s">
        <v>2</v>
      </c>
      <c r="G36" t="s">
        <v>1000</v>
      </c>
      <c r="H36" t="s">
        <v>2</v>
      </c>
      <c r="L36"/>
    </row>
    <row r="37" spans="1:14">
      <c r="A37" s="2" t="s">
        <v>153</v>
      </c>
      <c r="B37" s="83">
        <v>25</v>
      </c>
      <c r="G37" s="2" t="s">
        <v>158</v>
      </c>
      <c r="H37" s="83">
        <v>9</v>
      </c>
      <c r="L37"/>
    </row>
    <row r="38" spans="1:14">
      <c r="A38" s="2" t="s">
        <v>144</v>
      </c>
      <c r="B38" s="83">
        <v>22</v>
      </c>
      <c r="G38" s="2" t="s">
        <v>144</v>
      </c>
      <c r="H38" s="83">
        <v>5</v>
      </c>
      <c r="L38"/>
    </row>
    <row r="39" spans="1:14">
      <c r="A39" s="2" t="s">
        <v>181</v>
      </c>
      <c r="B39" s="83">
        <v>21</v>
      </c>
      <c r="G39" s="2" t="s">
        <v>214</v>
      </c>
      <c r="H39" s="83">
        <v>5</v>
      </c>
      <c r="L39"/>
    </row>
    <row r="40" spans="1:14">
      <c r="A40" s="2" t="s">
        <v>244</v>
      </c>
      <c r="B40" s="83">
        <v>17</v>
      </c>
      <c r="G40" s="2" t="s">
        <v>153</v>
      </c>
      <c r="H40" s="83">
        <v>3</v>
      </c>
      <c r="L40"/>
    </row>
    <row r="41" spans="1:14">
      <c r="A41" s="2" t="s">
        <v>173</v>
      </c>
      <c r="B41" s="83">
        <v>12</v>
      </c>
      <c r="G41" s="2" t="s">
        <v>207</v>
      </c>
      <c r="H41" s="83">
        <v>3</v>
      </c>
      <c r="L41"/>
    </row>
    <row r="42" spans="1:14">
      <c r="A42" s="2" t="s">
        <v>158</v>
      </c>
      <c r="B42" s="83">
        <v>6</v>
      </c>
      <c r="G42" s="2" t="s">
        <v>474</v>
      </c>
      <c r="H42" s="83">
        <v>3</v>
      </c>
      <c r="L42"/>
    </row>
    <row r="43" spans="1:14">
      <c r="A43" s="2" t="s">
        <v>185</v>
      </c>
      <c r="B43" s="83">
        <v>5</v>
      </c>
      <c r="G43" s="2" t="s">
        <v>244</v>
      </c>
      <c r="H43" s="83">
        <v>2</v>
      </c>
      <c r="L43"/>
    </row>
    <row r="44" spans="1:14">
      <c r="A44" s="2" t="s">
        <v>274</v>
      </c>
      <c r="B44" s="83">
        <v>5</v>
      </c>
      <c r="G44" s="2" t="s">
        <v>181</v>
      </c>
      <c r="H44" s="83">
        <v>2</v>
      </c>
      <c r="L44"/>
    </row>
    <row r="45" spans="1:14">
      <c r="A45" s="2" t="s">
        <v>214</v>
      </c>
      <c r="B45" s="83">
        <v>3</v>
      </c>
      <c r="G45" s="2" t="s">
        <v>173</v>
      </c>
      <c r="H45" s="83">
        <v>1</v>
      </c>
      <c r="L45"/>
    </row>
    <row r="46" spans="1:14">
      <c r="A46" s="2" t="s">
        <v>177</v>
      </c>
      <c r="B46" s="83">
        <v>3</v>
      </c>
      <c r="L46"/>
    </row>
    <row r="47" spans="1:14">
      <c r="A47" s="2" t="s">
        <v>600</v>
      </c>
      <c r="B47" s="83">
        <v>1</v>
      </c>
      <c r="C47" s="4"/>
      <c r="D47" s="76"/>
      <c r="E47" s="76"/>
      <c r="F47" s="76"/>
      <c r="G47" s="76"/>
      <c r="H47" s="76"/>
      <c r="I47" s="76"/>
      <c r="J47" s="76"/>
      <c r="K47" s="76"/>
      <c r="L47" s="76"/>
      <c r="M47" s="82"/>
      <c r="N47" s="82"/>
    </row>
    <row r="48" spans="1:14">
      <c r="A48" s="2" t="s">
        <v>221</v>
      </c>
      <c r="B48" s="83">
        <v>1</v>
      </c>
      <c r="C48" s="4"/>
      <c r="D48" s="76"/>
      <c r="E48" s="76"/>
      <c r="F48" s="76"/>
      <c r="G48" s="76"/>
      <c r="H48" s="76"/>
      <c r="I48" s="76"/>
      <c r="J48" s="76"/>
      <c r="K48" s="76"/>
      <c r="L48" s="76"/>
      <c r="M48" s="82"/>
      <c r="N48" s="82"/>
    </row>
    <row r="49" spans="1:18">
      <c r="A49" s="2"/>
      <c r="B49" s="4"/>
      <c r="C49" s="4"/>
      <c r="D49" s="76"/>
      <c r="E49" s="76"/>
      <c r="F49" s="76"/>
      <c r="G49" s="76"/>
      <c r="H49" s="76"/>
      <c r="I49" s="76"/>
      <c r="J49" s="76"/>
      <c r="K49" s="76"/>
      <c r="L49" s="76"/>
      <c r="M49" s="82"/>
      <c r="N49" s="82"/>
    </row>
    <row r="50" spans="1:18">
      <c r="A50" s="2"/>
      <c r="B50" s="4"/>
      <c r="C50" s="4"/>
      <c r="D50" s="76"/>
      <c r="E50" s="76"/>
      <c r="F50" s="76"/>
      <c r="G50" s="76"/>
      <c r="H50" s="76"/>
      <c r="I50" s="76"/>
      <c r="J50" s="76"/>
      <c r="K50" s="76"/>
      <c r="L50" s="76"/>
      <c r="M50" s="82"/>
      <c r="N50" s="82"/>
    </row>
    <row r="51" spans="1:18">
      <c r="A51" s="2"/>
      <c r="B51" s="4"/>
      <c r="C51" s="4"/>
      <c r="D51" s="76"/>
      <c r="E51" s="76"/>
      <c r="F51" s="76"/>
      <c r="G51" s="76"/>
      <c r="H51" s="76"/>
      <c r="I51" s="76"/>
      <c r="J51" s="76"/>
      <c r="K51" s="76"/>
      <c r="L51" s="76"/>
      <c r="M51" s="82"/>
      <c r="N51" s="82"/>
    </row>
    <row r="52" spans="1:18">
      <c r="A52" s="2"/>
      <c r="B52" s="4"/>
      <c r="C52" s="4"/>
      <c r="D52" s="76"/>
      <c r="E52" s="76"/>
      <c r="F52" s="76"/>
      <c r="G52" s="76"/>
      <c r="H52" s="76"/>
      <c r="I52" s="76"/>
      <c r="J52" s="76"/>
      <c r="K52" s="76"/>
      <c r="L52" s="76"/>
      <c r="M52" s="82"/>
      <c r="N52" s="82"/>
    </row>
    <row r="53" spans="1:18">
      <c r="A53" s="2"/>
      <c r="B53" s="4"/>
      <c r="C53" s="4"/>
      <c r="D53" s="76"/>
      <c r="E53" s="160"/>
      <c r="F53" s="160"/>
      <c r="G53" s="76"/>
      <c r="H53" s="76"/>
      <c r="I53" s="76"/>
      <c r="J53" s="76"/>
      <c r="K53" s="76"/>
      <c r="L53" s="76"/>
      <c r="M53" s="82"/>
      <c r="N53" s="82"/>
    </row>
    <row r="54" spans="1:18">
      <c r="A54" s="2"/>
      <c r="B54" s="4"/>
      <c r="C54" s="4"/>
      <c r="D54" s="76"/>
      <c r="E54" s="76"/>
      <c r="F54" s="76"/>
      <c r="G54" s="2"/>
      <c r="H54" s="83"/>
      <c r="I54" s="76"/>
      <c r="J54" s="76"/>
      <c r="K54" s="76"/>
      <c r="L54" s="76"/>
      <c r="M54" s="82"/>
      <c r="N54" s="82"/>
    </row>
    <row r="55" spans="1:18">
      <c r="A55" s="2"/>
      <c r="B55" s="4"/>
      <c r="C55" s="4"/>
      <c r="D55" s="76"/>
      <c r="E55" s="76"/>
      <c r="F55" s="76"/>
      <c r="G55" s="2"/>
      <c r="H55" s="83"/>
      <c r="I55" s="76"/>
      <c r="J55" s="76"/>
      <c r="K55" s="76"/>
      <c r="L55" s="76"/>
      <c r="M55" s="82"/>
      <c r="N55" s="82"/>
    </row>
    <row r="56" spans="1:18">
      <c r="A56" s="2"/>
      <c r="B56" s="4"/>
      <c r="C56" s="4"/>
      <c r="D56" s="76"/>
      <c r="E56" s="76"/>
      <c r="F56" s="76"/>
      <c r="G56" s="2"/>
      <c r="H56" s="83"/>
      <c r="I56" s="76"/>
      <c r="J56" s="76"/>
      <c r="K56" s="76"/>
      <c r="L56" s="76"/>
      <c r="M56" s="82"/>
      <c r="N56" s="82"/>
    </row>
    <row r="57" spans="1:18">
      <c r="A57" s="2"/>
      <c r="B57" s="4"/>
      <c r="C57" s="4"/>
      <c r="D57" s="76"/>
      <c r="E57" s="76"/>
      <c r="F57" s="76"/>
      <c r="G57" s="2"/>
      <c r="H57" s="83"/>
      <c r="I57" s="76"/>
      <c r="J57" s="76"/>
      <c r="K57" s="76"/>
      <c r="L57" s="76"/>
      <c r="M57" s="82"/>
      <c r="N57" s="82"/>
    </row>
    <row r="58" spans="1:18">
      <c r="A58" s="2"/>
      <c r="B58" s="4"/>
      <c r="C58" s="4"/>
      <c r="D58" s="76"/>
      <c r="E58" s="76"/>
      <c r="F58" s="76"/>
      <c r="G58" s="2"/>
      <c r="H58" s="83"/>
      <c r="I58" s="76"/>
      <c r="J58" s="76"/>
      <c r="K58" s="76"/>
      <c r="L58" s="76"/>
      <c r="M58" s="82"/>
      <c r="N58" s="82"/>
    </row>
    <row r="59" spans="1:18">
      <c r="A59" s="2"/>
      <c r="B59" s="4"/>
      <c r="C59" s="4"/>
      <c r="D59" s="76"/>
      <c r="E59" s="76"/>
      <c r="F59" s="76"/>
      <c r="G59" s="2"/>
      <c r="H59" s="83"/>
      <c r="I59" s="76"/>
      <c r="J59" s="76"/>
      <c r="K59" s="76"/>
      <c r="L59" s="76"/>
      <c r="M59" s="82"/>
      <c r="N59" s="82"/>
    </row>
    <row r="60" spans="1:18">
      <c r="A60" s="94" t="s">
        <v>1014</v>
      </c>
      <c r="G60" s="2"/>
      <c r="H60" s="83"/>
    </row>
    <row r="61" spans="1:18">
      <c r="A61" s="6" t="s">
        <v>153</v>
      </c>
      <c r="B61" t="s">
        <v>1015</v>
      </c>
      <c r="G61" s="2"/>
      <c r="H61" s="83"/>
      <c r="K61" s="76"/>
    </row>
    <row r="62" spans="1:18">
      <c r="A62" s="6" t="s">
        <v>144</v>
      </c>
      <c r="B62" t="s">
        <v>1016</v>
      </c>
      <c r="G62" s="2"/>
      <c r="H62" s="83"/>
    </row>
    <row r="63" spans="1:18" ht="15.6">
      <c r="A63" s="6" t="s">
        <v>1017</v>
      </c>
      <c r="B63" t="s">
        <v>1018</v>
      </c>
      <c r="G63" s="2"/>
      <c r="H63" s="83"/>
      <c r="N63" s="74" t="s">
        <v>1019</v>
      </c>
    </row>
    <row r="64" spans="1:18">
      <c r="A64" s="6" t="s">
        <v>214</v>
      </c>
      <c r="B64" t="s">
        <v>1020</v>
      </c>
      <c r="G64" s="2"/>
      <c r="H64" s="83"/>
      <c r="N64" s="85" t="s">
        <v>1000</v>
      </c>
      <c r="O64" s="86" t="s">
        <v>2</v>
      </c>
      <c r="P64" s="86" t="s">
        <v>64</v>
      </c>
      <c r="Q64" s="86" t="s">
        <v>738</v>
      </c>
      <c r="R64" s="97" t="s">
        <v>106</v>
      </c>
    </row>
    <row r="65" spans="1:35">
      <c r="A65" s="6" t="s">
        <v>207</v>
      </c>
      <c r="B65" t="s">
        <v>1021</v>
      </c>
      <c r="G65" s="2"/>
      <c r="H65" s="83"/>
      <c r="N65" s="2" t="s">
        <v>153</v>
      </c>
      <c r="O65" s="83">
        <v>18</v>
      </c>
      <c r="P65" s="76">
        <v>4.4575495634473024</v>
      </c>
      <c r="Q65" s="76">
        <v>3.5298873459161806</v>
      </c>
      <c r="R65" s="76">
        <v>3.3476713485000875</v>
      </c>
    </row>
    <row r="66" spans="1:35">
      <c r="A66" s="6" t="s">
        <v>244</v>
      </c>
      <c r="B66" t="s">
        <v>1022</v>
      </c>
      <c r="G66" s="2"/>
      <c r="H66" s="83"/>
      <c r="N66" s="2" t="s">
        <v>207</v>
      </c>
      <c r="O66" s="83">
        <v>2</v>
      </c>
      <c r="P66" s="76">
        <v>2</v>
      </c>
      <c r="Q66" s="76">
        <v>4</v>
      </c>
      <c r="R66" s="76">
        <v>2.0000219782634976</v>
      </c>
    </row>
    <row r="67" spans="1:35">
      <c r="A67" s="6" t="s">
        <v>274</v>
      </c>
      <c r="B67" t="s">
        <v>1023</v>
      </c>
      <c r="N67" s="2" t="s">
        <v>144</v>
      </c>
      <c r="O67" s="83">
        <v>19</v>
      </c>
      <c r="P67" s="76">
        <v>3.3627962775580289</v>
      </c>
      <c r="Q67" s="76">
        <v>8.0849879649219627</v>
      </c>
      <c r="R67" s="76">
        <v>2.2095395597658634</v>
      </c>
    </row>
    <row r="68" spans="1:35">
      <c r="A68" s="6" t="s">
        <v>274</v>
      </c>
      <c r="B68" t="s">
        <v>1024</v>
      </c>
      <c r="N68" s="2" t="s">
        <v>185</v>
      </c>
      <c r="O68" s="83">
        <v>4</v>
      </c>
      <c r="P68" s="76">
        <v>0</v>
      </c>
      <c r="Q68" s="76">
        <v>1.3999494160994193</v>
      </c>
      <c r="R68" s="76">
        <v>1.8531703431347357</v>
      </c>
    </row>
    <row r="69" spans="1:35">
      <c r="A69" s="6" t="s">
        <v>600</v>
      </c>
      <c r="B69" t="s">
        <v>1025</v>
      </c>
      <c r="N69" s="2" t="s">
        <v>214</v>
      </c>
      <c r="O69" s="83">
        <v>7</v>
      </c>
      <c r="P69" s="76">
        <v>6.840339375241034</v>
      </c>
      <c r="Q69" s="76">
        <v>8.3707558812186669</v>
      </c>
      <c r="R69" s="76">
        <v>1</v>
      </c>
    </row>
    <row r="70" spans="1:35">
      <c r="A70" s="6" t="s">
        <v>474</v>
      </c>
      <c r="B70" t="s">
        <v>1026</v>
      </c>
      <c r="N70" s="2" t="s">
        <v>244</v>
      </c>
      <c r="O70" s="83">
        <v>13</v>
      </c>
      <c r="P70" s="76">
        <v>4.0467207525914803</v>
      </c>
      <c r="Q70" s="76">
        <v>3.1759462237022835</v>
      </c>
      <c r="R70" s="76">
        <v>1.6009907300686288</v>
      </c>
    </row>
    <row r="71" spans="1:35">
      <c r="A71" s="6" t="s">
        <v>1027</v>
      </c>
      <c r="B71" t="s">
        <v>1028</v>
      </c>
      <c r="N71" s="2" t="s">
        <v>181</v>
      </c>
      <c r="O71" s="83">
        <v>15</v>
      </c>
      <c r="P71" s="76">
        <v>4.1725919474860298</v>
      </c>
      <c r="Q71" s="76">
        <v>5.5757228573996525</v>
      </c>
      <c r="R71" s="76">
        <v>1.000000040671627</v>
      </c>
    </row>
    <row r="72" spans="1:35">
      <c r="N72" s="2" t="s">
        <v>600</v>
      </c>
      <c r="O72" s="83">
        <v>1</v>
      </c>
      <c r="P72" s="76">
        <v>6</v>
      </c>
      <c r="Q72" s="76">
        <v>11.09</v>
      </c>
      <c r="R72" s="76">
        <v>1.5</v>
      </c>
    </row>
    <row r="73" spans="1:35">
      <c r="N73" s="2" t="s">
        <v>221</v>
      </c>
      <c r="O73" s="83">
        <v>1</v>
      </c>
      <c r="P73" s="76">
        <v>0</v>
      </c>
      <c r="Q73" s="76">
        <v>9</v>
      </c>
      <c r="R73" s="76">
        <v>2.5704347826086957</v>
      </c>
    </row>
    <row r="74" spans="1:35" ht="14.45" thickBot="1">
      <c r="N74" s="2" t="s">
        <v>158</v>
      </c>
      <c r="O74" s="83">
        <v>13</v>
      </c>
      <c r="P74" s="76">
        <v>2.7900987317568271</v>
      </c>
      <c r="Q74" s="76">
        <v>5.431691625245243</v>
      </c>
      <c r="R74" s="76">
        <v>0.67489975398254665</v>
      </c>
    </row>
    <row r="75" spans="1:35" ht="28.15" thickBot="1">
      <c r="A75" s="145" t="s">
        <v>86</v>
      </c>
      <c r="B75" s="146" t="s">
        <v>989</v>
      </c>
      <c r="C75" s="146" t="s">
        <v>99</v>
      </c>
      <c r="D75" s="146" t="s">
        <v>100</v>
      </c>
      <c r="E75" s="146" t="s">
        <v>1029</v>
      </c>
      <c r="F75" s="146" t="s">
        <v>99</v>
      </c>
      <c r="G75" s="146" t="s">
        <v>100</v>
      </c>
      <c r="N75" s="2" t="s">
        <v>474</v>
      </c>
      <c r="O75" s="83">
        <v>2</v>
      </c>
      <c r="P75" s="76">
        <v>3</v>
      </c>
      <c r="Q75" s="76">
        <v>9</v>
      </c>
      <c r="R75" s="76">
        <v>3</v>
      </c>
    </row>
    <row r="76" spans="1:35" ht="15" thickBot="1">
      <c r="A76" s="156" t="s">
        <v>185</v>
      </c>
      <c r="B76" s="152">
        <v>2</v>
      </c>
      <c r="C76" s="148">
        <v>19.721601644621057</v>
      </c>
      <c r="D76" s="148">
        <v>22.26003630518699</v>
      </c>
      <c r="E76" s="152">
        <v>2</v>
      </c>
      <c r="F76" s="148">
        <v>16.967999362308085</v>
      </c>
      <c r="G76" s="148">
        <v>9.3661549451297059</v>
      </c>
      <c r="N76" s="2" t="s">
        <v>173</v>
      </c>
      <c r="O76" s="83">
        <v>10</v>
      </c>
      <c r="P76" s="76">
        <v>0.33570293259741846</v>
      </c>
      <c r="Q76" s="76">
        <v>3.1092269400730088</v>
      </c>
      <c r="R76" s="76">
        <v>0.99003985379760007</v>
      </c>
    </row>
    <row r="77" spans="1:35" ht="15" thickBot="1">
      <c r="A77" s="156" t="s">
        <v>207</v>
      </c>
      <c r="B77" s="152">
        <v>1</v>
      </c>
      <c r="C77" s="148">
        <v>17.9794638425</v>
      </c>
      <c r="D77" s="148">
        <v>10.1</v>
      </c>
      <c r="E77" s="152">
        <v>1</v>
      </c>
      <c r="F77" s="148">
        <v>1.9998833774</v>
      </c>
      <c r="G77" s="148">
        <v>5.5</v>
      </c>
      <c r="N77" s="2" t="s">
        <v>274</v>
      </c>
      <c r="O77" s="83">
        <v>3</v>
      </c>
      <c r="P77" s="76">
        <v>1.3604488078541375</v>
      </c>
      <c r="Q77" s="76">
        <v>5.09</v>
      </c>
      <c r="R77" s="76">
        <v>1.9999812528706542</v>
      </c>
    </row>
    <row r="78" spans="1:35" ht="15" thickBot="1">
      <c r="A78" s="156" t="s">
        <v>144</v>
      </c>
      <c r="B78" s="152">
        <v>11</v>
      </c>
      <c r="C78" s="148">
        <v>17.607571593663849</v>
      </c>
      <c r="D78" s="148">
        <v>22.443146484390805</v>
      </c>
      <c r="E78" s="152">
        <v>14</v>
      </c>
      <c r="F78" s="148">
        <v>7.0172288494561954</v>
      </c>
      <c r="G78" s="148">
        <v>11.53870438689051</v>
      </c>
      <c r="N78" s="2" t="s">
        <v>177</v>
      </c>
      <c r="O78" s="83">
        <v>3</v>
      </c>
      <c r="P78" s="76">
        <v>3.7309348872561441</v>
      </c>
      <c r="Q78" s="76">
        <v>2.8209348872561439</v>
      </c>
      <c r="R78" s="76"/>
    </row>
    <row r="79" spans="1:35" ht="15" thickBot="1">
      <c r="A79" s="156" t="s">
        <v>274</v>
      </c>
      <c r="B79" s="152">
        <v>3</v>
      </c>
      <c r="C79" s="148">
        <v>16.755875268709175</v>
      </c>
      <c r="D79" s="148">
        <v>22.181987987799126</v>
      </c>
      <c r="E79" s="152">
        <v>2</v>
      </c>
      <c r="F79" s="148">
        <v>2.3581309348461428</v>
      </c>
      <c r="G79" s="148">
        <v>6.2464049644891357</v>
      </c>
      <c r="N79" s="2" t="s">
        <v>1012</v>
      </c>
      <c r="O79" s="83">
        <v>111</v>
      </c>
      <c r="P79" s="76">
        <v>3.0397770847438457</v>
      </c>
      <c r="Q79" s="76">
        <v>4.8371261390756528</v>
      </c>
      <c r="R79" s="76">
        <v>2.1440973804732093</v>
      </c>
      <c r="T79" t="s">
        <v>86</v>
      </c>
      <c r="U79" t="s">
        <v>153</v>
      </c>
      <c r="V79" t="s">
        <v>207</v>
      </c>
      <c r="W79" t="s">
        <v>144</v>
      </c>
      <c r="X79" t="s">
        <v>185</v>
      </c>
      <c r="Y79" t="s">
        <v>214</v>
      </c>
      <c r="Z79" t="s">
        <v>244</v>
      </c>
      <c r="AA79" t="s">
        <v>181</v>
      </c>
      <c r="AB79" t="s">
        <v>600</v>
      </c>
      <c r="AC79" t="s">
        <v>158</v>
      </c>
      <c r="AD79" t="s">
        <v>474</v>
      </c>
      <c r="AE79" t="s">
        <v>173</v>
      </c>
      <c r="AF79" t="s">
        <v>274</v>
      </c>
      <c r="AG79" t="s">
        <v>177</v>
      </c>
      <c r="AH79" t="s">
        <v>221</v>
      </c>
      <c r="AI79" t="s">
        <v>27</v>
      </c>
    </row>
    <row r="80" spans="1:35" ht="15" thickBot="1">
      <c r="A80" s="156" t="s">
        <v>214</v>
      </c>
      <c r="B80" s="152">
        <v>5</v>
      </c>
      <c r="C80" s="148">
        <v>16.237088158462193</v>
      </c>
      <c r="D80" s="148">
        <v>15.9850034940601</v>
      </c>
      <c r="E80" s="152">
        <v>3</v>
      </c>
      <c r="F80" s="148">
        <v>4.4042677988865968</v>
      </c>
      <c r="G80" s="148">
        <v>10.95</v>
      </c>
      <c r="N80" s="2"/>
      <c r="O80" s="83"/>
      <c r="P80" s="76"/>
      <c r="Q80" s="76"/>
      <c r="R80" s="76"/>
      <c r="T80" t="s">
        <v>1030</v>
      </c>
      <c r="U80">
        <v>10</v>
      </c>
      <c r="V80">
        <v>1</v>
      </c>
      <c r="W80">
        <v>10</v>
      </c>
      <c r="X80">
        <v>3</v>
      </c>
      <c r="Y80">
        <v>4</v>
      </c>
      <c r="Z80">
        <v>5</v>
      </c>
      <c r="AA80">
        <v>12</v>
      </c>
      <c r="AB80">
        <v>1</v>
      </c>
      <c r="AC80">
        <v>5</v>
      </c>
      <c r="AD80">
        <v>1</v>
      </c>
      <c r="AE80">
        <v>5</v>
      </c>
      <c r="AF80">
        <v>2</v>
      </c>
      <c r="AG80">
        <v>2</v>
      </c>
      <c r="AH80">
        <v>1</v>
      </c>
      <c r="AI80">
        <v>62</v>
      </c>
    </row>
    <row r="81" spans="1:18" ht="15" thickBot="1">
      <c r="A81" s="156" t="s">
        <v>173</v>
      </c>
      <c r="B81" s="152">
        <v>4</v>
      </c>
      <c r="C81" s="148">
        <v>16.107372712319176</v>
      </c>
      <c r="D81" s="148">
        <v>18.777902394456031</v>
      </c>
      <c r="E81" s="152">
        <v>7</v>
      </c>
      <c r="F81" s="148">
        <v>10.795467360050633</v>
      </c>
      <c r="G81" s="148">
        <v>12.296727301616789</v>
      </c>
      <c r="N81" s="2"/>
      <c r="O81" s="83"/>
      <c r="P81" s="76"/>
      <c r="Q81" s="76"/>
      <c r="R81" s="76"/>
    </row>
    <row r="82" spans="1:18" ht="15" thickBot="1">
      <c r="A82" s="156" t="s">
        <v>153</v>
      </c>
      <c r="B82" s="152">
        <v>12</v>
      </c>
      <c r="C82" s="148">
        <v>12.221986121226943</v>
      </c>
      <c r="D82" s="148">
        <v>17.245772651036024</v>
      </c>
      <c r="E82" s="152">
        <v>13</v>
      </c>
      <c r="F82" s="148">
        <v>11.329173385742465</v>
      </c>
      <c r="G82" s="148">
        <v>13.774973942311174</v>
      </c>
      <c r="N82" s="2"/>
      <c r="O82" s="83"/>
      <c r="P82" s="76"/>
      <c r="Q82" s="76"/>
      <c r="R82" s="76"/>
    </row>
    <row r="83" spans="1:18" ht="15" thickBot="1">
      <c r="A83" s="156" t="s">
        <v>244</v>
      </c>
      <c r="B83" s="152">
        <v>5</v>
      </c>
      <c r="C83" s="148">
        <v>11.566861767104031</v>
      </c>
      <c r="D83" s="148">
        <v>17.763636562710065</v>
      </c>
      <c r="E83" s="152">
        <v>10</v>
      </c>
      <c r="F83" s="148">
        <v>7.4106219497118726</v>
      </c>
      <c r="G83" s="148">
        <v>5.2027120300427505</v>
      </c>
      <c r="N83" s="2"/>
      <c r="O83" s="83"/>
      <c r="P83" s="76"/>
      <c r="Q83" s="76"/>
      <c r="R83" s="76"/>
    </row>
    <row r="84" spans="1:18" ht="15" thickBot="1">
      <c r="A84" s="156" t="s">
        <v>600</v>
      </c>
      <c r="B84" s="152">
        <v>1</v>
      </c>
      <c r="C84" s="148">
        <v>11.2768542788</v>
      </c>
      <c r="D84" s="148">
        <v>31.6</v>
      </c>
      <c r="E84" s="152"/>
      <c r="F84" s="148"/>
      <c r="G84" s="148"/>
      <c r="N84" s="2"/>
      <c r="O84" s="83"/>
      <c r="P84" s="76"/>
      <c r="Q84" s="76"/>
      <c r="R84" s="76"/>
    </row>
    <row r="85" spans="1:18" ht="15" thickBot="1">
      <c r="A85" s="156" t="s">
        <v>474</v>
      </c>
      <c r="B85" s="152">
        <v>1</v>
      </c>
      <c r="C85" s="148">
        <v>10.927134876</v>
      </c>
      <c r="D85" s="148">
        <v>10.25</v>
      </c>
      <c r="E85" s="152">
        <v>1</v>
      </c>
      <c r="F85" s="148">
        <v>3.9999994915000001</v>
      </c>
      <c r="G85" s="148">
        <v>12.85</v>
      </c>
      <c r="N85" s="2"/>
      <c r="O85" s="83"/>
      <c r="P85" s="76"/>
      <c r="Q85" s="76"/>
      <c r="R85" s="76"/>
    </row>
    <row r="86" spans="1:18" ht="15" thickBot="1">
      <c r="A86" s="156" t="s">
        <v>221</v>
      </c>
      <c r="B86" s="152">
        <v>1</v>
      </c>
      <c r="C86" s="148">
        <v>10.650318669100001</v>
      </c>
      <c r="D86" s="148">
        <v>13.09</v>
      </c>
      <c r="E86" s="152"/>
      <c r="F86" s="148"/>
      <c r="G86" s="148"/>
      <c r="N86" s="2"/>
      <c r="O86" s="83"/>
      <c r="P86" s="76"/>
      <c r="Q86" s="76"/>
      <c r="R86" s="76"/>
    </row>
    <row r="87" spans="1:18" ht="15" thickBot="1">
      <c r="A87" s="156" t="s">
        <v>181</v>
      </c>
      <c r="B87" s="152">
        <v>7</v>
      </c>
      <c r="C87" s="148">
        <v>10.393471024925068</v>
      </c>
      <c r="D87" s="148">
        <v>34.948863329800552</v>
      </c>
      <c r="E87" s="152">
        <v>9</v>
      </c>
      <c r="F87" s="148">
        <v>5.7390405207239281</v>
      </c>
      <c r="G87" s="148">
        <v>26.332172191258433</v>
      </c>
      <c r="N87" s="2"/>
      <c r="O87" s="83"/>
      <c r="P87" s="76"/>
      <c r="Q87" s="76"/>
      <c r="R87" s="76"/>
    </row>
    <row r="88" spans="1:18" ht="15" thickBot="1">
      <c r="A88" s="156" t="s">
        <v>158</v>
      </c>
      <c r="B88" s="152">
        <v>6</v>
      </c>
      <c r="C88" s="148">
        <v>9.5526617060135539</v>
      </c>
      <c r="D88" s="148">
        <v>16.688114926240672</v>
      </c>
      <c r="E88" s="152">
        <v>8</v>
      </c>
      <c r="F88" s="148">
        <v>7.7985800393602958</v>
      </c>
      <c r="G88" s="148">
        <v>11.569896680148974</v>
      </c>
      <c r="N88" s="2"/>
      <c r="O88" s="83"/>
      <c r="P88" s="76"/>
      <c r="Q88" s="76"/>
      <c r="R88" s="76"/>
    </row>
    <row r="89" spans="1:18" ht="15" thickBot="1">
      <c r="A89" s="156" t="s">
        <v>177</v>
      </c>
      <c r="B89" s="152">
        <v>2</v>
      </c>
      <c r="C89" s="148">
        <v>5.999998559860197</v>
      </c>
      <c r="D89" s="148">
        <v>8.9036432733721806</v>
      </c>
      <c r="E89" s="152">
        <v>1</v>
      </c>
      <c r="F89" s="148">
        <v>0</v>
      </c>
      <c r="G89" s="148">
        <v>4</v>
      </c>
      <c r="N89" s="2"/>
      <c r="O89" s="83"/>
      <c r="P89" s="76"/>
      <c r="Q89" s="76"/>
      <c r="R89" s="76"/>
    </row>
    <row r="90" spans="1:18" ht="15" thickBot="1">
      <c r="A90" s="147"/>
      <c r="B90" s="153"/>
      <c r="C90" s="148"/>
      <c r="D90" s="148"/>
      <c r="E90" s="153"/>
      <c r="F90" s="148"/>
      <c r="G90" s="148"/>
      <c r="N90" s="2"/>
      <c r="O90" s="83"/>
      <c r="P90" s="76"/>
      <c r="Q90" s="76"/>
      <c r="R90" s="76"/>
    </row>
    <row r="91" spans="1:18" ht="15" thickBot="1">
      <c r="A91" s="149" t="s">
        <v>27</v>
      </c>
      <c r="B91" s="150">
        <v>61</v>
      </c>
      <c r="C91" s="151">
        <v>13.409283710719032</v>
      </c>
      <c r="D91" s="151">
        <v>20.286628185452873</v>
      </c>
      <c r="E91" s="150">
        <v>71</v>
      </c>
      <c r="F91" s="151">
        <v>8.1733102974540763</v>
      </c>
      <c r="G91" s="151">
        <v>12.656242013658982</v>
      </c>
      <c r="N91" s="2"/>
      <c r="O91" s="83"/>
      <c r="P91" s="76"/>
      <c r="Q91" s="76"/>
      <c r="R91" s="76"/>
    </row>
    <row r="92" spans="1:18" ht="28.15" thickBot="1">
      <c r="A92" s="154" t="s">
        <v>1031</v>
      </c>
      <c r="B92" s="155">
        <f>91238802.1/1000000</f>
        <v>91.238802100000001</v>
      </c>
      <c r="C92" s="155">
        <f>C91%*B92</f>
        <v>12.234469827850475</v>
      </c>
      <c r="D92" s="155">
        <f>D91%*B92</f>
        <v>18.50927654288817</v>
      </c>
      <c r="E92" s="155">
        <f>80996582.13/1000000</f>
        <v>80.996582129999993</v>
      </c>
      <c r="F92" s="155">
        <f>F91%*E92</f>
        <v>6.6201019878171383</v>
      </c>
      <c r="G92" s="155">
        <f>G91%*E92</f>
        <v>10.251123457164864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766F-5AC9-4DC6-80BB-7B95FEA60934}">
  <sheetPr>
    <tabColor theme="4"/>
  </sheetPr>
  <dimension ref="A2:Q123"/>
  <sheetViews>
    <sheetView zoomScale="84" zoomScaleNormal="55" workbookViewId="0"/>
  </sheetViews>
  <sheetFormatPr defaultColWidth="8.875" defaultRowHeight="13.9"/>
  <cols>
    <col min="1" max="1" width="13.25" bestFit="1" customWidth="1"/>
    <col min="2" max="2" width="7.25" bestFit="1" customWidth="1"/>
    <col min="3" max="3" width="10.375" bestFit="1" customWidth="1"/>
    <col min="4" max="4" width="20.625" bestFit="1" customWidth="1"/>
    <col min="5" max="5" width="12.75" bestFit="1" customWidth="1"/>
    <col min="6" max="6" width="24.75" bestFit="1" customWidth="1"/>
    <col min="7" max="7" width="12.125" bestFit="1" customWidth="1"/>
    <col min="8" max="8" width="16.625" bestFit="1" customWidth="1"/>
    <col min="9" max="9" width="10.125" bestFit="1" customWidth="1"/>
    <col min="10" max="10" width="13.375" bestFit="1" customWidth="1"/>
    <col min="11" max="11" width="25.125" bestFit="1" customWidth="1"/>
    <col min="12" max="12" width="18.625" bestFit="1" customWidth="1"/>
    <col min="13" max="13" width="9.375" bestFit="1" customWidth="1"/>
    <col min="14" max="14" width="6.625" bestFit="1" customWidth="1"/>
    <col min="15" max="15" width="17.375" bestFit="1" customWidth="1"/>
    <col min="16" max="16" width="19.25" bestFit="1" customWidth="1"/>
    <col min="17" max="17" width="22.125" bestFit="1" customWidth="1"/>
    <col min="18" max="18" width="27.375" bestFit="1" customWidth="1"/>
  </cols>
  <sheetData>
    <row r="2" spans="1:17">
      <c r="A2" s="1" t="s">
        <v>109</v>
      </c>
      <c r="B2" t="s">
        <v>999</v>
      </c>
      <c r="K2" s="139"/>
    </row>
    <row r="3" spans="1:17">
      <c r="A3" s="1" t="s">
        <v>82</v>
      </c>
      <c r="B3" t="s">
        <v>999</v>
      </c>
    </row>
    <row r="4" spans="1:17">
      <c r="A4" s="1" t="s">
        <v>86</v>
      </c>
      <c r="B4" t="s">
        <v>999</v>
      </c>
    </row>
    <row r="5" spans="1:17">
      <c r="M5" s="84"/>
    </row>
    <row r="6" spans="1:17">
      <c r="A6" s="1" t="s">
        <v>1000</v>
      </c>
      <c r="B6" s="3" t="s">
        <v>2</v>
      </c>
      <c r="C6" t="s">
        <v>1032</v>
      </c>
      <c r="D6" s="3" t="s">
        <v>1001</v>
      </c>
      <c r="E6" s="3" t="s">
        <v>1002</v>
      </c>
      <c r="F6" s="3" t="s">
        <v>1003</v>
      </c>
      <c r="G6" t="s">
        <v>1004</v>
      </c>
      <c r="H6" t="s">
        <v>1005</v>
      </c>
      <c r="I6" s="3" t="s">
        <v>736</v>
      </c>
      <c r="J6" s="3" t="s">
        <v>737</v>
      </c>
      <c r="K6" s="3" t="s">
        <v>1007</v>
      </c>
      <c r="L6" s="3" t="s">
        <v>1008</v>
      </c>
      <c r="M6" s="3" t="s">
        <v>1006</v>
      </c>
      <c r="N6" s="3" t="s">
        <v>65</v>
      </c>
      <c r="O6" t="s">
        <v>1033</v>
      </c>
      <c r="P6" t="s">
        <v>1011</v>
      </c>
      <c r="Q6" t="s">
        <v>1034</v>
      </c>
    </row>
    <row r="7" spans="1:17">
      <c r="A7" s="2" t="s">
        <v>11</v>
      </c>
      <c r="B7" s="83">
        <v>2</v>
      </c>
      <c r="C7" s="4">
        <v>158194</v>
      </c>
      <c r="D7" s="76" t="e">
        <v>#DIV/0!</v>
      </c>
      <c r="E7" s="76">
        <v>3.1755550147287508</v>
      </c>
      <c r="F7" s="76">
        <v>3.3202220058915</v>
      </c>
      <c r="G7" s="76">
        <v>3.7639961060470055</v>
      </c>
      <c r="H7" s="76">
        <v>3.7022200589150032</v>
      </c>
      <c r="I7" s="76">
        <v>18.078541642298806</v>
      </c>
      <c r="J7" s="76">
        <v>13.262287823811269</v>
      </c>
      <c r="K7" s="82" t="e">
        <v>#DIV/0!</v>
      </c>
      <c r="L7" s="82">
        <v>4.5556443044368455E-2</v>
      </c>
      <c r="M7" s="76">
        <v>0</v>
      </c>
      <c r="N7" s="76">
        <v>5.9833398232549904</v>
      </c>
      <c r="O7" s="76">
        <v>0.98177005828963271</v>
      </c>
      <c r="P7" s="76">
        <v>0</v>
      </c>
      <c r="Q7" s="82" t="e">
        <v>#DIV/0!</v>
      </c>
    </row>
    <row r="8" spans="1:17">
      <c r="A8" s="2" t="s">
        <v>12</v>
      </c>
      <c r="B8" s="83">
        <v>2</v>
      </c>
      <c r="C8" s="4">
        <v>135200</v>
      </c>
      <c r="D8" s="76">
        <v>3.6172189349112425</v>
      </c>
      <c r="E8" s="76">
        <v>3.8923076923076922</v>
      </c>
      <c r="F8" s="76">
        <v>3.9331360946745564</v>
      </c>
      <c r="G8" s="76">
        <v>3</v>
      </c>
      <c r="H8" s="76">
        <v>2.9260355029585798</v>
      </c>
      <c r="I8" s="76">
        <v>12.248640977552663</v>
      </c>
      <c r="J8" s="76">
        <v>17.319526627218934</v>
      </c>
      <c r="K8" s="82">
        <v>8.7337030311952946E-2</v>
      </c>
      <c r="L8" s="82">
        <v>1.0489510489510634E-2</v>
      </c>
      <c r="M8" s="76">
        <v>0</v>
      </c>
      <c r="N8" s="76">
        <v>0</v>
      </c>
      <c r="O8" s="76" t="e">
        <v>#DIV/0!</v>
      </c>
      <c r="P8" s="76">
        <v>0</v>
      </c>
      <c r="Q8" s="82" t="e">
        <v>#DIV/0!</v>
      </c>
    </row>
    <row r="9" spans="1:17">
      <c r="A9" s="2" t="s">
        <v>13</v>
      </c>
      <c r="B9" s="83">
        <v>4</v>
      </c>
      <c r="C9" s="4">
        <v>148942</v>
      </c>
      <c r="D9" s="76">
        <v>2.77994877454553</v>
      </c>
      <c r="E9" s="76">
        <v>4.9112621020262921</v>
      </c>
      <c r="F9" s="76">
        <v>5.3375534100522346</v>
      </c>
      <c r="G9" s="76">
        <v>3</v>
      </c>
      <c r="H9" s="76">
        <v>1.5916061285601106</v>
      </c>
      <c r="I9" s="76">
        <v>10.842862184643206</v>
      </c>
      <c r="J9" s="76">
        <v>23.850885579621597</v>
      </c>
      <c r="K9" s="82">
        <v>0.33709004574331325</v>
      </c>
      <c r="L9" s="82">
        <v>8.6798728956058557E-2</v>
      </c>
      <c r="M9" s="76">
        <v>3.9336385975748951</v>
      </c>
      <c r="N9" s="76">
        <v>7.2208697345275343</v>
      </c>
      <c r="O9" s="76">
        <v>1.5</v>
      </c>
      <c r="P9" s="76">
        <v>0</v>
      </c>
      <c r="Q9" s="82" t="e">
        <v>#DIV/0!</v>
      </c>
    </row>
    <row r="10" spans="1:17">
      <c r="A10" s="2" t="s">
        <v>14</v>
      </c>
      <c r="B10" s="83">
        <v>8</v>
      </c>
      <c r="C10" s="4">
        <v>276579</v>
      </c>
      <c r="D10" s="76">
        <v>4.6488592364234531</v>
      </c>
      <c r="E10" s="76">
        <v>4.310272580347748</v>
      </c>
      <c r="F10" s="76">
        <v>4.8950292683103198</v>
      </c>
      <c r="G10" s="76">
        <v>3.4159381225617276</v>
      </c>
      <c r="H10" s="76">
        <v>2.1902639028993525</v>
      </c>
      <c r="I10" s="76">
        <v>18.166529218791247</v>
      </c>
      <c r="J10" s="76">
        <v>22.668814262832683</v>
      </c>
      <c r="K10" s="82">
        <v>1.9048268045940286E-2</v>
      </c>
      <c r="L10" s="82">
        <v>0.1356658255509664</v>
      </c>
      <c r="M10" s="76">
        <v>1.4097126849366377</v>
      </c>
      <c r="N10" s="76">
        <v>9.6554184093888509</v>
      </c>
      <c r="O10" s="76">
        <v>2.1973804197930176</v>
      </c>
      <c r="P10" s="76">
        <v>0</v>
      </c>
      <c r="Q10" s="82" t="e">
        <v>#DIV/0!</v>
      </c>
    </row>
    <row r="11" spans="1:17">
      <c r="A11" s="2" t="s">
        <v>15</v>
      </c>
      <c r="B11" s="83">
        <v>22</v>
      </c>
      <c r="C11" s="4">
        <v>747230</v>
      </c>
      <c r="D11" s="76">
        <v>5.3732400918309331</v>
      </c>
      <c r="E11" s="76">
        <v>7.0891806404989079</v>
      </c>
      <c r="F11" s="76">
        <v>8.0471251943845932</v>
      </c>
      <c r="G11" s="76">
        <v>3.5834689453046584</v>
      </c>
      <c r="H11" s="76">
        <v>2.6445886808613146</v>
      </c>
      <c r="I11" s="76">
        <v>7.2539018603571614</v>
      </c>
      <c r="J11" s="76">
        <v>22.182791978373459</v>
      </c>
      <c r="K11" s="82">
        <v>0.50870152309560601</v>
      </c>
      <c r="L11" s="82">
        <v>0.13512768293886634</v>
      </c>
      <c r="M11" s="76">
        <v>2.2616685579164089</v>
      </c>
      <c r="N11" s="76">
        <v>6.33609462590627</v>
      </c>
      <c r="O11" s="76">
        <v>1.5841821526946889</v>
      </c>
      <c r="P11" s="76">
        <v>0</v>
      </c>
      <c r="Q11" s="82" t="e">
        <v>#DIV/0!</v>
      </c>
    </row>
    <row r="12" spans="1:17">
      <c r="A12" s="2" t="s">
        <v>17</v>
      </c>
      <c r="B12" s="83">
        <v>18</v>
      </c>
      <c r="C12" s="4">
        <v>449981</v>
      </c>
      <c r="D12" s="76">
        <v>5.0772616679827358</v>
      </c>
      <c r="E12" s="76">
        <v>6.9334917252061743</v>
      </c>
      <c r="F12" s="76">
        <v>7.4879199788435509</v>
      </c>
      <c r="G12" s="76">
        <v>3.834175220731542</v>
      </c>
      <c r="H12" s="76">
        <v>3.323300317124501</v>
      </c>
      <c r="I12" s="76">
        <v>11.91664798239602</v>
      </c>
      <c r="J12" s="76">
        <v>13.929352150424128</v>
      </c>
      <c r="K12" s="82">
        <v>0.30493881987621929</v>
      </c>
      <c r="L12" s="82">
        <v>7.9963786734149389E-2</v>
      </c>
      <c r="M12" s="76">
        <v>5.4498411435698744</v>
      </c>
      <c r="N12" s="76">
        <v>6.4517630853994481</v>
      </c>
      <c r="O12" s="76">
        <v>2.5144479056167519</v>
      </c>
      <c r="P12" s="76">
        <v>0</v>
      </c>
      <c r="Q12" s="82" t="e">
        <v>#DIV/0!</v>
      </c>
    </row>
    <row r="13" spans="1:17">
      <c r="A13" s="2" t="s">
        <v>18</v>
      </c>
      <c r="B13" s="83">
        <v>18</v>
      </c>
      <c r="C13" s="4">
        <v>609772</v>
      </c>
      <c r="D13" s="76">
        <v>5.1136800578857837</v>
      </c>
      <c r="E13" s="76">
        <v>6.1611779484791045</v>
      </c>
      <c r="F13" s="76">
        <v>7.3506378941637198</v>
      </c>
      <c r="G13" s="76">
        <v>3.7950783243573007</v>
      </c>
      <c r="H13" s="76">
        <v>3.1366346765676352</v>
      </c>
      <c r="I13" s="76">
        <v>12.051027028056977</v>
      </c>
      <c r="J13" s="76">
        <v>13.145218557100032</v>
      </c>
      <c r="K13" s="82">
        <v>0.43444021434202607</v>
      </c>
      <c r="L13" s="82">
        <v>0.19305722958030058</v>
      </c>
      <c r="M13" s="76">
        <v>3.9284750759645939</v>
      </c>
      <c r="N13" s="76">
        <v>4.9261024426875819</v>
      </c>
      <c r="O13" s="76">
        <v>2.2234201394141992</v>
      </c>
      <c r="P13" s="76">
        <v>6.2080070583759177</v>
      </c>
      <c r="Q13" s="82">
        <v>0.18405759288661749</v>
      </c>
    </row>
    <row r="14" spans="1:17">
      <c r="A14" s="2" t="s">
        <v>19</v>
      </c>
      <c r="B14" s="83">
        <v>19</v>
      </c>
      <c r="C14" s="4">
        <v>702120</v>
      </c>
      <c r="D14" s="76">
        <v>5.0457530878487038</v>
      </c>
      <c r="E14" s="76">
        <v>6.6846793568051037</v>
      </c>
      <c r="F14" s="76">
        <v>7.2214231897681316</v>
      </c>
      <c r="G14" s="76">
        <v>3.4833229362502141</v>
      </c>
      <c r="H14" s="76">
        <v>2.9562862473651226</v>
      </c>
      <c r="I14" s="76">
        <v>8.0017049595388894</v>
      </c>
      <c r="J14" s="76">
        <v>10.538267912892382</v>
      </c>
      <c r="K14" s="82">
        <v>0.34115382418257889</v>
      </c>
      <c r="L14" s="82">
        <v>8.0294626610117659E-2</v>
      </c>
      <c r="M14" s="76">
        <v>4.4781532191994096</v>
      </c>
      <c r="N14" s="76">
        <v>4.773445633213516</v>
      </c>
      <c r="O14" s="76">
        <v>2.6900617349537188</v>
      </c>
      <c r="P14" s="76">
        <v>6.9330134165099979</v>
      </c>
      <c r="Q14" s="82">
        <v>4.1599482927773712E-2</v>
      </c>
    </row>
    <row r="15" spans="1:17">
      <c r="A15" s="2" t="s">
        <v>20</v>
      </c>
      <c r="B15" s="83">
        <v>20</v>
      </c>
      <c r="C15" s="4">
        <v>371182</v>
      </c>
      <c r="D15" s="76">
        <v>5.1640043217913796</v>
      </c>
      <c r="E15" s="76">
        <v>6.8909747509308099</v>
      </c>
      <c r="F15" s="76">
        <v>8.5604407002494725</v>
      </c>
      <c r="G15" s="76">
        <v>3.0708156645526992</v>
      </c>
      <c r="H15" s="76">
        <v>3.0494959346088981</v>
      </c>
      <c r="I15" s="76">
        <v>7.1872716358892319</v>
      </c>
      <c r="J15" s="76">
        <v>19.026117861318706</v>
      </c>
      <c r="K15" s="82">
        <v>0.39119573300902322</v>
      </c>
      <c r="L15" s="82">
        <v>0.24226847574694088</v>
      </c>
      <c r="M15" s="76">
        <v>5.1783220177726577</v>
      </c>
      <c r="N15" s="76">
        <v>6.4898665432634122</v>
      </c>
      <c r="O15" s="76">
        <v>1.7156391223748912</v>
      </c>
      <c r="P15" s="76">
        <v>7.4283414874643716</v>
      </c>
      <c r="Q15" s="82">
        <v>0.15240268836530535</v>
      </c>
    </row>
    <row r="16" spans="1:17">
      <c r="A16" s="2" t="s">
        <v>21</v>
      </c>
      <c r="B16" s="83">
        <v>21</v>
      </c>
      <c r="C16" s="4">
        <v>584835</v>
      </c>
      <c r="D16" s="76">
        <v>5.6352153082473349</v>
      </c>
      <c r="E16" s="76">
        <v>6.4994324553079057</v>
      </c>
      <c r="F16" s="76">
        <v>7.3875857122094271</v>
      </c>
      <c r="G16" s="76">
        <v>3.356358631066882</v>
      </c>
      <c r="H16" s="76">
        <v>2.726877666350338</v>
      </c>
      <c r="I16" s="76">
        <v>9.897676399881572</v>
      </c>
      <c r="J16" s="76">
        <v>12.512928569596552</v>
      </c>
      <c r="K16" s="82">
        <v>0.2889699413298048</v>
      </c>
      <c r="L16" s="82">
        <v>0.1366508942140312</v>
      </c>
      <c r="M16" s="76">
        <v>3.4504896786300727</v>
      </c>
      <c r="N16" s="76">
        <v>6.8008796622097112</v>
      </c>
      <c r="O16" s="76">
        <v>1.6825676294673786</v>
      </c>
      <c r="P16" s="76">
        <v>6.6819616814999101</v>
      </c>
      <c r="Q16" s="82">
        <v>0.1056013285235009</v>
      </c>
    </row>
    <row r="17" spans="1:17">
      <c r="A17" s="2" t="s">
        <v>22</v>
      </c>
      <c r="B17" s="83">
        <v>20</v>
      </c>
      <c r="C17" s="4">
        <v>395210</v>
      </c>
      <c r="D17" s="76">
        <v>6.6979619883838248</v>
      </c>
      <c r="E17" s="76">
        <v>8.6207669618683731</v>
      </c>
      <c r="F17" s="76">
        <v>9.473778396295641</v>
      </c>
      <c r="G17" s="76">
        <v>3.4462140381063233</v>
      </c>
      <c r="H17" s="76">
        <v>2.759546823207915</v>
      </c>
      <c r="I17" s="76">
        <v>7.4605242957900311</v>
      </c>
      <c r="J17" s="76">
        <v>16.790458110877758</v>
      </c>
      <c r="K17" s="82">
        <v>0.24405613489904243</v>
      </c>
      <c r="L17" s="82">
        <v>9.8948439065843274E-2</v>
      </c>
      <c r="M17" s="76">
        <v>9.2913695268767729</v>
      </c>
      <c r="N17" s="76">
        <v>8.1180555555555554</v>
      </c>
      <c r="O17" s="76">
        <v>1.921755464115636</v>
      </c>
      <c r="P17" s="76">
        <v>8.970810834746084</v>
      </c>
      <c r="Q17" s="82">
        <v>5.6067123787901574E-2</v>
      </c>
    </row>
    <row r="18" spans="1:17">
      <c r="A18" s="2" t="s">
        <v>23</v>
      </c>
      <c r="B18" s="83">
        <v>17</v>
      </c>
      <c r="C18" s="4">
        <v>314109</v>
      </c>
      <c r="D18" s="76">
        <v>8.5877238589111684</v>
      </c>
      <c r="E18" s="76">
        <v>9.3781436698725624</v>
      </c>
      <c r="F18" s="76">
        <v>10.686276738329687</v>
      </c>
      <c r="G18" s="76">
        <v>3.7631697913781523</v>
      </c>
      <c r="H18" s="76">
        <v>3.2594783976263018</v>
      </c>
      <c r="I18" s="76">
        <v>8.5737784416160743</v>
      </c>
      <c r="J18" s="76">
        <v>0</v>
      </c>
      <c r="K18" s="82">
        <v>0.24405293727379895</v>
      </c>
      <c r="L18" s="82">
        <v>0.13948742037931483</v>
      </c>
      <c r="M18" s="76">
        <v>3.7623622729604018</v>
      </c>
      <c r="N18" s="76">
        <v>6.8275294908299875</v>
      </c>
      <c r="O18" s="76">
        <v>1.4498500046642042</v>
      </c>
      <c r="P18" s="76">
        <v>10.28005911960498</v>
      </c>
      <c r="Q18" s="82">
        <v>3.9515105311993093E-2</v>
      </c>
    </row>
    <row r="19" spans="1:17">
      <c r="A19" s="2" t="s">
        <v>24</v>
      </c>
      <c r="B19" s="83">
        <v>19</v>
      </c>
      <c r="C19" s="4">
        <v>573287</v>
      </c>
      <c r="D19" s="76">
        <v>7.8843548693760725</v>
      </c>
      <c r="E19" s="76">
        <v>10.087479953321811</v>
      </c>
      <c r="F19" s="76">
        <v>11.193829949048208</v>
      </c>
      <c r="G19" s="76">
        <v>3.4952986026196302</v>
      </c>
      <c r="H19" s="76">
        <v>2.8592578237427326</v>
      </c>
      <c r="I19" s="76">
        <v>7.3188429313360013</v>
      </c>
      <c r="J19" s="76">
        <v>0</v>
      </c>
      <c r="K19" s="82">
        <v>0.41975217180122071</v>
      </c>
      <c r="L19" s="82">
        <v>0.10967555830057196</v>
      </c>
      <c r="M19" s="76">
        <v>5.1360411543571045</v>
      </c>
      <c r="N19" s="76">
        <v>12.362220526300913</v>
      </c>
      <c r="O19" s="76">
        <v>2.1949722122876674</v>
      </c>
      <c r="P19" s="76">
        <v>10.551346934432493</v>
      </c>
      <c r="Q19" s="82">
        <v>6.0891089887214589E-2</v>
      </c>
    </row>
    <row r="20" spans="1:17">
      <c r="A20" s="2" t="s">
        <v>25</v>
      </c>
      <c r="B20" s="83">
        <v>9</v>
      </c>
      <c r="C20" s="4">
        <v>206361</v>
      </c>
      <c r="D20" s="76">
        <v>6.4463608433764135</v>
      </c>
      <c r="E20" s="76">
        <v>8.8452359215161778</v>
      </c>
      <c r="F20" s="76">
        <v>8.6309314744549592</v>
      </c>
      <c r="G20" s="76">
        <v>4.0710721502609504</v>
      </c>
      <c r="H20" s="76">
        <v>3.1547385407126347</v>
      </c>
      <c r="I20" s="76">
        <v>0</v>
      </c>
      <c r="J20" s="76">
        <v>0</v>
      </c>
      <c r="K20" s="82">
        <v>0.33888432313297767</v>
      </c>
      <c r="L20" s="82">
        <v>-2.4228234154831219E-2</v>
      </c>
      <c r="M20" s="76">
        <v>0.82000160784628995</v>
      </c>
      <c r="N20" s="76">
        <v>5.6400032156925795</v>
      </c>
      <c r="O20" s="76">
        <v>2.3387480647619254</v>
      </c>
      <c r="P20" s="76">
        <v>7.7477336318393499</v>
      </c>
      <c r="Q20" s="82">
        <v>0.1139943478420713</v>
      </c>
    </row>
    <row r="21" spans="1:17">
      <c r="A21" s="2" t="s">
        <v>26</v>
      </c>
      <c r="B21" s="83">
        <v>17</v>
      </c>
      <c r="C21" s="4">
        <v>481250</v>
      </c>
      <c r="D21" s="76">
        <v>5.598659462981189</v>
      </c>
      <c r="E21" s="76">
        <v>7.0195907740259749</v>
      </c>
      <c r="F21" s="76">
        <v>8.1106616935064935</v>
      </c>
      <c r="G21" s="76">
        <v>3.7511064935064935</v>
      </c>
      <c r="H21" s="76">
        <v>3.2122015584415586</v>
      </c>
      <c r="I21" s="76">
        <v>0</v>
      </c>
      <c r="J21" s="76">
        <v>6.2640000000000001E-2</v>
      </c>
      <c r="K21" s="82">
        <v>0.41306112754957458</v>
      </c>
      <c r="L21" s="82">
        <v>0.155432268718245</v>
      </c>
      <c r="M21" s="76">
        <v>11.99205144771836</v>
      </c>
      <c r="N21" s="76">
        <v>7.7341968055534682</v>
      </c>
      <c r="O21" s="76">
        <v>3.1858837407901794</v>
      </c>
      <c r="P21" s="76">
        <v>8.1231600831168826</v>
      </c>
      <c r="Q21" s="82">
        <v>-1.5386117573092939E-3</v>
      </c>
    </row>
    <row r="22" spans="1:17">
      <c r="A22" s="2" t="s">
        <v>1012</v>
      </c>
      <c r="B22" s="83">
        <v>216</v>
      </c>
      <c r="C22" s="4">
        <v>6154252</v>
      </c>
      <c r="D22" s="76">
        <v>5.7789848172567693</v>
      </c>
      <c r="E22" s="76">
        <v>7.071200791095329</v>
      </c>
      <c r="F22" s="76">
        <v>7.9361797191600205</v>
      </c>
      <c r="G22" s="76">
        <v>3.5506150983092661</v>
      </c>
      <c r="H22" s="76">
        <v>2.918491238252837</v>
      </c>
      <c r="I22" s="76">
        <v>8.6441327179602219</v>
      </c>
      <c r="J22" s="76">
        <v>11.953701406279759</v>
      </c>
      <c r="K22" s="82">
        <v>0.35085198138226303</v>
      </c>
      <c r="L22" s="82">
        <v>0.12232419268223138</v>
      </c>
      <c r="M22" s="76">
        <v>4.1369065835737286</v>
      </c>
      <c r="N22" s="76">
        <v>6.7139602758206136</v>
      </c>
      <c r="O22" s="76">
        <v>2.0881877346560684</v>
      </c>
      <c r="P22" s="76">
        <v>5.4677403671477851</v>
      </c>
      <c r="Q22" s="82">
        <v>0.45145511422662565</v>
      </c>
    </row>
    <row r="23" spans="1:17" ht="14.45" thickBot="1">
      <c r="A23" s="92" t="s">
        <v>1035</v>
      </c>
    </row>
    <row r="24" spans="1:17">
      <c r="A24" s="141" t="s">
        <v>66</v>
      </c>
      <c r="B24" s="142" t="s">
        <v>2</v>
      </c>
      <c r="C24" s="143" t="s">
        <v>1032</v>
      </c>
      <c r="D24" s="142" t="s">
        <v>1001</v>
      </c>
      <c r="E24" s="142" t="s">
        <v>1002</v>
      </c>
      <c r="F24" s="142" t="s">
        <v>1003</v>
      </c>
      <c r="G24" s="143" t="s">
        <v>1004</v>
      </c>
      <c r="H24" s="143" t="s">
        <v>1005</v>
      </c>
      <c r="I24" s="142" t="s">
        <v>736</v>
      </c>
      <c r="J24" s="142" t="s">
        <v>737</v>
      </c>
      <c r="K24" s="142" t="s">
        <v>1007</v>
      </c>
      <c r="L24" s="142" t="s">
        <v>1036</v>
      </c>
      <c r="M24" s="142" t="s">
        <v>1006</v>
      </c>
      <c r="N24" s="142" t="s">
        <v>65</v>
      </c>
      <c r="O24" s="144" t="s">
        <v>1033</v>
      </c>
      <c r="P24" s="85" t="s">
        <v>1011</v>
      </c>
      <c r="Q24" s="97" t="s">
        <v>1037</v>
      </c>
    </row>
    <row r="25" spans="1:17">
      <c r="A25" s="2" t="s">
        <v>11</v>
      </c>
      <c r="B25" s="83">
        <v>2</v>
      </c>
      <c r="C25" s="4">
        <v>158194</v>
      </c>
      <c r="D25" s="76" t="e">
        <v>#DIV/0!</v>
      </c>
      <c r="E25" s="76">
        <v>3.1755550147287508</v>
      </c>
      <c r="F25" s="76">
        <v>3.3202220058915</v>
      </c>
      <c r="G25" s="76">
        <v>3.7639961060470055</v>
      </c>
      <c r="H25" s="76">
        <v>3.7022200589150032</v>
      </c>
      <c r="I25" s="76">
        <v>18.078541642298806</v>
      </c>
      <c r="J25" s="76">
        <v>13.262287823811269</v>
      </c>
      <c r="K25" s="82" t="e">
        <v>#DIV/0!</v>
      </c>
      <c r="L25" s="82">
        <v>4.5556443044368455E-2</v>
      </c>
      <c r="M25" s="76">
        <v>0</v>
      </c>
      <c r="N25" s="76">
        <v>5.9833398232549904</v>
      </c>
      <c r="O25" s="76">
        <v>0.98177005828963271</v>
      </c>
      <c r="P25" s="76">
        <v>0</v>
      </c>
      <c r="Q25" s="82" t="e">
        <v>#DIV/0!</v>
      </c>
    </row>
    <row r="26" spans="1:17">
      <c r="A26" s="2" t="s">
        <v>12</v>
      </c>
      <c r="B26" s="83">
        <v>2</v>
      </c>
      <c r="C26" s="4">
        <v>135200</v>
      </c>
      <c r="D26" s="76">
        <v>3.6172189349112425</v>
      </c>
      <c r="E26" s="76">
        <v>3.8923076923076922</v>
      </c>
      <c r="F26" s="76">
        <v>3.9331360946745564</v>
      </c>
      <c r="G26" s="76">
        <v>3</v>
      </c>
      <c r="H26" s="76">
        <v>2.9260355029585798</v>
      </c>
      <c r="I26" s="76">
        <v>12.248640977552663</v>
      </c>
      <c r="J26" s="76">
        <v>17.319526627218934</v>
      </c>
      <c r="K26" s="82">
        <v>8.7337030311952946E-2</v>
      </c>
      <c r="L26" s="82">
        <v>1.0489510489510634E-2</v>
      </c>
      <c r="M26" s="76">
        <v>0</v>
      </c>
      <c r="N26" s="76">
        <v>0</v>
      </c>
      <c r="O26" s="76" t="e">
        <v>#DIV/0!</v>
      </c>
      <c r="P26" s="76">
        <v>0</v>
      </c>
      <c r="Q26" s="82" t="e">
        <v>#DIV/0!</v>
      </c>
    </row>
    <row r="27" spans="1:17">
      <c r="A27" s="2" t="s">
        <v>13</v>
      </c>
      <c r="B27" s="83">
        <v>4</v>
      </c>
      <c r="C27" s="4">
        <v>148942</v>
      </c>
      <c r="D27" s="76">
        <v>2.77994877454553</v>
      </c>
      <c r="E27" s="76">
        <v>4.9112621020262921</v>
      </c>
      <c r="F27" s="76">
        <v>5.3375534100522346</v>
      </c>
      <c r="G27" s="76">
        <v>3</v>
      </c>
      <c r="H27" s="76">
        <v>1.5916061285601106</v>
      </c>
      <c r="I27" s="76">
        <v>10.842862184643206</v>
      </c>
      <c r="J27" s="76">
        <v>23.850885579621597</v>
      </c>
      <c r="K27" s="82">
        <v>0.33709004574331325</v>
      </c>
      <c r="L27" s="82">
        <v>8.6798728956058557E-2</v>
      </c>
      <c r="M27" s="76">
        <v>3.9336385975748951</v>
      </c>
      <c r="N27" s="76">
        <v>7.2208697345275343</v>
      </c>
      <c r="O27" s="76">
        <v>1.5</v>
      </c>
      <c r="P27" s="76">
        <v>0</v>
      </c>
      <c r="Q27" s="82" t="e">
        <v>#DIV/0!</v>
      </c>
    </row>
    <row r="28" spans="1:17">
      <c r="A28" s="2" t="s">
        <v>14</v>
      </c>
      <c r="B28" s="83">
        <v>8</v>
      </c>
      <c r="C28" s="4">
        <v>276579</v>
      </c>
      <c r="D28" s="76">
        <v>4.6488592364234531</v>
      </c>
      <c r="E28" s="76">
        <v>4.310272580347748</v>
      </c>
      <c r="F28" s="76">
        <v>4.8950292683103198</v>
      </c>
      <c r="G28" s="76">
        <v>3.4159381225617276</v>
      </c>
      <c r="H28" s="76">
        <v>2.1902639028993525</v>
      </c>
      <c r="I28" s="76">
        <v>18.166529218791247</v>
      </c>
      <c r="J28" s="76">
        <v>22.668814262832683</v>
      </c>
      <c r="K28" s="82">
        <v>1.9048268045940286E-2</v>
      </c>
      <c r="L28" s="82">
        <v>0.1356658255509664</v>
      </c>
      <c r="M28" s="76">
        <v>1.4097126849366377</v>
      </c>
      <c r="N28" s="76">
        <v>9.6554184093888509</v>
      </c>
      <c r="O28" s="76">
        <v>2.1973804197930176</v>
      </c>
      <c r="P28" s="76">
        <v>0</v>
      </c>
      <c r="Q28" s="82" t="e">
        <v>#DIV/0!</v>
      </c>
    </row>
    <row r="29" spans="1:17">
      <c r="A29" s="2" t="s">
        <v>15</v>
      </c>
      <c r="B29" s="83">
        <v>22</v>
      </c>
      <c r="C29" s="4">
        <v>747230</v>
      </c>
      <c r="D29" s="76">
        <v>5.3732400918309331</v>
      </c>
      <c r="E29" s="76">
        <v>7.0891806404989079</v>
      </c>
      <c r="F29" s="76">
        <v>8.0471251943845932</v>
      </c>
      <c r="G29" s="76">
        <v>3.5834689453046584</v>
      </c>
      <c r="H29" s="76">
        <v>2.6445886808613146</v>
      </c>
      <c r="I29" s="76">
        <v>7.2539018603571614</v>
      </c>
      <c r="J29" s="76">
        <v>22.182791978373459</v>
      </c>
      <c r="K29" s="82">
        <v>0.50870152309560601</v>
      </c>
      <c r="L29" s="82">
        <v>0.13512768293886634</v>
      </c>
      <c r="M29" s="76">
        <v>2.2616685579164089</v>
      </c>
      <c r="N29" s="76">
        <v>6.33609462590627</v>
      </c>
      <c r="O29" s="76">
        <v>1.5841821526946889</v>
      </c>
      <c r="P29" s="76">
        <v>0</v>
      </c>
      <c r="Q29" s="82" t="e">
        <v>#DIV/0!</v>
      </c>
    </row>
    <row r="30" spans="1:17">
      <c r="A30" s="2" t="s">
        <v>17</v>
      </c>
      <c r="B30" s="83">
        <v>18</v>
      </c>
      <c r="C30" s="4">
        <v>449981</v>
      </c>
      <c r="D30" s="76">
        <v>5.0772616679827358</v>
      </c>
      <c r="E30" s="76">
        <v>6.9334917252061743</v>
      </c>
      <c r="F30" s="76">
        <v>7.4879199788435509</v>
      </c>
      <c r="G30" s="76">
        <v>3.834175220731542</v>
      </c>
      <c r="H30" s="76">
        <v>3.323300317124501</v>
      </c>
      <c r="I30" s="76">
        <v>11.91664798239602</v>
      </c>
      <c r="J30" s="76">
        <v>13.929352150424128</v>
      </c>
      <c r="K30" s="82">
        <v>0.30493881987621929</v>
      </c>
      <c r="L30" s="82">
        <v>7.9963786734149389E-2</v>
      </c>
      <c r="M30" s="76">
        <v>5.4498411435698744</v>
      </c>
      <c r="N30" s="76">
        <v>6.4517630853994481</v>
      </c>
      <c r="O30" s="76">
        <v>2.5144479056167519</v>
      </c>
      <c r="P30" s="76">
        <v>0</v>
      </c>
      <c r="Q30" s="82" t="e">
        <v>#DIV/0!</v>
      </c>
    </row>
    <row r="31" spans="1:17">
      <c r="A31" s="2" t="s">
        <v>18</v>
      </c>
      <c r="B31" s="83">
        <v>18</v>
      </c>
      <c r="C31" s="4">
        <v>609772</v>
      </c>
      <c r="D31" s="76">
        <v>5.1136800578857837</v>
      </c>
      <c r="E31" s="76">
        <v>6.1611779484791045</v>
      </c>
      <c r="F31" s="76">
        <v>7.3506378941637198</v>
      </c>
      <c r="G31" s="76">
        <v>3.7950783243573007</v>
      </c>
      <c r="H31" s="76">
        <v>3.1366346765676352</v>
      </c>
      <c r="I31" s="76">
        <v>12.051027028056977</v>
      </c>
      <c r="J31" s="76">
        <v>13.145218557100032</v>
      </c>
      <c r="K31" s="82">
        <v>0.43444021434202607</v>
      </c>
      <c r="L31" s="82">
        <v>0.19305722958030058</v>
      </c>
      <c r="M31" s="76">
        <v>3.9284750759645939</v>
      </c>
      <c r="N31" s="76">
        <v>4.9261024426875819</v>
      </c>
      <c r="O31" s="76">
        <v>2.2234201394141992</v>
      </c>
      <c r="P31" s="76">
        <v>6.2080070583759177</v>
      </c>
      <c r="Q31" s="82">
        <v>0.18405759288661749</v>
      </c>
    </row>
    <row r="32" spans="1:17">
      <c r="A32" s="2" t="s">
        <v>19</v>
      </c>
      <c r="B32" s="83">
        <v>19</v>
      </c>
      <c r="C32" s="4">
        <v>702120</v>
      </c>
      <c r="D32" s="76">
        <v>5.0457530878487038</v>
      </c>
      <c r="E32" s="76">
        <v>6.6846793568051037</v>
      </c>
      <c r="F32" s="76">
        <v>7.2214231897681316</v>
      </c>
      <c r="G32" s="76">
        <v>3.4833229362502141</v>
      </c>
      <c r="H32" s="76">
        <v>2.9562862473651226</v>
      </c>
      <c r="I32" s="76">
        <v>8.0017049595388894</v>
      </c>
      <c r="J32" s="76">
        <v>10.538267912892382</v>
      </c>
      <c r="K32" s="82">
        <v>0.34115382418257889</v>
      </c>
      <c r="L32" s="82">
        <v>8.0294626610117659E-2</v>
      </c>
      <c r="M32" s="76">
        <v>4.4781532191994096</v>
      </c>
      <c r="N32" s="76">
        <v>4.773445633213516</v>
      </c>
      <c r="O32" s="76">
        <v>2.6900617349537188</v>
      </c>
      <c r="P32" s="76">
        <v>6.9330134165099979</v>
      </c>
      <c r="Q32" s="82">
        <v>4.1599482927773712E-2</v>
      </c>
    </row>
    <row r="33" spans="1:17">
      <c r="A33" s="2" t="s">
        <v>20</v>
      </c>
      <c r="B33" s="83">
        <v>20</v>
      </c>
      <c r="C33" s="4">
        <v>371182</v>
      </c>
      <c r="D33" s="76">
        <v>5.1640043217913796</v>
      </c>
      <c r="E33" s="76">
        <v>6.8909747509308099</v>
      </c>
      <c r="F33" s="76">
        <v>8.5604407002494725</v>
      </c>
      <c r="G33" s="76">
        <v>3.0708156645526992</v>
      </c>
      <c r="H33" s="76">
        <v>3.0494959346088981</v>
      </c>
      <c r="I33" s="76">
        <v>7.1872716358892319</v>
      </c>
      <c r="J33" s="76">
        <v>19.026117861318706</v>
      </c>
      <c r="K33" s="82">
        <v>0.39119573300902322</v>
      </c>
      <c r="L33" s="82">
        <v>0.24226847574694088</v>
      </c>
      <c r="M33" s="76">
        <v>5.1783220177726577</v>
      </c>
      <c r="N33" s="76">
        <v>6.4898665432634122</v>
      </c>
      <c r="O33" s="76">
        <v>1.7156391223748912</v>
      </c>
      <c r="P33" s="76">
        <v>7.4283414874643716</v>
      </c>
      <c r="Q33" s="82">
        <v>0.15240268836530535</v>
      </c>
    </row>
    <row r="34" spans="1:17">
      <c r="A34" s="2" t="s">
        <v>21</v>
      </c>
      <c r="B34" s="83">
        <v>21</v>
      </c>
      <c r="C34" s="4">
        <v>584835</v>
      </c>
      <c r="D34" s="76">
        <v>5.6352153082473349</v>
      </c>
      <c r="E34" s="76">
        <v>6.4994324553079057</v>
      </c>
      <c r="F34" s="76">
        <v>7.3875857122094271</v>
      </c>
      <c r="G34" s="76">
        <v>3.356358631066882</v>
      </c>
      <c r="H34" s="76">
        <v>2.726877666350338</v>
      </c>
      <c r="I34" s="76">
        <v>9.897676399881572</v>
      </c>
      <c r="J34" s="76">
        <v>12.512928569596552</v>
      </c>
      <c r="K34" s="82">
        <v>0.2889699413298048</v>
      </c>
      <c r="L34" s="82">
        <v>0.1366508942140312</v>
      </c>
      <c r="M34" s="76">
        <v>3.4504896786300727</v>
      </c>
      <c r="N34" s="76">
        <v>6.8008796622097112</v>
      </c>
      <c r="O34" s="76">
        <v>1.6825676294673786</v>
      </c>
      <c r="P34" s="76">
        <v>6.6819616814999101</v>
      </c>
      <c r="Q34" s="82">
        <v>0.1056013285235009</v>
      </c>
    </row>
    <row r="35" spans="1:17">
      <c r="A35" s="2" t="s">
        <v>22</v>
      </c>
      <c r="B35" s="83">
        <v>20</v>
      </c>
      <c r="C35" s="4">
        <v>395210</v>
      </c>
      <c r="D35" s="76">
        <v>6.6979619883838248</v>
      </c>
      <c r="E35" s="76">
        <v>8.6207669618683731</v>
      </c>
      <c r="F35" s="76">
        <v>9.473778396295641</v>
      </c>
      <c r="G35" s="76">
        <v>3.4462140381063233</v>
      </c>
      <c r="H35" s="76">
        <v>2.759546823207915</v>
      </c>
      <c r="I35" s="76">
        <v>7.4605242957900311</v>
      </c>
      <c r="J35" s="76">
        <v>16.790458110877758</v>
      </c>
      <c r="K35" s="82">
        <v>0.24405613489904243</v>
      </c>
      <c r="L35" s="82">
        <v>9.8948439065843274E-2</v>
      </c>
      <c r="M35" s="76">
        <v>9.2913695268767729</v>
      </c>
      <c r="N35" s="76">
        <v>8.1180555555555554</v>
      </c>
      <c r="O35" s="76">
        <v>1.921755464115636</v>
      </c>
      <c r="P35" s="76">
        <v>8.970810834746084</v>
      </c>
      <c r="Q35" s="82">
        <v>5.6067123787901574E-2</v>
      </c>
    </row>
    <row r="36" spans="1:17">
      <c r="A36" s="2" t="s">
        <v>23</v>
      </c>
      <c r="B36" s="83">
        <v>17</v>
      </c>
      <c r="C36" s="4">
        <v>314109</v>
      </c>
      <c r="D36" s="76">
        <v>8.5877238589111684</v>
      </c>
      <c r="E36" s="76">
        <v>9.3781436698725624</v>
      </c>
      <c r="F36" s="76">
        <v>10.686276738329687</v>
      </c>
      <c r="G36" s="76">
        <v>3.7631697913781523</v>
      </c>
      <c r="H36" s="76">
        <v>3.2594783976263018</v>
      </c>
      <c r="I36" s="76">
        <v>8.5737784416160743</v>
      </c>
      <c r="J36" s="76">
        <v>0</v>
      </c>
      <c r="K36" s="82">
        <v>0.24405293727379895</v>
      </c>
      <c r="L36" s="82">
        <v>0.13948742037931483</v>
      </c>
      <c r="M36" s="76">
        <v>3.7623622729604018</v>
      </c>
      <c r="N36" s="76">
        <v>6.8275294908299875</v>
      </c>
      <c r="O36" s="76">
        <v>1.4498500046642042</v>
      </c>
      <c r="P36" s="76">
        <v>10.28005911960498</v>
      </c>
      <c r="Q36" s="82">
        <v>3.9515105311993093E-2</v>
      </c>
    </row>
    <row r="37" spans="1:17">
      <c r="A37" s="2" t="s">
        <v>24</v>
      </c>
      <c r="B37" s="83">
        <v>19</v>
      </c>
      <c r="C37" s="4">
        <v>573287</v>
      </c>
      <c r="D37" s="76">
        <v>7.8843548693760725</v>
      </c>
      <c r="E37" s="76">
        <v>10.087479953321811</v>
      </c>
      <c r="F37" s="76">
        <v>11.193829949048208</v>
      </c>
      <c r="G37" s="76">
        <v>3.4952986026196302</v>
      </c>
      <c r="H37" s="76">
        <v>2.8592578237427326</v>
      </c>
      <c r="I37" s="76">
        <v>7.3188429313360013</v>
      </c>
      <c r="J37" s="76">
        <v>0</v>
      </c>
      <c r="K37" s="82">
        <v>0.41975217180122071</v>
      </c>
      <c r="L37" s="82">
        <v>0.10967555830057196</v>
      </c>
      <c r="M37" s="76">
        <v>4.1696229835471215</v>
      </c>
      <c r="N37" s="76">
        <v>10.03609536703458</v>
      </c>
      <c r="O37" s="76">
        <v>2.1949722122876674</v>
      </c>
      <c r="P37" s="76">
        <v>10.551346934432493</v>
      </c>
      <c r="Q37" s="82">
        <v>6.0891089887214589E-2</v>
      </c>
    </row>
    <row r="38" spans="1:17">
      <c r="A38" s="2" t="s">
        <v>25</v>
      </c>
      <c r="B38" s="83">
        <v>9</v>
      </c>
      <c r="C38" s="4">
        <v>206361</v>
      </c>
      <c r="D38" s="76">
        <v>6.4463608433764135</v>
      </c>
      <c r="E38" s="76">
        <v>8.8452359215161778</v>
      </c>
      <c r="F38" s="76">
        <v>8.6309314744549592</v>
      </c>
      <c r="G38" s="76">
        <v>4.0710721502609504</v>
      </c>
      <c r="H38" s="76">
        <v>3.1547385407126347</v>
      </c>
      <c r="I38" s="76">
        <v>0</v>
      </c>
      <c r="J38" s="76">
        <v>0</v>
      </c>
      <c r="K38" s="82">
        <v>0.33888432313297767</v>
      </c>
      <c r="L38" s="82">
        <v>-2.4228234154831219E-2</v>
      </c>
      <c r="M38" s="76">
        <v>0.82000160784628995</v>
      </c>
      <c r="N38" s="76">
        <v>5.6400032156925795</v>
      </c>
      <c r="O38" s="76">
        <v>2.3387480647619254</v>
      </c>
      <c r="P38" s="76" t="e">
        <v>#VALUE!</v>
      </c>
      <c r="Q38" s="82" t="e">
        <v>#VALUE!</v>
      </c>
    </row>
    <row r="39" spans="1:17">
      <c r="A39" s="2" t="s">
        <v>26</v>
      </c>
      <c r="B39" s="83">
        <v>17</v>
      </c>
      <c r="C39" s="4">
        <v>481250</v>
      </c>
      <c r="D39" s="76">
        <v>5.598659462981189</v>
      </c>
      <c r="E39" s="76">
        <v>7.0195907740259749</v>
      </c>
      <c r="F39" s="76">
        <v>8.1106616935064935</v>
      </c>
      <c r="G39" s="76">
        <v>3.7511064935064935</v>
      </c>
      <c r="H39" s="76">
        <v>3.2122015584415586</v>
      </c>
      <c r="I39" s="76">
        <v>0</v>
      </c>
      <c r="J39" s="76">
        <v>6.2640000000000001E-2</v>
      </c>
      <c r="K39" s="82">
        <v>0.41306112754957458</v>
      </c>
      <c r="L39" s="82">
        <v>0.155432268718245</v>
      </c>
      <c r="M39" s="76">
        <v>11.99205144771836</v>
      </c>
      <c r="N39" s="76">
        <v>7.7341968055534682</v>
      </c>
      <c r="O39" s="76">
        <v>3.1858837407901794</v>
      </c>
      <c r="P39" s="76">
        <v>8.1231600831168826</v>
      </c>
      <c r="Q39" s="82">
        <v>-1.5386117573092939E-3</v>
      </c>
    </row>
    <row r="40" spans="1:17">
      <c r="A40" s="87" t="s">
        <v>1012</v>
      </c>
      <c r="B40" s="88">
        <v>216</v>
      </c>
      <c r="C40" s="89">
        <v>6154252</v>
      </c>
      <c r="D40" s="90">
        <v>5.7789848172567693</v>
      </c>
      <c r="E40" s="90">
        <v>7.071200791095329</v>
      </c>
      <c r="F40" s="90">
        <v>7.9361797191600205</v>
      </c>
      <c r="G40" s="90">
        <v>3.5506150983092661</v>
      </c>
      <c r="H40" s="90">
        <v>2.918491238252837</v>
      </c>
      <c r="I40" s="90">
        <v>8.6441327179602219</v>
      </c>
      <c r="J40" s="90">
        <v>11.953701406279759</v>
      </c>
      <c r="K40" s="91">
        <v>0.35085198138226303</v>
      </c>
      <c r="L40" s="91">
        <v>0.12232419268223138</v>
      </c>
      <c r="M40" s="90">
        <v>4.1369065835737286</v>
      </c>
      <c r="N40" s="90">
        <v>6.7139602758206136</v>
      </c>
      <c r="O40" s="90">
        <v>2.0881877346560684</v>
      </c>
      <c r="P40" s="90" t="e">
        <v>#VALUE!</v>
      </c>
      <c r="Q40" s="91" t="e">
        <v>#VALUE!</v>
      </c>
    </row>
    <row r="42" spans="1:17">
      <c r="A42" s="92"/>
      <c r="B42" s="92"/>
      <c r="C42" s="92"/>
      <c r="D42" s="92"/>
      <c r="E42" s="92"/>
      <c r="F42" s="92"/>
      <c r="G42" s="92"/>
    </row>
    <row r="43" spans="1:17">
      <c r="A43" s="92"/>
      <c r="B43" s="92"/>
      <c r="C43" s="92"/>
      <c r="D43" s="92"/>
      <c r="E43" s="92"/>
      <c r="F43" s="92"/>
      <c r="G43" s="92"/>
    </row>
    <row r="44" spans="1:17">
      <c r="A44" s="92"/>
      <c r="B44" s="92"/>
      <c r="C44" s="92"/>
      <c r="D44" s="92"/>
      <c r="E44" s="92"/>
      <c r="F44" s="92"/>
      <c r="G44" s="92"/>
    </row>
    <row r="45" spans="1:17">
      <c r="A45" s="92"/>
      <c r="B45" s="92"/>
      <c r="C45" s="92"/>
      <c r="D45" s="92"/>
      <c r="E45" s="92"/>
      <c r="F45" s="92"/>
      <c r="G45" s="92"/>
    </row>
    <row r="46" spans="1:17">
      <c r="A46" s="92"/>
      <c r="B46" s="92"/>
      <c r="C46" s="92"/>
      <c r="D46" s="92"/>
      <c r="E46" s="92"/>
      <c r="F46" s="92"/>
      <c r="G46" s="92"/>
    </row>
    <row r="47" spans="1:17">
      <c r="A47" s="92"/>
      <c r="B47" s="92"/>
      <c r="C47" s="92"/>
      <c r="D47" s="92"/>
      <c r="E47" s="92"/>
      <c r="F47" s="92"/>
      <c r="G47" s="92"/>
    </row>
    <row r="48" spans="1:17">
      <c r="A48" s="92"/>
      <c r="B48" s="92"/>
      <c r="C48" s="92"/>
      <c r="D48" s="92"/>
      <c r="E48" s="92"/>
      <c r="F48" s="92"/>
      <c r="G48" s="92"/>
    </row>
    <row r="49" spans="1:7">
      <c r="A49" s="2"/>
      <c r="B49" s="328"/>
      <c r="C49" s="83"/>
      <c r="D49" s="328"/>
      <c r="E49" s="82"/>
    </row>
    <row r="50" spans="1:7">
      <c r="A50" s="2"/>
      <c r="B50" s="328"/>
      <c r="C50" s="329"/>
      <c r="D50" s="328"/>
      <c r="E50" s="82"/>
    </row>
    <row r="51" spans="1:7">
      <c r="A51" s="2"/>
      <c r="B51" s="328"/>
      <c r="C51" s="328"/>
      <c r="D51" s="328"/>
    </row>
    <row r="52" spans="1:7">
      <c r="A52" s="2"/>
      <c r="B52" s="328"/>
      <c r="C52" s="329"/>
      <c r="D52" s="328"/>
      <c r="E52" s="82"/>
    </row>
    <row r="53" spans="1:7">
      <c r="A53" s="2"/>
      <c r="B53" s="328"/>
      <c r="C53" s="329"/>
      <c r="D53" s="328"/>
      <c r="E53" s="82"/>
    </row>
    <row r="54" spans="1:7">
      <c r="A54" s="2"/>
      <c r="B54" s="328"/>
      <c r="C54" s="329"/>
      <c r="D54" s="328"/>
      <c r="E54" s="82"/>
      <c r="G54" s="161"/>
    </row>
    <row r="55" spans="1:7">
      <c r="A55" s="2"/>
      <c r="B55" s="328"/>
      <c r="C55" s="329"/>
      <c r="D55" s="328"/>
      <c r="E55" s="82"/>
      <c r="F55" s="140"/>
      <c r="G55" s="82"/>
    </row>
    <row r="56" spans="1:7">
      <c r="A56" s="2"/>
      <c r="B56" s="328"/>
      <c r="C56" s="329"/>
      <c r="D56" s="328"/>
      <c r="E56" s="82"/>
      <c r="F56" s="140"/>
      <c r="G56" s="82"/>
    </row>
    <row r="57" spans="1:7">
      <c r="A57" s="2"/>
      <c r="B57" s="328"/>
      <c r="C57" s="329"/>
      <c r="D57" s="328"/>
      <c r="E57" s="82"/>
      <c r="F57" s="140"/>
      <c r="G57" s="82"/>
    </row>
    <row r="58" spans="1:7">
      <c r="A58" s="2"/>
      <c r="B58" s="328"/>
      <c r="C58" s="329"/>
      <c r="D58" s="328"/>
      <c r="E58" s="82"/>
      <c r="F58" s="140"/>
      <c r="G58" s="82"/>
    </row>
    <row r="59" spans="1:7">
      <c r="A59" s="99" t="s">
        <v>961</v>
      </c>
      <c r="B59" s="330" t="s">
        <v>1038</v>
      </c>
      <c r="C59" s="330" t="s">
        <v>1039</v>
      </c>
      <c r="D59" s="331" t="s">
        <v>1040</v>
      </c>
      <c r="E59" s="331" t="s">
        <v>1041</v>
      </c>
      <c r="G59" s="77"/>
    </row>
    <row r="60" spans="1:7">
      <c r="A60" s="2" t="s">
        <v>18</v>
      </c>
      <c r="B60" s="82">
        <v>0.10140587446186911</v>
      </c>
      <c r="C60" s="77">
        <v>0.21863259450123729</v>
      </c>
      <c r="D60" s="82">
        <v>0.84352001688803568</v>
      </c>
      <c r="E60" s="82">
        <v>8.4555075920955458E-2</v>
      </c>
    </row>
    <row r="61" spans="1:7">
      <c r="A61" s="2" t="s">
        <v>19</v>
      </c>
      <c r="B61" s="82">
        <v>6.7617892786370426E-2</v>
      </c>
      <c r="C61" s="77">
        <v>0.12159927499931245</v>
      </c>
      <c r="D61" s="82">
        <v>-1.3058231150745447E-3</v>
      </c>
      <c r="E61" s="82">
        <v>1.4437883608468871E-2</v>
      </c>
    </row>
    <row r="62" spans="1:7">
      <c r="A62" s="2" t="s">
        <v>20</v>
      </c>
      <c r="B62" s="82">
        <v>8.0988742161976157E-2</v>
      </c>
      <c r="C62" s="77">
        <v>0.12825173740697426</v>
      </c>
      <c r="D62" s="82">
        <v>0.23039352932026769</v>
      </c>
      <c r="E62" s="82">
        <v>0.37565427926208339</v>
      </c>
    </row>
    <row r="63" spans="1:7">
      <c r="A63" s="2" t="s">
        <v>21</v>
      </c>
      <c r="B63" s="82">
        <v>0.11426410110637408</v>
      </c>
      <c r="C63" s="77">
        <v>0.12788016228850618</v>
      </c>
      <c r="D63" s="82">
        <v>5.5923303214599152E-2</v>
      </c>
      <c r="E63" s="82">
        <v>0.19278112291480509</v>
      </c>
    </row>
    <row r="64" spans="1:7">
      <c r="A64" s="2" t="s">
        <v>22</v>
      </c>
      <c r="B64" s="82">
        <v>4.1714535244023798E-2</v>
      </c>
      <c r="C64" s="77">
        <v>0.13129183433758262</v>
      </c>
      <c r="D64" s="82">
        <v>8.6934324402344387E-2</v>
      </c>
      <c r="E64" s="82">
        <v>3.7793128380507302E-2</v>
      </c>
    </row>
    <row r="65" spans="1:5">
      <c r="A65" s="2" t="s">
        <v>23</v>
      </c>
      <c r="B65" s="82">
        <v>4.3570454877636999E-2</v>
      </c>
      <c r="C65" s="77">
        <v>0.20746663062406601</v>
      </c>
      <c r="D65" s="82">
        <v>3.5137796716898873E-2</v>
      </c>
      <c r="E65" s="82">
        <v>7.3708056858577287E-2</v>
      </c>
    </row>
    <row r="66" spans="1:5">
      <c r="A66" s="2" t="s">
        <v>24</v>
      </c>
      <c r="B66" s="82">
        <v>6.3517637987633657E-2</v>
      </c>
      <c r="C66" s="77">
        <v>0.1058109546192727</v>
      </c>
      <c r="D66" s="82">
        <v>5.4891782800092104E-2</v>
      </c>
      <c r="E66" s="82">
        <v>0.11867844672496441</v>
      </c>
    </row>
    <row r="67" spans="1:5">
      <c r="A67" s="2" t="s">
        <v>25</v>
      </c>
      <c r="B67" s="82">
        <v>0.12</v>
      </c>
      <c r="C67" s="363">
        <v>0</v>
      </c>
      <c r="D67" s="82">
        <v>0.12</v>
      </c>
      <c r="E67" s="82">
        <v>-0.03</v>
      </c>
    </row>
    <row r="68" spans="1:5">
      <c r="A68" s="2" t="s">
        <v>26</v>
      </c>
      <c r="B68" s="82">
        <v>0.02</v>
      </c>
      <c r="C68" s="363">
        <v>0.3</v>
      </c>
      <c r="D68" s="82">
        <v>-0.02</v>
      </c>
      <c r="E68" s="82">
        <v>0.03</v>
      </c>
    </row>
    <row r="70" spans="1:5">
      <c r="A70" s="362" t="s">
        <v>1042</v>
      </c>
      <c r="B70" t="s">
        <v>964</v>
      </c>
      <c r="C70" t="s">
        <v>7</v>
      </c>
      <c r="D70" t="s">
        <v>10</v>
      </c>
    </row>
    <row r="71" spans="1:5">
      <c r="A71" s="2" t="s">
        <v>15</v>
      </c>
      <c r="B71" s="82">
        <v>0.50870152309560601</v>
      </c>
      <c r="C71" s="82">
        <v>0.50870152309560579</v>
      </c>
    </row>
    <row r="72" spans="1:5">
      <c r="A72" s="2" t="s">
        <v>17</v>
      </c>
      <c r="B72" s="82">
        <v>0.30493881987621929</v>
      </c>
      <c r="C72" s="82">
        <v>0.30363178797228874</v>
      </c>
      <c r="D72" s="82">
        <v>0.30975065658107059</v>
      </c>
    </row>
    <row r="73" spans="1:5">
      <c r="A73" s="2" t="s">
        <v>18</v>
      </c>
      <c r="B73" s="82">
        <v>0.43444021434202607</v>
      </c>
      <c r="C73" s="82">
        <v>0.47652203427376261</v>
      </c>
      <c r="D73" s="82">
        <v>0.17192170055125588</v>
      </c>
    </row>
    <row r="74" spans="1:5">
      <c r="A74" s="2" t="s">
        <v>19</v>
      </c>
      <c r="B74" s="82">
        <v>0.34115382418257889</v>
      </c>
      <c r="C74" s="82">
        <v>0.42811513527597733</v>
      </c>
      <c r="D74" s="82">
        <v>0.2143079809555517</v>
      </c>
    </row>
    <row r="75" spans="1:5">
      <c r="A75" s="2" t="s">
        <v>20</v>
      </c>
      <c r="B75" s="82">
        <v>0.39119573300902322</v>
      </c>
      <c r="C75" s="82">
        <v>0.37308365897763651</v>
      </c>
      <c r="D75" s="82">
        <v>0.42238544337722916</v>
      </c>
    </row>
    <row r="76" spans="1:5">
      <c r="A76" s="2" t="s">
        <v>21</v>
      </c>
      <c r="B76" s="82">
        <v>0.2889699413298048</v>
      </c>
      <c r="C76" s="82">
        <v>0.2333128426937443</v>
      </c>
      <c r="D76" s="82">
        <v>0.68133364268466634</v>
      </c>
    </row>
    <row r="77" spans="1:5">
      <c r="A77" s="2" t="s">
        <v>22</v>
      </c>
      <c r="B77" s="82">
        <v>0.24405613489904243</v>
      </c>
      <c r="C77" s="82">
        <v>0.278376255555838</v>
      </c>
      <c r="D77" s="82">
        <v>0.14915728784893179</v>
      </c>
    </row>
    <row r="78" spans="1:5">
      <c r="A78" s="2" t="s">
        <v>23</v>
      </c>
      <c r="B78" s="82">
        <v>0.24405293727379895</v>
      </c>
      <c r="C78" s="82">
        <v>0.19705347026512321</v>
      </c>
      <c r="D78" s="82">
        <v>0.30065939791314089</v>
      </c>
    </row>
    <row r="79" spans="1:5">
      <c r="A79" s="2" t="s">
        <v>24</v>
      </c>
      <c r="B79" s="82">
        <v>0.41975217180122071</v>
      </c>
      <c r="C79" s="82">
        <v>0.39985792878277815</v>
      </c>
      <c r="D79" s="82">
        <v>0.46778731722397571</v>
      </c>
    </row>
    <row r="80" spans="1:5">
      <c r="A80" s="2" t="s">
        <v>25</v>
      </c>
      <c r="B80" s="12">
        <v>0.34</v>
      </c>
      <c r="C80" s="12">
        <v>0.09</v>
      </c>
      <c r="D80" s="12">
        <v>0.51</v>
      </c>
    </row>
    <row r="81" spans="1:5">
      <c r="A81" s="2" t="s">
        <v>26</v>
      </c>
      <c r="B81" s="12">
        <v>0.41</v>
      </c>
      <c r="C81" s="12">
        <v>0.38</v>
      </c>
      <c r="D81" s="12">
        <v>0.44</v>
      </c>
    </row>
    <row r="87" spans="1:5">
      <c r="A87" t="s">
        <v>1043</v>
      </c>
      <c r="B87" t="s">
        <v>775</v>
      </c>
      <c r="C87" t="s">
        <v>1044</v>
      </c>
      <c r="D87" t="s">
        <v>1045</v>
      </c>
      <c r="E87" t="s">
        <v>1046</v>
      </c>
    </row>
    <row r="88" spans="1:5">
      <c r="A88" s="2" t="s">
        <v>17</v>
      </c>
      <c r="B88" s="76">
        <v>3</v>
      </c>
      <c r="C88" s="76">
        <v>9</v>
      </c>
    </row>
    <row r="89" spans="1:5">
      <c r="A89" s="2" t="s">
        <v>18</v>
      </c>
      <c r="B89" s="76">
        <v>0.81786662968454971</v>
      </c>
      <c r="C89" s="76">
        <v>6.4939459563255424</v>
      </c>
    </row>
    <row r="90" spans="1:5">
      <c r="A90" s="2" t="s">
        <v>19</v>
      </c>
      <c r="B90" s="76">
        <v>6</v>
      </c>
      <c r="C90" s="76">
        <v>6</v>
      </c>
    </row>
    <row r="91" spans="1:5">
      <c r="A91" s="2" t="s">
        <v>20</v>
      </c>
      <c r="B91" s="76">
        <v>8.3163775360188179</v>
      </c>
      <c r="C91" s="76">
        <v>6</v>
      </c>
    </row>
    <row r="92" spans="1:5">
      <c r="A92" s="2" t="s">
        <v>21</v>
      </c>
      <c r="B92" s="76">
        <v>2.40625</v>
      </c>
      <c r="C92" s="76">
        <v>7.59375</v>
      </c>
      <c r="D92" s="115">
        <f>5-B92</f>
        <v>2.59375</v>
      </c>
    </row>
    <row r="93" spans="1:5">
      <c r="A93" s="2" t="s">
        <v>22</v>
      </c>
      <c r="B93" s="76">
        <v>8.415454477139269</v>
      </c>
      <c r="C93" s="76">
        <v>6</v>
      </c>
    </row>
    <row r="94" spans="1:5">
      <c r="A94" s="2" t="s">
        <v>23</v>
      </c>
      <c r="B94" s="76">
        <v>4.0392749244712993</v>
      </c>
      <c r="C94" s="76">
        <v>5.7184033407598358</v>
      </c>
    </row>
    <row r="95" spans="1:5">
      <c r="A95" s="2" t="s">
        <v>24</v>
      </c>
      <c r="B95" s="76">
        <v>7.981344792719919</v>
      </c>
      <c r="C95" s="76">
        <v>12.044603134479273</v>
      </c>
    </row>
    <row r="96" spans="1:5">
      <c r="A96" s="2" t="s">
        <v>25</v>
      </c>
      <c r="B96" s="76">
        <v>0.82000160784628995</v>
      </c>
      <c r="C96" s="76">
        <v>5.6400032156925795</v>
      </c>
    </row>
    <row r="97" spans="1:4">
      <c r="A97" s="2" t="s">
        <v>26</v>
      </c>
      <c r="B97" s="76">
        <v>11.99205144771836</v>
      </c>
      <c r="C97" s="76">
        <v>7.7341968055534682</v>
      </c>
    </row>
    <row r="100" spans="1:4">
      <c r="A100" t="s">
        <v>7</v>
      </c>
      <c r="B100" t="s">
        <v>775</v>
      </c>
      <c r="C100" t="s">
        <v>1044</v>
      </c>
      <c r="D100" t="s">
        <v>1047</v>
      </c>
    </row>
    <row r="101" spans="1:4">
      <c r="A101" s="2" t="s">
        <v>17</v>
      </c>
      <c r="B101" s="76">
        <v>6.0481453647866754</v>
      </c>
      <c r="C101" s="76">
        <v>5.8294284876367826</v>
      </c>
      <c r="D101" s="457">
        <v>8</v>
      </c>
    </row>
    <row r="102" spans="1:4">
      <c r="A102" s="2" t="s">
        <v>18</v>
      </c>
      <c r="B102" s="76">
        <v>7.2990131490494505</v>
      </c>
      <c r="C102" s="76">
        <v>4.3841730081475703</v>
      </c>
      <c r="D102" s="457">
        <v>4</v>
      </c>
    </row>
    <row r="103" spans="1:4">
      <c r="A103" s="2" t="s">
        <v>19</v>
      </c>
      <c r="B103" s="76">
        <v>4.3485028218124304</v>
      </c>
      <c r="C103" s="76">
        <v>4.6709069341097811</v>
      </c>
      <c r="D103" s="457">
        <v>8</v>
      </c>
    </row>
    <row r="104" spans="1:4">
      <c r="A104" s="2" t="s">
        <v>20</v>
      </c>
      <c r="B104" s="76">
        <v>3.6090370113117682</v>
      </c>
      <c r="C104" s="76">
        <v>7.0817245485215317</v>
      </c>
      <c r="D104" s="457">
        <v>5</v>
      </c>
    </row>
    <row r="105" spans="1:4">
      <c r="A105" s="2" t="s">
        <v>21</v>
      </c>
      <c r="B105" s="76">
        <v>3.6917232168639909</v>
      </c>
      <c r="C105" s="76">
        <v>6.6177158533063816</v>
      </c>
      <c r="D105" s="457">
        <v>7</v>
      </c>
    </row>
    <row r="106" spans="1:4">
      <c r="A106" s="2" t="s">
        <v>22</v>
      </c>
      <c r="B106" s="76">
        <v>10.46932770669196</v>
      </c>
      <c r="C106" s="76">
        <v>9.5697845486749653</v>
      </c>
      <c r="D106" s="457">
        <v>5</v>
      </c>
    </row>
    <row r="107" spans="1:4">
      <c r="A107" s="2" t="s">
        <v>23</v>
      </c>
      <c r="B107" s="76">
        <v>3.59332967823245</v>
      </c>
      <c r="C107" s="76">
        <v>5.228975456234914</v>
      </c>
      <c r="D107" s="457">
        <v>6</v>
      </c>
    </row>
    <row r="108" spans="1:4">
      <c r="A108" s="2" t="s">
        <v>24</v>
      </c>
      <c r="B108" s="76">
        <v>2.8336077729480951</v>
      </c>
      <c r="C108" s="76">
        <v>3.3040347737151623</v>
      </c>
      <c r="D108" s="457">
        <v>4</v>
      </c>
    </row>
    <row r="109" spans="1:4">
      <c r="A109" s="2" t="s">
        <v>25</v>
      </c>
      <c r="B109" s="76">
        <v>0</v>
      </c>
      <c r="C109" s="76">
        <v>4</v>
      </c>
      <c r="D109" s="457">
        <v>1</v>
      </c>
    </row>
    <row r="110" spans="1:4">
      <c r="A110" s="2" t="s">
        <v>26</v>
      </c>
      <c r="B110" s="76">
        <v>11.682805298844196</v>
      </c>
      <c r="C110" s="76">
        <v>7.7773206572883238</v>
      </c>
      <c r="D110" s="457">
        <v>4</v>
      </c>
    </row>
    <row r="113" spans="1:4">
      <c r="A113" t="s">
        <v>10</v>
      </c>
      <c r="B113" t="s">
        <v>775</v>
      </c>
      <c r="C113" t="s">
        <v>1044</v>
      </c>
      <c r="D113" t="s">
        <v>1047</v>
      </c>
    </row>
    <row r="114" spans="1:4">
      <c r="A114" s="2" t="s">
        <v>17</v>
      </c>
      <c r="B114" s="76">
        <v>3</v>
      </c>
      <c r="C114" s="76">
        <v>9</v>
      </c>
      <c r="D114" s="457">
        <v>1</v>
      </c>
    </row>
    <row r="115" spans="1:4">
      <c r="A115" s="2" t="s">
        <v>18</v>
      </c>
      <c r="B115" s="76">
        <v>0.81786662968454971</v>
      </c>
      <c r="C115" s="76">
        <v>6.4939459563255424</v>
      </c>
      <c r="D115" s="457">
        <v>4</v>
      </c>
    </row>
    <row r="116" spans="1:4">
      <c r="A116" s="2" t="s">
        <v>19</v>
      </c>
      <c r="B116" s="76">
        <v>6</v>
      </c>
      <c r="C116" s="76">
        <v>6</v>
      </c>
      <c r="D116" s="457">
        <v>1</v>
      </c>
    </row>
    <row r="117" spans="1:4">
      <c r="A117" s="2" t="s">
        <v>20</v>
      </c>
      <c r="B117" s="76">
        <v>8.3163775360188179</v>
      </c>
      <c r="C117" s="76">
        <v>6</v>
      </c>
      <c r="D117" s="457">
        <v>2</v>
      </c>
    </row>
    <row r="118" spans="1:4">
      <c r="A118" s="2" t="s">
        <v>21</v>
      </c>
      <c r="B118" s="76">
        <v>2.40625</v>
      </c>
      <c r="C118" s="76">
        <v>7.59375</v>
      </c>
      <c r="D118" s="457">
        <v>2</v>
      </c>
    </row>
    <row r="119" spans="1:4">
      <c r="A119" s="2" t="s">
        <v>22</v>
      </c>
      <c r="B119" s="76">
        <v>8.415454477139269</v>
      </c>
      <c r="C119" s="76">
        <v>6</v>
      </c>
      <c r="D119" s="457">
        <v>5</v>
      </c>
    </row>
    <row r="120" spans="1:4">
      <c r="A120" s="2" t="s">
        <v>23</v>
      </c>
      <c r="B120" s="76">
        <v>4.0392749244712993</v>
      </c>
      <c r="C120" s="76">
        <v>5.7184033407598358</v>
      </c>
      <c r="D120" s="457">
        <v>6</v>
      </c>
    </row>
    <row r="121" spans="1:4">
      <c r="A121" s="2" t="s">
        <v>24</v>
      </c>
      <c r="B121" s="76">
        <v>7.981344792719919</v>
      </c>
      <c r="C121" s="76">
        <v>6.5097826086956525</v>
      </c>
      <c r="D121" s="457">
        <v>5</v>
      </c>
    </row>
    <row r="122" spans="1:4">
      <c r="A122" s="2" t="s">
        <v>25</v>
      </c>
      <c r="B122" s="76">
        <v>1</v>
      </c>
      <c r="C122" s="76">
        <v>6</v>
      </c>
      <c r="D122" s="457">
        <v>1</v>
      </c>
    </row>
    <row r="123" spans="1:4">
      <c r="A123" s="2" t="s">
        <v>26</v>
      </c>
      <c r="B123" s="76">
        <v>12.502449223416965</v>
      </c>
      <c r="C123" s="76">
        <v>7.6630227001194742</v>
      </c>
      <c r="D123" s="457">
        <v>3</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1EF8-65A0-4935-B614-EFE470BF7C45}">
  <dimension ref="A2:N41"/>
  <sheetViews>
    <sheetView showGridLines="0" zoomScale="85" zoomScaleNormal="85" workbookViewId="0">
      <selection activeCell="Q39" sqref="Q39"/>
    </sheetView>
  </sheetViews>
  <sheetFormatPr defaultColWidth="8.875" defaultRowHeight="13.9"/>
  <cols>
    <col min="1" max="1" width="17.875" bestFit="1" customWidth="1"/>
    <col min="2" max="2" width="15.875" bestFit="1" customWidth="1"/>
    <col min="3" max="3" width="13.125" bestFit="1" customWidth="1"/>
    <col min="4" max="4" width="24.125" bestFit="1" customWidth="1"/>
    <col min="5" max="6" width="20.375" bestFit="1" customWidth="1"/>
    <col min="7" max="7" width="10.125" bestFit="1" customWidth="1"/>
    <col min="8" max="10" width="7.625" bestFit="1" customWidth="1"/>
    <col min="11" max="14" width="18.5" bestFit="1" customWidth="1"/>
  </cols>
  <sheetData>
    <row r="2" spans="1:13">
      <c r="A2" s="1" t="s">
        <v>109</v>
      </c>
      <c r="B2" t="s">
        <v>999</v>
      </c>
    </row>
    <row r="3" spans="1:13">
      <c r="A3" s="1" t="s">
        <v>66</v>
      </c>
      <c r="B3" t="s">
        <v>1048</v>
      </c>
    </row>
    <row r="4" spans="1:13">
      <c r="A4" s="1" t="s">
        <v>82</v>
      </c>
      <c r="B4" t="s">
        <v>999</v>
      </c>
    </row>
    <row r="5" spans="1:13">
      <c r="M5" s="84"/>
    </row>
    <row r="6" spans="1:13">
      <c r="A6" s="1" t="s">
        <v>1000</v>
      </c>
      <c r="B6" s="3" t="s">
        <v>2</v>
      </c>
      <c r="C6" s="3" t="s">
        <v>1049</v>
      </c>
      <c r="D6" s="3" t="s">
        <v>1003</v>
      </c>
      <c r="E6" s="3" t="s">
        <v>1050</v>
      </c>
    </row>
    <row r="7" spans="1:13">
      <c r="A7" s="2" t="s">
        <v>153</v>
      </c>
      <c r="B7" s="83">
        <v>10</v>
      </c>
      <c r="C7" s="76">
        <v>7.9949761160010668</v>
      </c>
      <c r="D7" s="76">
        <v>8.3766267549283491</v>
      </c>
      <c r="E7" s="95" t="e">
        <v>#NAME?</v>
      </c>
    </row>
    <row r="8" spans="1:13">
      <c r="A8" s="2" t="s">
        <v>207</v>
      </c>
      <c r="B8" s="83">
        <v>2</v>
      </c>
      <c r="C8" s="76">
        <v>1.5078709340754914</v>
      </c>
      <c r="D8" s="76">
        <v>9.3618890241781187</v>
      </c>
      <c r="E8" s="95" t="e">
        <v>#NAME?</v>
      </c>
    </row>
    <row r="9" spans="1:13">
      <c r="A9" s="2" t="s">
        <v>144</v>
      </c>
      <c r="B9" s="83">
        <v>9</v>
      </c>
      <c r="C9" s="76">
        <v>7.078187345165575</v>
      </c>
      <c r="D9" s="76">
        <v>7.8822342831839336</v>
      </c>
      <c r="E9" s="95" t="e">
        <v>#NAME?</v>
      </c>
    </row>
    <row r="10" spans="1:13">
      <c r="A10" s="2" t="s">
        <v>214</v>
      </c>
      <c r="B10" s="83">
        <v>4</v>
      </c>
      <c r="C10" s="76">
        <v>6.3805714285714288</v>
      </c>
      <c r="D10" s="76">
        <v>7.1167999999999996</v>
      </c>
      <c r="E10" s="95" t="e">
        <v>#NAME?</v>
      </c>
    </row>
    <row r="11" spans="1:13">
      <c r="A11" s="2" t="s">
        <v>244</v>
      </c>
      <c r="B11" s="83">
        <v>8</v>
      </c>
      <c r="C11" s="76">
        <v>5.0483984878917028</v>
      </c>
      <c r="D11" s="76">
        <v>5.6857937752086087</v>
      </c>
      <c r="E11" s="95" t="e">
        <v>#NAME?</v>
      </c>
    </row>
    <row r="12" spans="1:13">
      <c r="A12" s="2" t="s">
        <v>181</v>
      </c>
      <c r="B12" s="83">
        <v>6</v>
      </c>
      <c r="C12" s="76">
        <v>8.8935415581611004</v>
      </c>
      <c r="D12" s="76">
        <v>10.721198917696675</v>
      </c>
      <c r="E12" s="95" t="e">
        <v>#NAME?</v>
      </c>
    </row>
    <row r="13" spans="1:13">
      <c r="A13" s="2" t="s">
        <v>158</v>
      </c>
      <c r="B13" s="83">
        <v>8</v>
      </c>
      <c r="C13" s="76">
        <v>4.1022396403347852</v>
      </c>
      <c r="D13" s="76">
        <v>4.3224406922453094</v>
      </c>
      <c r="E13" s="95" t="e">
        <v>#NAME?</v>
      </c>
    </row>
    <row r="14" spans="1:13">
      <c r="A14" s="2" t="s">
        <v>173</v>
      </c>
      <c r="B14" s="83">
        <v>7</v>
      </c>
      <c r="C14" s="76">
        <v>13.62594357873121</v>
      </c>
      <c r="D14" s="76">
        <v>13.878369029656852</v>
      </c>
      <c r="E14" s="95" t="e">
        <v>#NAME?</v>
      </c>
    </row>
    <row r="15" spans="1:13">
      <c r="A15" s="2" t="s">
        <v>274</v>
      </c>
      <c r="B15" s="83">
        <v>2</v>
      </c>
      <c r="C15" s="76">
        <v>8.4426474360801542</v>
      </c>
      <c r="D15" s="76">
        <v>8.5911552603825214</v>
      </c>
      <c r="E15" s="95" t="e">
        <v>#NAME?</v>
      </c>
    </row>
    <row r="16" spans="1:13">
      <c r="A16" s="2" t="s">
        <v>221</v>
      </c>
      <c r="B16" s="83">
        <v>1</v>
      </c>
      <c r="C16" s="76">
        <v>4.43</v>
      </c>
      <c r="D16" s="76">
        <v>5.75</v>
      </c>
      <c r="E16" s="95" t="e">
        <v>#NAME?</v>
      </c>
    </row>
    <row r="17" spans="1:14">
      <c r="A17" s="2" t="s">
        <v>1012</v>
      </c>
      <c r="B17" s="83">
        <v>57</v>
      </c>
      <c r="C17" s="76">
        <v>6.7795848013812829</v>
      </c>
      <c r="D17" s="76">
        <v>7.563541662458098</v>
      </c>
      <c r="E17" s="95" t="e">
        <v>#NAME?</v>
      </c>
      <c r="G17" s="5"/>
    </row>
    <row r="22" spans="1:14">
      <c r="A22" s="2"/>
      <c r="B22" s="4"/>
      <c r="C22" s="83"/>
      <c r="D22" s="76"/>
      <c r="E22" s="76"/>
      <c r="F22" s="95"/>
    </row>
    <row r="23" spans="1:14">
      <c r="A23" s="2"/>
      <c r="B23" s="4"/>
      <c r="C23" s="83"/>
      <c r="D23" s="76"/>
      <c r="E23" s="76"/>
      <c r="F23" s="95"/>
    </row>
    <row r="24" spans="1:14">
      <c r="A24" s="2"/>
      <c r="B24" s="4"/>
      <c r="C24" s="83"/>
      <c r="D24" s="76"/>
      <c r="E24" s="76"/>
      <c r="F24" s="95"/>
    </row>
    <row r="26" spans="1:14">
      <c r="A26" s="92" t="s">
        <v>1019</v>
      </c>
    </row>
    <row r="27" spans="1:14">
      <c r="A27" s="85" t="s">
        <v>1000</v>
      </c>
      <c r="B27" s="86" t="s">
        <v>90</v>
      </c>
      <c r="C27" s="86" t="s">
        <v>2</v>
      </c>
      <c r="D27" s="86" t="s">
        <v>1049</v>
      </c>
      <c r="E27" s="86" t="s">
        <v>1003</v>
      </c>
      <c r="F27" s="86" t="s">
        <v>1050</v>
      </c>
    </row>
    <row r="28" spans="1:14">
      <c r="A28" s="2" t="s">
        <v>153</v>
      </c>
      <c r="B28" s="4">
        <v>228705</v>
      </c>
      <c r="C28" s="83">
        <v>11</v>
      </c>
      <c r="D28" s="76">
        <v>7.8065807481253131</v>
      </c>
      <c r="E28" s="76">
        <v>8.3395742113202598</v>
      </c>
      <c r="F28" s="95">
        <v>121898.27000000028</v>
      </c>
    </row>
    <row r="29" spans="1:14">
      <c r="A29" s="2" t="s">
        <v>207</v>
      </c>
      <c r="B29" s="4">
        <v>34494</v>
      </c>
      <c r="C29" s="83">
        <v>2</v>
      </c>
      <c r="D29" s="76">
        <v>1.5078709340754914</v>
      </c>
      <c r="E29" s="76">
        <v>9.3618890241781187</v>
      </c>
      <c r="F29" s="95">
        <v>270916.50000000006</v>
      </c>
      <c r="G29" s="76"/>
      <c r="H29" s="76"/>
      <c r="I29" s="76"/>
      <c r="J29" s="76"/>
      <c r="K29" s="76"/>
      <c r="L29" s="76"/>
      <c r="M29" s="82"/>
      <c r="N29" s="82"/>
    </row>
    <row r="30" spans="1:14">
      <c r="A30" s="2" t="s">
        <v>144</v>
      </c>
      <c r="B30" s="4">
        <v>122997</v>
      </c>
      <c r="C30" s="83">
        <v>5</v>
      </c>
      <c r="D30" s="76">
        <v>6.9910054716781707</v>
      </c>
      <c r="E30" s="76">
        <v>7.542976251453287</v>
      </c>
      <c r="F30" s="95">
        <v>67890.749999999985</v>
      </c>
    </row>
    <row r="31" spans="1:14">
      <c r="A31" s="2" t="s">
        <v>214</v>
      </c>
      <c r="B31" s="4">
        <v>105000</v>
      </c>
      <c r="C31" s="83">
        <v>4</v>
      </c>
      <c r="D31" s="76">
        <v>6.3805714285714288</v>
      </c>
      <c r="E31" s="76">
        <v>7.1167999999999996</v>
      </c>
      <c r="F31" s="95">
        <v>77303.999999999927</v>
      </c>
    </row>
    <row r="32" spans="1:14">
      <c r="A32" s="2" t="s">
        <v>244</v>
      </c>
      <c r="B32" s="4">
        <v>489912</v>
      </c>
      <c r="C32" s="83">
        <v>8</v>
      </c>
      <c r="D32" s="76">
        <v>5.0483984878917028</v>
      </c>
      <c r="E32" s="76">
        <v>5.6857937752086087</v>
      </c>
      <c r="F32" s="95">
        <v>312267.60000000003</v>
      </c>
    </row>
    <row r="33" spans="1:6">
      <c r="A33" s="2" t="s">
        <v>181</v>
      </c>
      <c r="B33" s="4">
        <v>85718</v>
      </c>
      <c r="C33" s="83">
        <v>4</v>
      </c>
      <c r="D33" s="76">
        <v>8.9777969621316416</v>
      </c>
      <c r="E33" s="76">
        <v>9.1189131804288479</v>
      </c>
      <c r="F33" s="95">
        <v>12096.199999999932</v>
      </c>
    </row>
    <row r="34" spans="1:6">
      <c r="A34" s="2" t="s">
        <v>158</v>
      </c>
      <c r="B34" s="4">
        <v>207271</v>
      </c>
      <c r="C34" s="83">
        <v>6</v>
      </c>
      <c r="D34" s="76">
        <v>4.094226158025001</v>
      </c>
      <c r="E34" s="76">
        <v>4.3208022347554653</v>
      </c>
      <c r="F34" s="95">
        <v>46962.650000000067</v>
      </c>
    </row>
    <row r="35" spans="1:6">
      <c r="A35" s="2" t="s">
        <v>173</v>
      </c>
      <c r="B35" s="4">
        <v>140847</v>
      </c>
      <c r="C35" s="83">
        <v>6</v>
      </c>
      <c r="D35" s="76">
        <v>13.575802750502318</v>
      </c>
      <c r="E35" s="76">
        <v>13.962599487387022</v>
      </c>
      <c r="F35" s="95">
        <v>54479.16</v>
      </c>
    </row>
    <row r="36" spans="1:6">
      <c r="A36" s="2" t="s">
        <v>274</v>
      </c>
      <c r="B36" s="4">
        <v>70166</v>
      </c>
      <c r="C36" s="83">
        <v>2</v>
      </c>
      <c r="D36" s="76">
        <v>8.4426474360801542</v>
      </c>
      <c r="E36" s="76">
        <v>8.5911552603825214</v>
      </c>
      <c r="F36" s="95">
        <v>10420.199999999897</v>
      </c>
    </row>
    <row r="37" spans="1:6">
      <c r="A37" s="2" t="s">
        <v>221</v>
      </c>
      <c r="B37" s="4">
        <v>39000</v>
      </c>
      <c r="C37" s="83">
        <v>1</v>
      </c>
      <c r="D37" s="76">
        <v>4.43</v>
      </c>
      <c r="E37" s="76">
        <v>5.75</v>
      </c>
      <c r="F37" s="95">
        <v>51480.000000000015</v>
      </c>
    </row>
    <row r="38" spans="1:6">
      <c r="A38" s="87" t="s">
        <v>1012</v>
      </c>
      <c r="B38" s="89">
        <v>1524110</v>
      </c>
      <c r="C38" s="88">
        <v>49</v>
      </c>
      <c r="D38" s="90">
        <v>6.6504132182060358</v>
      </c>
      <c r="E38" s="90">
        <v>7.3234061977153884</v>
      </c>
      <c r="F38" s="96">
        <v>1025715.3299999993</v>
      </c>
    </row>
    <row r="39" spans="1:6">
      <c r="A39" s="6"/>
    </row>
    <row r="40" spans="1:6">
      <c r="A40" s="6"/>
    </row>
    <row r="41" spans="1:6">
      <c r="A41" s="6"/>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9b34d6e-a855-4a2f-bd65-7f4b149a5d2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C9FD15FCB33D47A7BACE95C14AA22D" ma:contentTypeVersion="14" ma:contentTypeDescription="Create a new document." ma:contentTypeScope="" ma:versionID="0571e3c7f953b667a585b82d65380f6d">
  <xsd:schema xmlns:xsd="http://www.w3.org/2001/XMLSchema" xmlns:xs="http://www.w3.org/2001/XMLSchema" xmlns:p="http://schemas.microsoft.com/office/2006/metadata/properties" xmlns:ns2="49b34d6e-a855-4a2f-bd65-7f4b149a5d20" xmlns:ns3="3aac0500-5d4d-4866-927e-f7d93a4ac3b7" targetNamespace="http://schemas.microsoft.com/office/2006/metadata/properties" ma:root="true" ma:fieldsID="cbe5def1cb889b5def78f4dfa7d430c5" ns2:_="" ns3:_="">
    <xsd:import namespace="49b34d6e-a855-4a2f-bd65-7f4b149a5d20"/>
    <xsd:import namespace="3aac0500-5d4d-4866-927e-f7d93a4ac3b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MediaServiceLocation"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b34d6e-a855-4a2f-bd65-7f4b149a5d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4754051-9484-4b91-b87b-bc7805518ace"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ac0500-5d4d-4866-927e-f7d93a4ac3b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773B37-70F6-4623-B06D-CA15B1B9AB0F}"/>
</file>

<file path=customXml/itemProps2.xml><?xml version="1.0" encoding="utf-8"?>
<ds:datastoreItem xmlns:ds="http://schemas.openxmlformats.org/officeDocument/2006/customXml" ds:itemID="{8528F449-117A-4047-BE75-BEA780CFF146}"/>
</file>

<file path=customXml/itemProps3.xml><?xml version="1.0" encoding="utf-8"?>
<ds:datastoreItem xmlns:ds="http://schemas.openxmlformats.org/officeDocument/2006/customXml" ds:itemID="{2E49C24B-93AF-4530-A656-1288FA2381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cp:keywords/>
  <dc:description/>
  <cp:lastModifiedBy/>
  <cp:revision>0</cp:revision>
  <dcterms:created xsi:type="dcterms:W3CDTF">2022-05-05T11:50:59Z</dcterms:created>
  <dcterms:modified xsi:type="dcterms:W3CDTF">2025-08-10T00:26:07Z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0x010100ADC9FD15FCB33D47A7BACE95C14AA22D</vt:lpwstr>
  </property>
  <property fmtid="{D5CDD505-2E9C-101B-9397-08002B2CF9AE}" pid="3" name="Order">
    <vt:r8>1130400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TemplateUrl">
    <vt:lpwstr/>
  </property>
  <property fmtid="{D5CDD505-2E9C-101B-9397-08002B2CF9AE}" pid="9" name="ComplianceAssetId">
    <vt:lpwstr/>
  </property>
  <property fmtid="{D5CDD505-2E9C-101B-9397-08002B2CF9AE}" pid="10" name="MediaServiceImageTags">
    <vt:lpwstr/>
  </property>
  <property fmtid="{D5CDD505-2E9C-101B-9397-08002B2CF9AE}" pid="11" name="MSIP_Label_4713abd7-d691-42f3-97a2-d869d609ea02_Enabled">
    <vt:lpwstr>true</vt:lpwstr>
  </property>
  <property fmtid="{D5CDD505-2E9C-101B-9397-08002B2CF9AE}" pid="12" name="MSIP_Label_4713abd7-d691-42f3-97a2-d869d609ea02_SetDate">
    <vt:lpwstr>2023-10-16T14:00:59Z</vt:lpwstr>
  </property>
  <property fmtid="{D5CDD505-2E9C-101B-9397-08002B2CF9AE}" pid="13" name="MSIP_Label_4713abd7-d691-42f3-97a2-d869d609ea02_Method">
    <vt:lpwstr>Standard</vt:lpwstr>
  </property>
  <property fmtid="{D5CDD505-2E9C-101B-9397-08002B2CF9AE}" pid="14" name="MSIP_Label_4713abd7-d691-42f3-97a2-d869d609ea02_Name">
    <vt:lpwstr>defa4170-0d19-0005-0004-bc88714345d2</vt:lpwstr>
  </property>
  <property fmtid="{D5CDD505-2E9C-101B-9397-08002B2CF9AE}" pid="15" name="MSIP_Label_4713abd7-d691-42f3-97a2-d869d609ea02_SiteId">
    <vt:lpwstr>e8112459-a5cd-4dea-8ad8-6cd2cf09bed4</vt:lpwstr>
  </property>
  <property fmtid="{D5CDD505-2E9C-101B-9397-08002B2CF9AE}" pid="16" name="MSIP_Label_4713abd7-d691-42f3-97a2-d869d609ea02_ActionId">
    <vt:lpwstr>5d93f7be-c7cd-4c1a-a4d1-0194bb1e6456</vt:lpwstr>
  </property>
  <property fmtid="{D5CDD505-2E9C-101B-9397-08002B2CF9AE}" pid="17" name="MSIP_Label_4713abd7-d691-42f3-97a2-d869d609ea02_ContentBits">
    <vt:lpwstr>0</vt:lpwstr>
  </property>
</Properties>
</file>